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3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ropbox\Publica\Cursos\Análisis de datos e incertidumbre de medición para Meteorología\Hojas\"/>
    </mc:Choice>
  </mc:AlternateContent>
  <xr:revisionPtr revIDLastSave="0" documentId="13_ncr:1_{A176E2E3-A1D8-4A14-B272-9A25E126B073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Datos" sheetId="20" r:id="rId1"/>
    <sheet name="ASTM 4430-00" sheetId="19" r:id="rId2"/>
    <sheet name="Auto correlación patrón" sheetId="22" r:id="rId3"/>
    <sheet name="Auto correlación objeto" sheetId="23" r:id="rId4"/>
  </sheets>
  <externalReferences>
    <externalReference r:id="rId5"/>
  </externalReferences>
  <definedNames>
    <definedName name="_xlchart.v1.0" hidden="1">'ASTM 4430-00'!$E$7</definedName>
    <definedName name="_xlchart.v1.1" hidden="1">'ASTM 4430-00'!$E$8:$E$36</definedName>
    <definedName name="_xlchart.v1.2" hidden="1">'ASTM 4430-00'!$G$7</definedName>
    <definedName name="_xlchart.v1.3" hidden="1">'ASTM 4430-00'!$G$8:$G$36</definedName>
    <definedName name="_xlchart.v1.4" hidden="1">'ASTM 4430-00'!$F$7</definedName>
    <definedName name="_xlchart.v1.5" hidden="1">'ASTM 4430-00'!$F$8:$F$36</definedName>
    <definedName name="C_">'ASTM 4430-00'!$N$4</definedName>
    <definedName name="d" localSheetId="1">'ASTM 4430-00'!$N$5</definedName>
    <definedName name="di" localSheetId="1">'ASTM 4430-00'!$G$8:$G$1048576</definedName>
    <definedName name="Ki" localSheetId="1">'ASTM 4430-00'!$I$8:$I$36</definedName>
    <definedName name="Mi" localSheetId="1">'ASTM 4430-00'!$H$8:$H$36</definedName>
    <definedName name="N" localSheetId="1">'ASTM 4430-00'!$N$6</definedName>
    <definedName name="r_" localSheetId="1">'ASTM 4430-00'!$N$14</definedName>
    <definedName name="s">'ASTM 4430-00'!$N$19</definedName>
    <definedName name="solver_eng" localSheetId="1" hidden="1">1</definedName>
    <definedName name="solver_eng" localSheetId="0" hidden="1">1</definedName>
    <definedName name="solver_neg" localSheetId="1" hidden="1">1</definedName>
    <definedName name="solver_neg" localSheetId="0" hidden="1">1</definedName>
    <definedName name="solver_num" localSheetId="1" hidden="1">0</definedName>
    <definedName name="solver_num" localSheetId="0" hidden="1">0</definedName>
    <definedName name="solver_opt" localSheetId="1" hidden="1">'ASTM 4430-00'!#REF!</definedName>
    <definedName name="solver_opt" localSheetId="0" hidden="1">Datos!#REF!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  <definedName name="u" localSheetId="1">'ASTM 4430-00'!$N$18</definedName>
    <definedName name="Xai" localSheetId="1">'ASTM 4430-00'!$E$8:$E$1048576</definedName>
    <definedName name="Xbi" localSheetId="1">'ASTM 4430-00'!$F$8:$F$1048576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8" i="19" l="1"/>
  <c r="N17" i="19"/>
  <c r="G54" i="19"/>
  <c r="G53" i="19"/>
  <c r="G52" i="19"/>
  <c r="G51" i="19"/>
  <c r="G50" i="19"/>
  <c r="G49" i="19"/>
  <c r="G48" i="19"/>
  <c r="G47" i="19"/>
  <c r="G46" i="19"/>
  <c r="G45" i="19"/>
  <c r="G44" i="19"/>
  <c r="G43" i="19"/>
  <c r="G42" i="19"/>
  <c r="G41" i="19"/>
  <c r="G40" i="19"/>
  <c r="G39" i="19"/>
  <c r="G38" i="19"/>
  <c r="G37" i="19"/>
  <c r="G36" i="19"/>
  <c r="F54" i="19"/>
  <c r="E54" i="19"/>
  <c r="D54" i="19"/>
  <c r="C54" i="19"/>
  <c r="B54" i="19"/>
  <c r="F53" i="19"/>
  <c r="E53" i="19"/>
  <c r="D53" i="19"/>
  <c r="C53" i="19"/>
  <c r="B53" i="19"/>
  <c r="F52" i="19"/>
  <c r="E52" i="19"/>
  <c r="D52" i="19"/>
  <c r="C52" i="19"/>
  <c r="B52" i="19"/>
  <c r="F51" i="19"/>
  <c r="E51" i="19"/>
  <c r="D51" i="19"/>
  <c r="C51" i="19"/>
  <c r="B51" i="19"/>
  <c r="F50" i="19"/>
  <c r="E50" i="19"/>
  <c r="D50" i="19"/>
  <c r="C50" i="19"/>
  <c r="B50" i="19"/>
  <c r="F49" i="19"/>
  <c r="E49" i="19"/>
  <c r="D49" i="19"/>
  <c r="C49" i="19"/>
  <c r="B49" i="19"/>
  <c r="F48" i="19"/>
  <c r="E48" i="19"/>
  <c r="D48" i="19"/>
  <c r="C48" i="19"/>
  <c r="B48" i="19"/>
  <c r="F47" i="19"/>
  <c r="E47" i="19"/>
  <c r="D47" i="19"/>
  <c r="C47" i="19"/>
  <c r="B47" i="19"/>
  <c r="F46" i="19"/>
  <c r="E46" i="19"/>
  <c r="D46" i="19"/>
  <c r="C46" i="19"/>
  <c r="B46" i="19"/>
  <c r="F45" i="19"/>
  <c r="E45" i="19"/>
  <c r="D45" i="19"/>
  <c r="C45" i="19"/>
  <c r="B45" i="19"/>
  <c r="F44" i="19"/>
  <c r="E44" i="19"/>
  <c r="D44" i="19"/>
  <c r="C44" i="19"/>
  <c r="B44" i="19"/>
  <c r="F43" i="19"/>
  <c r="E43" i="19"/>
  <c r="D43" i="19"/>
  <c r="C43" i="19"/>
  <c r="B43" i="19"/>
  <c r="F42" i="19"/>
  <c r="E42" i="19"/>
  <c r="D42" i="19"/>
  <c r="C42" i="19"/>
  <c r="B42" i="19"/>
  <c r="F41" i="19"/>
  <c r="E41" i="19"/>
  <c r="D41" i="19"/>
  <c r="C41" i="19"/>
  <c r="B41" i="19"/>
  <c r="F40" i="19"/>
  <c r="E40" i="19"/>
  <c r="D40" i="19"/>
  <c r="C40" i="19"/>
  <c r="B40" i="19"/>
  <c r="F39" i="19"/>
  <c r="E39" i="19"/>
  <c r="D39" i="19"/>
  <c r="C39" i="19"/>
  <c r="B39" i="19"/>
  <c r="F38" i="19"/>
  <c r="E38" i="19"/>
  <c r="D38" i="19"/>
  <c r="C38" i="19"/>
  <c r="B38" i="19"/>
  <c r="F37" i="19"/>
  <c r="E37" i="19"/>
  <c r="D37" i="19"/>
  <c r="C37" i="19"/>
  <c r="B37" i="19"/>
  <c r="O21" i="19"/>
  <c r="A6" i="23"/>
  <c r="A7" i="23" s="1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5" i="23"/>
  <c r="A6" i="22" l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5" i="22"/>
  <c r="O8" i="19" l="1"/>
  <c r="O14" i="19"/>
  <c r="O19" i="19"/>
  <c r="O12" i="19"/>
  <c r="O11" i="19"/>
  <c r="I7" i="19"/>
  <c r="O4" i="19"/>
  <c r="O18" i="19"/>
  <c r="O5" i="19"/>
  <c r="G7" i="19"/>
  <c r="D3" i="19"/>
  <c r="B4" i="19"/>
  <c r="C4" i="19"/>
  <c r="B5" i="19"/>
  <c r="B3" i="19"/>
  <c r="F36" i="19"/>
  <c r="E36" i="19"/>
  <c r="F35" i="19"/>
  <c r="E35" i="19"/>
  <c r="F34" i="19"/>
  <c r="E34" i="19"/>
  <c r="F33" i="19"/>
  <c r="E33" i="19"/>
  <c r="F32" i="19"/>
  <c r="E32" i="19"/>
  <c r="F31" i="19"/>
  <c r="E31" i="19"/>
  <c r="F30" i="19"/>
  <c r="E30" i="19"/>
  <c r="F29" i="19"/>
  <c r="E29" i="19"/>
  <c r="F28" i="19"/>
  <c r="E28" i="19"/>
  <c r="F27" i="19"/>
  <c r="E27" i="19"/>
  <c r="F26" i="19"/>
  <c r="E26" i="19"/>
  <c r="F25" i="19"/>
  <c r="E25" i="19"/>
  <c r="F24" i="19"/>
  <c r="E24" i="19"/>
  <c r="F23" i="19"/>
  <c r="E23" i="19"/>
  <c r="F22" i="19"/>
  <c r="E22" i="19"/>
  <c r="F21" i="19"/>
  <c r="E21" i="19"/>
  <c r="F20" i="19"/>
  <c r="E20" i="19"/>
  <c r="F19" i="19"/>
  <c r="E19" i="19"/>
  <c r="F18" i="19"/>
  <c r="E18" i="19"/>
  <c r="F17" i="19"/>
  <c r="E17" i="19"/>
  <c r="F16" i="19"/>
  <c r="E16" i="19"/>
  <c r="F15" i="19"/>
  <c r="E15" i="19"/>
  <c r="F14" i="19"/>
  <c r="E14" i="19"/>
  <c r="F13" i="19"/>
  <c r="E13" i="19"/>
  <c r="F12" i="19"/>
  <c r="E12" i="19"/>
  <c r="F11" i="19"/>
  <c r="E11" i="19"/>
  <c r="F10" i="19"/>
  <c r="E10" i="19"/>
  <c r="F9" i="19"/>
  <c r="E9" i="19"/>
  <c r="F8" i="19"/>
  <c r="E8" i="19"/>
  <c r="C36" i="19"/>
  <c r="B36" i="19"/>
  <c r="C35" i="19"/>
  <c r="B35" i="19"/>
  <c r="C34" i="19"/>
  <c r="B34" i="19"/>
  <c r="C33" i="19"/>
  <c r="B33" i="19"/>
  <c r="C32" i="19"/>
  <c r="B32" i="19"/>
  <c r="C31" i="19"/>
  <c r="B31" i="19"/>
  <c r="C30" i="19"/>
  <c r="B30" i="19"/>
  <c r="C29" i="19"/>
  <c r="B29" i="19"/>
  <c r="C28" i="19"/>
  <c r="B28" i="19"/>
  <c r="C27" i="19"/>
  <c r="B27" i="19"/>
  <c r="C26" i="19"/>
  <c r="B26" i="19"/>
  <c r="C25" i="19"/>
  <c r="B25" i="19"/>
  <c r="C24" i="19"/>
  <c r="B24" i="19"/>
  <c r="C23" i="19"/>
  <c r="B23" i="19"/>
  <c r="C22" i="19"/>
  <c r="B22" i="19"/>
  <c r="C21" i="19"/>
  <c r="B21" i="19"/>
  <c r="C20" i="19"/>
  <c r="B20" i="19"/>
  <c r="C19" i="19"/>
  <c r="B19" i="19"/>
  <c r="C18" i="19"/>
  <c r="B18" i="19"/>
  <c r="C17" i="19"/>
  <c r="B17" i="19"/>
  <c r="C16" i="19"/>
  <c r="B16" i="19"/>
  <c r="C15" i="19"/>
  <c r="B15" i="19"/>
  <c r="C14" i="19"/>
  <c r="B14" i="19"/>
  <c r="C13" i="19"/>
  <c r="B13" i="19"/>
  <c r="C12" i="19"/>
  <c r="B12" i="19"/>
  <c r="C11" i="19"/>
  <c r="B11" i="19"/>
  <c r="C10" i="19"/>
  <c r="B10" i="19"/>
  <c r="C9" i="19"/>
  <c r="B9" i="19"/>
  <c r="D8" i="19"/>
  <c r="C8" i="19"/>
  <c r="B8" i="19"/>
  <c r="D7" i="19"/>
  <c r="C7" i="19"/>
  <c r="B7" i="19"/>
  <c r="D4" i="19"/>
  <c r="E7" i="19" s="1"/>
  <c r="D8" i="20"/>
  <c r="D9" i="19" s="1"/>
  <c r="E8" i="20"/>
  <c r="E9" i="20" s="1"/>
  <c r="E10" i="20" s="1"/>
  <c r="E11" i="20" s="1"/>
  <c r="E12" i="20" s="1"/>
  <c r="E13" i="20" s="1"/>
  <c r="E14" i="20" s="1"/>
  <c r="E15" i="20" s="1"/>
  <c r="E16" i="20" s="1"/>
  <c r="E17" i="20" s="1"/>
  <c r="E18" i="20" s="1"/>
  <c r="E19" i="20" s="1"/>
  <c r="E20" i="20" s="1"/>
  <c r="E21" i="20" s="1"/>
  <c r="E22" i="20" s="1"/>
  <c r="E23" i="20" s="1"/>
  <c r="E24" i="20" s="1"/>
  <c r="E25" i="20" s="1"/>
  <c r="E26" i="20" s="1"/>
  <c r="E27" i="20" s="1"/>
  <c r="E28" i="20" s="1"/>
  <c r="E29" i="20" s="1"/>
  <c r="E30" i="20" s="1"/>
  <c r="E31" i="20" s="1"/>
  <c r="E32" i="20" s="1"/>
  <c r="E33" i="20" s="1"/>
  <c r="E34" i="20" s="1"/>
  <c r="E35" i="20" s="1"/>
  <c r="B9" i="22"/>
  <c r="B31" i="22"/>
  <c r="B14" i="22"/>
  <c r="B30" i="23"/>
  <c r="B28" i="23"/>
  <c r="B26" i="23"/>
  <c r="B31" i="23"/>
  <c r="B13" i="22"/>
  <c r="B14" i="23"/>
  <c r="B11" i="22"/>
  <c r="B8" i="23"/>
  <c r="B20" i="22"/>
  <c r="B23" i="22"/>
  <c r="B6" i="22"/>
  <c r="B6" i="23"/>
  <c r="B27" i="23"/>
  <c r="B18" i="23"/>
  <c r="B23" i="23"/>
  <c r="B26" i="22"/>
  <c r="B25" i="22"/>
  <c r="B29" i="23"/>
  <c r="B22" i="22"/>
  <c r="B4" i="22"/>
  <c r="B18" i="22"/>
  <c r="B15" i="22"/>
  <c r="B27" i="22"/>
  <c r="B13" i="23"/>
  <c r="B19" i="23"/>
  <c r="B10" i="23"/>
  <c r="B15" i="23"/>
  <c r="B17" i="23"/>
  <c r="B5" i="22"/>
  <c r="B17" i="22"/>
  <c r="B5" i="23"/>
  <c r="B28" i="22"/>
  <c r="B32" i="22"/>
  <c r="B7" i="22"/>
  <c r="B29" i="22"/>
  <c r="B20" i="23"/>
  <c r="B11" i="23"/>
  <c r="B9" i="23"/>
  <c r="B7" i="23"/>
  <c r="B22" i="23"/>
  <c r="B30" i="22"/>
  <c r="B4" i="23"/>
  <c r="B19" i="22"/>
  <c r="B24" i="22"/>
  <c r="B12" i="22"/>
  <c r="B21" i="22"/>
  <c r="B12" i="23"/>
  <c r="B25" i="23"/>
  <c r="B32" i="23"/>
  <c r="B16" i="22"/>
  <c r="B24" i="23"/>
  <c r="B8" i="22"/>
  <c r="B16" i="23"/>
  <c r="B21" i="23"/>
  <c r="B10" i="22"/>
  <c r="D10" i="23" l="1"/>
  <c r="C10" i="23" s="1"/>
  <c r="D12" i="23"/>
  <c r="C12" i="23" s="1"/>
  <c r="D20" i="23"/>
  <c r="C20" i="23" s="1"/>
  <c r="D28" i="23"/>
  <c r="C28" i="23" s="1"/>
  <c r="D14" i="23"/>
  <c r="C14" i="23" s="1"/>
  <c r="D30" i="23"/>
  <c r="C30" i="23" s="1"/>
  <c r="D26" i="23"/>
  <c r="C26" i="23" s="1"/>
  <c r="D27" i="23"/>
  <c r="C27" i="23" s="1"/>
  <c r="D13" i="23"/>
  <c r="C13" i="23" s="1"/>
  <c r="D21" i="23"/>
  <c r="C21" i="23" s="1"/>
  <c r="D29" i="23"/>
  <c r="C29" i="23" s="1"/>
  <c r="D22" i="23"/>
  <c r="C22" i="23" s="1"/>
  <c r="D18" i="23"/>
  <c r="C18" i="23" s="1"/>
  <c r="D11" i="23"/>
  <c r="C11" i="23" s="1"/>
  <c r="D7" i="23"/>
  <c r="C7" i="23" s="1"/>
  <c r="D15" i="23"/>
  <c r="C15" i="23" s="1"/>
  <c r="D23" i="23"/>
  <c r="C23" i="23" s="1"/>
  <c r="D31" i="23"/>
  <c r="C31" i="23" s="1"/>
  <c r="D17" i="23"/>
  <c r="C17" i="23" s="1"/>
  <c r="D6" i="23"/>
  <c r="C6" i="23" s="1"/>
  <c r="D8" i="23"/>
  <c r="C8" i="23" s="1"/>
  <c r="D16" i="23"/>
  <c r="C16" i="23" s="1"/>
  <c r="D24" i="23"/>
  <c r="C24" i="23" s="1"/>
  <c r="D32" i="23"/>
  <c r="C32" i="23" s="1"/>
  <c r="D25" i="23"/>
  <c r="C25" i="23" s="1"/>
  <c r="D19" i="23"/>
  <c r="C19" i="23" s="1"/>
  <c r="D9" i="23"/>
  <c r="C9" i="23" s="1"/>
  <c r="D12" i="22"/>
  <c r="C12" i="22" s="1"/>
  <c r="D20" i="22"/>
  <c r="C20" i="22" s="1"/>
  <c r="D28" i="22"/>
  <c r="C28" i="22" s="1"/>
  <c r="D13" i="22"/>
  <c r="C13" i="22" s="1"/>
  <c r="D29" i="22"/>
  <c r="C29" i="22" s="1"/>
  <c r="D14" i="22"/>
  <c r="C14" i="22" s="1"/>
  <c r="D22" i="22"/>
  <c r="C22" i="22" s="1"/>
  <c r="D30" i="22"/>
  <c r="C30" i="22" s="1"/>
  <c r="D10" i="22"/>
  <c r="C10" i="22" s="1"/>
  <c r="D7" i="22"/>
  <c r="C7" i="22" s="1"/>
  <c r="D15" i="22"/>
  <c r="C15" i="22" s="1"/>
  <c r="D23" i="22"/>
  <c r="C23" i="22" s="1"/>
  <c r="D31" i="22"/>
  <c r="C31" i="22" s="1"/>
  <c r="D6" i="22"/>
  <c r="C6" i="22" s="1"/>
  <c r="D8" i="22"/>
  <c r="C8" i="22" s="1"/>
  <c r="D16" i="22"/>
  <c r="C16" i="22" s="1"/>
  <c r="D24" i="22"/>
  <c r="C24" i="22" s="1"/>
  <c r="D32" i="22"/>
  <c r="C32" i="22" s="1"/>
  <c r="D9" i="22"/>
  <c r="C9" i="22" s="1"/>
  <c r="D17" i="22"/>
  <c r="C17" i="22" s="1"/>
  <c r="D25" i="22"/>
  <c r="C25" i="22" s="1"/>
  <c r="D18" i="22"/>
  <c r="C18" i="22" s="1"/>
  <c r="D11" i="22"/>
  <c r="C11" i="22" s="1"/>
  <c r="D19" i="22"/>
  <c r="C19" i="22" s="1"/>
  <c r="D27" i="22"/>
  <c r="C27" i="22" s="1"/>
  <c r="D21" i="22"/>
  <c r="C21" i="22" s="1"/>
  <c r="D26" i="22"/>
  <c r="C26" i="22" s="1"/>
  <c r="D5" i="23"/>
  <c r="C5" i="23" s="1"/>
  <c r="D5" i="22"/>
  <c r="C5" i="22" s="1"/>
  <c r="G9" i="19"/>
  <c r="G13" i="19"/>
  <c r="D9" i="20"/>
  <c r="D10" i="20" s="1"/>
  <c r="D11" i="20" s="1"/>
  <c r="D12" i="20" s="1"/>
  <c r="D13" i="20" s="1"/>
  <c r="D14" i="20" s="1"/>
  <c r="D15" i="20" s="1"/>
  <c r="D16" i="20" s="1"/>
  <c r="D17" i="20" s="1"/>
  <c r="D18" i="20" s="1"/>
  <c r="D19" i="20" s="1"/>
  <c r="D20" i="20" s="1"/>
  <c r="D21" i="20" s="1"/>
  <c r="D22" i="20" s="1"/>
  <c r="D23" i="20" s="1"/>
  <c r="D24" i="20" s="1"/>
  <c r="D25" i="20" s="1"/>
  <c r="D26" i="20" s="1"/>
  <c r="D27" i="20" s="1"/>
  <c r="D28" i="20" s="1"/>
  <c r="D29" i="20" s="1"/>
  <c r="D30" i="20" s="1"/>
  <c r="D31" i="20" s="1"/>
  <c r="D32" i="20" s="1"/>
  <c r="D33" i="20" s="1"/>
  <c r="D34" i="20" s="1"/>
  <c r="D35" i="20" s="1"/>
  <c r="D36" i="19" s="1"/>
  <c r="G17" i="19"/>
  <c r="G21" i="19"/>
  <c r="G25" i="19"/>
  <c r="G29" i="19"/>
  <c r="G33" i="19"/>
  <c r="G32" i="19"/>
  <c r="D10" i="19"/>
  <c r="D18" i="19"/>
  <c r="D24" i="19"/>
  <c r="D11" i="19"/>
  <c r="G11" i="19"/>
  <c r="G15" i="19"/>
  <c r="G19" i="19"/>
  <c r="G23" i="19"/>
  <c r="G27" i="19"/>
  <c r="G31" i="19"/>
  <c r="G35" i="19"/>
  <c r="G10" i="19"/>
  <c r="G14" i="19"/>
  <c r="G18" i="19"/>
  <c r="G22" i="19"/>
  <c r="G26" i="19"/>
  <c r="G30" i="19"/>
  <c r="G34" i="19"/>
  <c r="N8" i="19"/>
  <c r="G8" i="19"/>
  <c r="G12" i="19"/>
  <c r="G16" i="19"/>
  <c r="G20" i="19"/>
  <c r="G24" i="19"/>
  <c r="G28" i="19"/>
  <c r="F7" i="19"/>
  <c r="G6" i="20"/>
  <c r="F6" i="20"/>
  <c r="D16" i="19" l="1"/>
  <c r="D12" i="19"/>
  <c r="D20" i="19"/>
  <c r="D28" i="19"/>
  <c r="D29" i="19"/>
  <c r="D23" i="19"/>
  <c r="D35" i="19"/>
  <c r="D21" i="19"/>
  <c r="D31" i="19"/>
  <c r="D27" i="19"/>
  <c r="D13" i="19"/>
  <c r="D19" i="19"/>
  <c r="D34" i="19"/>
  <c r="D25" i="19"/>
  <c r="D26" i="19"/>
  <c r="D15" i="19"/>
  <c r="D32" i="19"/>
  <c r="D22" i="19"/>
  <c r="D14" i="19"/>
  <c r="D33" i="19"/>
  <c r="D30" i="19"/>
  <c r="D17" i="19"/>
  <c r="N5" i="19"/>
  <c r="N6" i="19"/>
  <c r="N4" i="19" s="1"/>
  <c r="N19" i="19" s="1"/>
  <c r="N21" i="19" s="1"/>
  <c r="I54" i="19" l="1"/>
  <c r="H49" i="19"/>
  <c r="I46" i="19"/>
  <c r="H41" i="19"/>
  <c r="I38" i="19"/>
  <c r="I44" i="19"/>
  <c r="I49" i="19"/>
  <c r="I48" i="19"/>
  <c r="I40" i="19"/>
  <c r="I53" i="19"/>
  <c r="H48" i="19"/>
  <c r="I45" i="19"/>
  <c r="H40" i="19"/>
  <c r="I37" i="19"/>
  <c r="H44" i="19"/>
  <c r="I41" i="19"/>
  <c r="I52" i="19"/>
  <c r="H52" i="19"/>
  <c r="H39" i="19"/>
  <c r="H53" i="19"/>
  <c r="H43" i="19"/>
  <c r="I42" i="19"/>
  <c r="H38" i="19"/>
  <c r="H51" i="19"/>
  <c r="I50" i="19"/>
  <c r="H46" i="19"/>
  <c r="I39" i="19"/>
  <c r="H47" i="19"/>
  <c r="H54" i="19"/>
  <c r="I43" i="19"/>
  <c r="I51" i="19"/>
  <c r="H42" i="19"/>
  <c r="H50" i="19"/>
  <c r="H37" i="19"/>
  <c r="I47" i="19"/>
  <c r="H45" i="19"/>
  <c r="I27" i="19"/>
  <c r="I16" i="19"/>
  <c r="I21" i="19"/>
  <c r="I10" i="19"/>
  <c r="I11" i="19"/>
  <c r="I35" i="19"/>
  <c r="I31" i="19"/>
  <c r="I19" i="19"/>
  <c r="I34" i="19"/>
  <c r="I17" i="19"/>
  <c r="I8" i="19"/>
  <c r="I24" i="19"/>
  <c r="I25" i="19"/>
  <c r="I33" i="19"/>
  <c r="I28" i="19"/>
  <c r="I32" i="19"/>
  <c r="I12" i="19"/>
  <c r="I9" i="19"/>
  <c r="I20" i="19"/>
  <c r="I14" i="19"/>
  <c r="I26" i="19"/>
  <c r="I30" i="19"/>
  <c r="I23" i="19"/>
  <c r="I22" i="19"/>
  <c r="I29" i="19"/>
  <c r="I18" i="19"/>
  <c r="I36" i="19"/>
  <c r="I13" i="19"/>
  <c r="I15" i="19"/>
  <c r="N23" i="19"/>
  <c r="N22" i="19"/>
  <c r="N12" i="19" l="1"/>
  <c r="O17" i="19"/>
  <c r="H7" i="19" l="1"/>
  <c r="H33" i="19" l="1"/>
  <c r="H29" i="19"/>
  <c r="H25" i="19"/>
  <c r="H21" i="19"/>
  <c r="H17" i="19"/>
  <c r="H13" i="19"/>
  <c r="H9" i="19"/>
  <c r="H36" i="19"/>
  <c r="H32" i="19"/>
  <c r="H28" i="19"/>
  <c r="H24" i="19"/>
  <c r="H20" i="19"/>
  <c r="H16" i="19"/>
  <c r="H12" i="19"/>
  <c r="H8" i="19"/>
  <c r="H35" i="19"/>
  <c r="H31" i="19"/>
  <c r="H27" i="19"/>
  <c r="H23" i="19"/>
  <c r="H19" i="19"/>
  <c r="H15" i="19"/>
  <c r="H11" i="19"/>
  <c r="H34" i="19"/>
  <c r="H30" i="19"/>
  <c r="H26" i="19"/>
  <c r="H22" i="19"/>
  <c r="H18" i="19"/>
  <c r="H14" i="19"/>
  <c r="H10" i="19"/>
  <c r="N11" i="19" l="1"/>
</calcChain>
</file>

<file path=xl/sharedStrings.xml><?xml version="1.0" encoding="utf-8"?>
<sst xmlns="http://schemas.openxmlformats.org/spreadsheetml/2006/main" count="129" uniqueCount="92">
  <si>
    <t>Data</t>
  </si>
  <si>
    <t>Objeto</t>
  </si>
  <si>
    <t>Instrumento:</t>
  </si>
  <si>
    <t>Horário</t>
  </si>
  <si>
    <t>Punto</t>
  </si>
  <si>
    <t>Observación:</t>
  </si>
  <si>
    <t>Patrón</t>
  </si>
  <si>
    <t>PTU Estándard - F2910028</t>
  </si>
  <si>
    <t>K</t>
  </si>
  <si>
    <t>Unidad:</t>
  </si>
  <si>
    <t>Curtosis</t>
  </si>
  <si>
    <t>Asimetría</t>
  </si>
  <si>
    <t>Simbolo da magnitude:</t>
  </si>
  <si>
    <t>T</t>
  </si>
  <si>
    <t>Diferencia sistemática</t>
  </si>
  <si>
    <t>ASTM 4430-00</t>
  </si>
  <si>
    <t>d</t>
  </si>
  <si>
    <t>µ</t>
  </si>
  <si>
    <t>D</t>
  </si>
  <si>
    <t>C</t>
  </si>
  <si>
    <t>s</t>
  </si>
  <si>
    <t>M</t>
  </si>
  <si>
    <t>Tabla Tt-01: Temperatura experimentales tratados, datos en régimen estacionario.</t>
  </si>
  <si>
    <r>
      <t>(</t>
    </r>
    <r>
      <rPr>
        <b/>
        <i/>
        <sz val="11"/>
        <rFont val="Calibri"/>
        <family val="2"/>
        <scheme val="minor"/>
      </rPr>
      <t>systematic difference</t>
    </r>
    <r>
      <rPr>
        <b/>
        <sz val="11"/>
        <rFont val="Calibri"/>
        <family val="2"/>
        <scheme val="minor"/>
      </rPr>
      <t>)</t>
    </r>
  </si>
  <si>
    <t>Observaciones</t>
  </si>
  <si>
    <t>Estadística</t>
  </si>
  <si>
    <t>Símbolo</t>
  </si>
  <si>
    <t>Valor</t>
  </si>
  <si>
    <t>Unidad</t>
  </si>
  <si>
    <t>t</t>
  </si>
  <si>
    <t>°C</t>
  </si>
  <si>
    <t>Constante para conversão:</t>
  </si>
  <si>
    <t>a</t>
  </si>
  <si>
    <t>b</t>
  </si>
  <si>
    <t>r</t>
  </si>
  <si>
    <t>La columna Muestra debe contener una letra para cada muestra, comenzando con "a", luego "b" y así sucesivamente hasta la última muestra.</t>
  </si>
  <si>
    <t>Tabla Tt-04: Temperatura experimentales tratados, datos en régimen estacionario, estadísticas ASTM 4430-00.</t>
  </si>
  <si>
    <r>
      <t>(</t>
    </r>
    <r>
      <rPr>
        <b/>
        <i/>
        <sz val="11"/>
        <rFont val="Calibri"/>
        <family val="2"/>
        <scheme val="minor"/>
      </rPr>
      <t>skewness</t>
    </r>
    <r>
      <rPr>
        <b/>
        <sz val="11"/>
        <rFont val="Calibri"/>
        <family val="2"/>
        <scheme val="minor"/>
      </rPr>
      <t>)</t>
    </r>
  </si>
  <si>
    <r>
      <t xml:space="preserve">Diferencia sistemática (3.2.1 </t>
    </r>
    <r>
      <rPr>
        <i/>
        <sz val="11"/>
        <color theme="1"/>
        <rFont val="Calibri"/>
        <family val="2"/>
        <scheme val="minor"/>
      </rPr>
      <t>systematic difference</t>
    </r>
    <r>
      <rPr>
        <sz val="11"/>
        <color theme="1"/>
        <rFont val="Calibri"/>
        <family val="2"/>
        <scheme val="minor"/>
      </rPr>
      <t>)</t>
    </r>
  </si>
  <si>
    <r>
      <t xml:space="preserve">Diferencia (3.2.1 </t>
    </r>
    <r>
      <rPr>
        <i/>
        <sz val="11"/>
        <color theme="1"/>
        <rFont val="Calibri"/>
        <family val="2"/>
        <scheme val="minor"/>
      </rPr>
      <t>difference</t>
    </r>
    <r>
      <rPr>
        <sz val="11"/>
        <color theme="1"/>
        <rFont val="Calibri"/>
        <family val="2"/>
        <scheme val="minor"/>
      </rPr>
      <t>)</t>
    </r>
  </si>
  <si>
    <r>
      <t xml:space="preserve">Comparabilidad operacional (3.2.3 </t>
    </r>
    <r>
      <rPr>
        <i/>
        <sz val="11"/>
        <color theme="1"/>
        <rFont val="Calibri"/>
        <family val="2"/>
        <scheme val="minor"/>
      </rPr>
      <t>operational comparability</t>
    </r>
    <r>
      <rPr>
        <sz val="11"/>
        <color theme="1"/>
        <rFont val="Calibri"/>
        <family val="2"/>
        <scheme val="minor"/>
      </rPr>
      <t>)</t>
    </r>
  </si>
  <si>
    <t>N</t>
  </si>
  <si>
    <r>
      <t xml:space="preserve">Asimetría (3.2.5 </t>
    </r>
    <r>
      <rPr>
        <i/>
        <sz val="11"/>
        <color theme="1"/>
        <rFont val="Calibri"/>
        <family val="2"/>
        <scheme val="minor"/>
      </rPr>
      <t>skewness</t>
    </r>
    <r>
      <rPr>
        <sz val="11"/>
        <color theme="1"/>
        <rFont val="Calibri"/>
        <family val="2"/>
        <scheme val="minor"/>
      </rPr>
      <t>)</t>
    </r>
  </si>
  <si>
    <t>Media  del patrón</t>
  </si>
  <si>
    <r>
      <t>Media de la población (</t>
    </r>
    <r>
      <rPr>
        <i/>
        <sz val="11"/>
        <color theme="1"/>
        <rFont val="Calibri"/>
        <family val="2"/>
        <scheme val="minor"/>
      </rPr>
      <t>mean of the population</t>
    </r>
    <r>
      <rPr>
        <sz val="11"/>
        <color theme="1"/>
        <rFont val="Calibri"/>
        <family val="2"/>
        <scheme val="minor"/>
      </rPr>
      <t>)</t>
    </r>
  </si>
  <si>
    <r>
      <t>(</t>
    </r>
    <r>
      <rPr>
        <b/>
        <i/>
        <sz val="11"/>
        <rFont val="Calibri"/>
        <family val="2"/>
        <scheme val="minor"/>
      </rPr>
      <t>kurtosis</t>
    </r>
    <r>
      <rPr>
        <b/>
        <sz val="11"/>
        <rFont val="Calibri"/>
        <family val="2"/>
        <scheme val="minor"/>
      </rPr>
      <t>)</t>
    </r>
  </si>
  <si>
    <r>
      <t xml:space="preserve">Curtosis (3.2.6 </t>
    </r>
    <r>
      <rPr>
        <i/>
        <sz val="11"/>
        <color theme="1"/>
        <rFont val="Calibri"/>
        <family val="2"/>
        <scheme val="minor"/>
      </rPr>
      <t>kurtosis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</si>
  <si>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rFont val="Times New Roman"/>
        <family val="1"/>
      </rPr>
      <t>M</t>
    </r>
    <r>
      <rPr>
        <sz val="11"/>
        <rFont val="Calibri"/>
        <family val="2"/>
        <scheme val="minor"/>
      </rPr>
      <t xml:space="preserve"> = 0 para FDP normal</t>
    </r>
  </si>
  <si>
    <r>
      <t xml:space="preserve">Desviación estándar estimada de la diferencia (3.2.4 </t>
    </r>
    <r>
      <rPr>
        <i/>
        <sz val="11"/>
        <color theme="1"/>
        <rFont val="Calibri"/>
        <family val="2"/>
        <scheme val="minor"/>
      </rPr>
      <t>estimated standard deviation of the difference</t>
    </r>
    <r>
      <rPr>
        <sz val="11"/>
        <color theme="1"/>
        <rFont val="Calibri"/>
        <family val="2"/>
        <scheme val="minor"/>
      </rPr>
      <t>)</t>
    </r>
  </si>
  <si>
    <r>
      <t xml:space="preserve">Tiempo de respuesta (3.2.7 </t>
    </r>
    <r>
      <rPr>
        <i/>
        <sz val="11"/>
        <color theme="1"/>
        <rFont val="Calibri"/>
        <family val="2"/>
        <scheme val="minor"/>
      </rPr>
      <t>response time</t>
    </r>
    <r>
      <rPr>
        <sz val="11"/>
        <color theme="1"/>
        <rFont val="Calibri"/>
        <family val="2"/>
        <scheme val="minor"/>
      </rPr>
      <t>)</t>
    </r>
  </si>
  <si>
    <t>ingresar información</t>
  </si>
  <si>
    <r>
      <t xml:space="preserve">Resolución (3.2.9 </t>
    </r>
    <r>
      <rPr>
        <i/>
        <sz val="11"/>
        <color theme="1"/>
        <rFont val="Calibri"/>
        <family val="2"/>
        <scheme val="minor"/>
      </rPr>
      <t>resolution</t>
    </r>
    <r>
      <rPr>
        <sz val="11"/>
        <color theme="1"/>
        <rFont val="Calibri"/>
        <family val="2"/>
        <scheme val="minor"/>
      </rPr>
      <t>)</t>
    </r>
  </si>
  <si>
    <t>Nn</t>
  </si>
  <si>
    <t>Cantidad mínima muestras (9.6.1)</t>
  </si>
  <si>
    <t>Cantidad mínima de elementos en cada muestra (11.5)</t>
  </si>
  <si>
    <t>Ni</t>
  </si>
  <si>
    <r>
      <t>Rango de medidas (</t>
    </r>
    <r>
      <rPr>
        <i/>
        <sz val="11"/>
        <color theme="1"/>
        <rFont val="Calibri"/>
        <family val="2"/>
        <scheme val="minor"/>
      </rPr>
      <t>range of measurements</t>
    </r>
    <r>
      <rPr>
        <sz val="11"/>
        <color theme="1"/>
        <rFont val="Calibri"/>
        <family val="2"/>
        <scheme val="minor"/>
      </rPr>
      <t>)</t>
    </r>
  </si>
  <si>
    <t>A</t>
  </si>
  <si>
    <t>?</t>
  </si>
  <si>
    <r>
      <t xml:space="preserve">Evidencia de interacción del sistema que afectaría la diferencia sistemática </t>
    </r>
    <r>
      <rPr>
        <i/>
        <sz val="11"/>
        <color theme="1"/>
        <rFont val="Times New Roman"/>
        <family val="1"/>
      </rPr>
      <t>d</t>
    </r>
  </si>
  <si>
    <t>Item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</si>
  <si>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</si>
  <si>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</si>
  <si>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</si>
  <si>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</si>
  <si>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</si>
  <si>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</si>
  <si>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</si>
  <si>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</si>
  <si>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</si>
  <si>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</si>
  <si>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</si>
  <si>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</si>
  <si>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</si>
  <si>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r>
      <t>Cantidad de elementos muestrais (</t>
    </r>
    <r>
      <rPr>
        <i/>
        <sz val="11"/>
        <color theme="1"/>
        <rFont val="Calibri"/>
        <family val="2"/>
        <scheme val="minor"/>
      </rPr>
      <t xml:space="preserve">number of samples used to calculate </t>
    </r>
    <r>
      <rPr>
        <i/>
        <sz val="11"/>
        <color theme="1"/>
        <rFont val="Times New Roman"/>
        <family val="1"/>
      </rPr>
      <t>C</t>
    </r>
    <r>
      <rPr>
        <i/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Times New Roman"/>
        <family val="1"/>
      </rPr>
      <t>d</t>
    </r>
    <r>
      <rPr>
        <sz val="11"/>
        <color theme="1"/>
        <rFont val="Calibri"/>
        <family val="2"/>
        <scheme val="minor"/>
      </rPr>
      <t>)</t>
    </r>
  </si>
  <si>
    <r>
      <t>Intervalo de tiempo entre pares de elementos de muestra (</t>
    </r>
    <r>
      <rPr>
        <i/>
        <sz val="11"/>
        <color theme="1"/>
        <rFont val="Calibri"/>
        <family val="2"/>
        <scheme val="minor"/>
      </rPr>
      <t>time interval between pairs of samples</t>
    </r>
    <r>
      <rPr>
        <sz val="11"/>
        <color theme="1"/>
        <rFont val="Calibri"/>
        <family val="2"/>
        <scheme val="minor"/>
      </rPr>
      <t>)</t>
    </r>
  </si>
  <si>
    <r>
      <t>Dependence between the sample difference... (</t>
    </r>
    <r>
      <rPr>
        <i/>
        <sz val="11"/>
        <color rgb="FFFF0000"/>
        <rFont val="Calibri"/>
        <family val="2"/>
        <scheme val="minor"/>
      </rPr>
      <t>measured and the magnitude of the measurement</t>
    </r>
    <r>
      <rPr>
        <sz val="11"/>
        <color rgb="FFFF0000"/>
        <rFont val="Calibri"/>
        <family val="2"/>
        <scheme val="minor"/>
      </rPr>
      <t>)</t>
    </r>
  </si>
  <si>
    <t>Fecha y hora de la calibración más reciente</t>
  </si>
  <si>
    <t>Fecha y hora de inicio del período de recopilación de datos</t>
  </si>
  <si>
    <t>Fecha y hora de finalización del período de recopilación de datos</t>
  </si>
  <si>
    <t>Tabla T-05: Estatísticas segundo norma ASTM 4430-00.</t>
  </si>
  <si>
    <t>Muesta</t>
  </si>
  <si>
    <t>(¿Tienes incertitumbres? Contacta al autor kalid@ufsb.edu.br)</t>
  </si>
  <si>
    <r>
      <rPr>
        <i/>
        <sz val="11"/>
        <rFont val="Times New Roman"/>
        <family val="1"/>
      </rPr>
      <t>K</t>
    </r>
    <r>
      <rPr>
        <sz val="11"/>
        <rFont val="Calibri"/>
        <family val="2"/>
        <scheme val="minor"/>
      </rPr>
      <t xml:space="preserve"> = 3 para FDP normal</t>
    </r>
  </si>
  <si>
    <t>Correlogram</t>
  </si>
  <si>
    <t>acf</t>
  </si>
  <si>
    <t>alpha</t>
  </si>
  <si>
    <t>lags</t>
  </si>
  <si>
    <t>lower</t>
  </si>
  <si>
    <t>upper</t>
  </si>
  <si>
    <r>
      <t xml:space="preserve">La columna </t>
    </r>
    <r>
      <rPr>
        <b/>
        <sz val="11"/>
        <color theme="1"/>
        <rFont val="Calibri"/>
        <family val="2"/>
        <scheme val="minor"/>
      </rPr>
      <t>Punto</t>
    </r>
    <r>
      <rPr>
        <sz val="11"/>
        <color theme="1"/>
        <rFont val="Calibri"/>
        <family val="2"/>
        <scheme val="minor"/>
      </rPr>
      <t xml:space="preserve"> debe contener el número del elemento de muestra que comienza con n y agrega una unidad al último elemento de la muestra.</t>
    </r>
  </si>
  <si>
    <t>3 s / N^(1/2)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</si>
</sst>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400]h:mm:ss\ AM/PM"/>
    <numFmt numFmtId="165" formatCode="0.0000"/>
    <numFmt numFmtId="166" formatCode="0.00000"/>
    <numFmt numFmtId="167" formatCode="0.000000000"/>
    <numFmt numFmtId="168" formatCode="0.0%"/>
    <numFmt numFmtId="169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CC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0000CC"/>
      <name val="Calibri"/>
      <family val="2"/>
      <scheme val="minor"/>
    </font>
    <font>
      <sz val="9"/>
      <color rgb="FF595959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theme="1"/>
      <name val="Times New Roman"/>
      <family val="1"/>
    </font>
    <font>
      <i/>
      <sz val="11"/>
      <name val="Times New Roman"/>
      <family val="1"/>
    </font>
    <font>
      <sz val="11"/>
      <name val="Calibri"/>
      <family val="1"/>
      <scheme val="minor"/>
    </font>
    <font>
      <i/>
      <sz val="11"/>
      <color rgb="FFFF0000"/>
      <name val="Calibri"/>
      <family val="2"/>
      <scheme val="minor"/>
    </font>
    <font>
      <i/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151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165" fontId="0" fillId="0" borderId="0" xfId="0" applyNumberFormat="1"/>
    <xf numFmtId="0" fontId="1" fillId="0" borderId="2" xfId="0" applyFont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2" fontId="6" fillId="0" borderId="0" xfId="0" applyNumberFormat="1" applyFont="1" applyAlignment="1">
      <alignment horizontal="left" indent="1"/>
    </xf>
    <xf numFmtId="2" fontId="5" fillId="0" borderId="0" xfId="0" applyNumberFormat="1" applyFont="1" applyAlignment="1">
      <alignment horizontal="left" indent="1"/>
    </xf>
    <xf numFmtId="0" fontId="0" fillId="0" borderId="1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NumberFormat="1" applyBorder="1" applyAlignment="1">
      <alignment horizontal="right" indent="1"/>
    </xf>
    <xf numFmtId="0" fontId="0" fillId="0" borderId="0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7" fillId="0" borderId="0" xfId="0" applyFont="1" applyBorder="1" applyAlignment="1">
      <alignment horizontal="center" vertical="center" readingOrder="1"/>
    </xf>
    <xf numFmtId="0" fontId="9" fillId="0" borderId="2" xfId="0" applyFont="1" applyBorder="1" applyAlignment="1">
      <alignment horizontal="center"/>
    </xf>
    <xf numFmtId="0" fontId="1" fillId="0" borderId="1" xfId="0" applyFont="1" applyBorder="1"/>
    <xf numFmtId="0" fontId="10" fillId="0" borderId="7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1" fontId="0" fillId="0" borderId="0" xfId="0" applyNumberFormat="1" applyBorder="1" applyAlignment="1">
      <alignment horizontal="right" indent="2"/>
    </xf>
    <xf numFmtId="1" fontId="0" fillId="0" borderId="0" xfId="0" applyNumberFormat="1" applyBorder="1" applyAlignment="1">
      <alignment horizontal="right" indent="3"/>
    </xf>
    <xf numFmtId="0" fontId="0" fillId="0" borderId="0" xfId="0" applyFill="1" applyBorder="1" applyAlignment="1">
      <alignment horizontal="left"/>
    </xf>
    <xf numFmtId="0" fontId="0" fillId="0" borderId="3" xfId="0" applyBorder="1"/>
    <xf numFmtId="0" fontId="0" fillId="0" borderId="0" xfId="0" applyBorder="1" applyAlignment="1">
      <alignment horizontal="right" indent="2"/>
    </xf>
    <xf numFmtId="166" fontId="6" fillId="0" borderId="0" xfId="0" applyNumberFormat="1" applyFont="1" applyBorder="1"/>
    <xf numFmtId="1" fontId="6" fillId="0" borderId="0" xfId="0" applyNumberFormat="1" applyFont="1" applyBorder="1" applyAlignment="1">
      <alignment horizontal="right" indent="2"/>
    </xf>
    <xf numFmtId="166" fontId="8" fillId="0" borderId="0" xfId="0" applyNumberFormat="1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2" fontId="0" fillId="0" borderId="0" xfId="0" applyNumberFormat="1" applyAlignment="1">
      <alignment horizontal="right" indent="3"/>
    </xf>
    <xf numFmtId="2" fontId="0" fillId="0" borderId="0" xfId="0" applyNumberFormat="1" applyFont="1" applyAlignment="1">
      <alignment horizontal="right" indent="3"/>
    </xf>
    <xf numFmtId="1" fontId="0" fillId="0" borderId="0" xfId="0" applyNumberFormat="1" applyBorder="1" applyAlignment="1">
      <alignment horizontal="right"/>
    </xf>
    <xf numFmtId="165" fontId="0" fillId="0" borderId="0" xfId="0" applyNumberFormat="1" applyFont="1" applyAlignment="1">
      <alignment horizontal="right" indent="1"/>
    </xf>
    <xf numFmtId="165" fontId="0" fillId="0" borderId="0" xfId="0" applyNumberFormat="1" applyAlignment="1">
      <alignment horizontal="right" indent="1"/>
    </xf>
    <xf numFmtId="2" fontId="10" fillId="0" borderId="8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/>
    </xf>
    <xf numFmtId="0" fontId="11" fillId="0" borderId="0" xfId="1" applyNumberFormat="1" applyFont="1" applyBorder="1"/>
    <xf numFmtId="168" fontId="11" fillId="0" borderId="0" xfId="1" applyNumberFormat="1" applyFont="1" applyBorder="1"/>
    <xf numFmtId="167" fontId="11" fillId="0" borderId="0" xfId="0" applyNumberFormat="1" applyFont="1" applyFill="1" applyBorder="1" applyAlignment="1">
      <alignment horizontal="left"/>
    </xf>
    <xf numFmtId="167" fontId="11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2" borderId="0" xfId="0" applyNumberFormat="1" applyFill="1" applyAlignment="1" applyProtection="1">
      <alignment horizontal="right" indent="1"/>
      <protection locked="0"/>
    </xf>
    <xf numFmtId="0" fontId="0" fillId="2" borderId="0" xfId="0" applyFont="1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0" borderId="0" xfId="0" applyFont="1" applyBorder="1" applyAlignment="1"/>
    <xf numFmtId="0" fontId="9" fillId="0" borderId="10" xfId="0" applyFont="1" applyBorder="1" applyAlignment="1">
      <alignment horizontal="center"/>
    </xf>
    <xf numFmtId="14" fontId="0" fillId="2" borderId="0" xfId="0" applyNumberFormat="1" applyFill="1" applyAlignment="1" applyProtection="1">
      <alignment horizontal="center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14" fontId="0" fillId="2" borderId="1" xfId="0" applyNumberFormat="1" applyFill="1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right" indent="1"/>
      <protection locked="0"/>
    </xf>
    <xf numFmtId="2" fontId="0" fillId="0" borderId="0" xfId="0" applyNumberFormat="1"/>
    <xf numFmtId="0" fontId="0" fillId="0" borderId="0" xfId="0" applyNumberFormat="1" applyFill="1" applyAlignment="1" applyProtection="1">
      <alignment horizontal="right" indent="1"/>
    </xf>
    <xf numFmtId="0" fontId="0" fillId="2" borderId="0" xfId="0" applyNumberFormat="1" applyFill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0" borderId="0" xfId="0" applyNumberFormat="1" applyFill="1" applyAlignment="1" applyProtection="1">
      <alignment horizontal="center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right" indent="1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2" fontId="6" fillId="0" borderId="1" xfId="0" applyNumberFormat="1" applyFont="1" applyBorder="1" applyAlignment="1">
      <alignment horizontal="right" indent="3"/>
    </xf>
    <xf numFmtId="2" fontId="8" fillId="0" borderId="1" xfId="0" applyNumberFormat="1" applyFont="1" applyBorder="1" applyAlignment="1">
      <alignment horizontal="right" indent="3"/>
    </xf>
    <xf numFmtId="166" fontId="11" fillId="0" borderId="0" xfId="0" applyNumberFormat="1" applyFont="1" applyBorder="1"/>
    <xf numFmtId="0" fontId="11" fillId="0" borderId="0" xfId="0" applyFont="1" applyFill="1" applyBorder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0" fontId="11" fillId="0" borderId="0" xfId="0" applyNumberFormat="1" applyFont="1" applyBorder="1"/>
    <xf numFmtId="0" fontId="3" fillId="0" borderId="0" xfId="0" applyFont="1" applyBorder="1" applyAlignment="1">
      <alignment horizontal="center" wrapText="1"/>
    </xf>
    <xf numFmtId="2" fontId="11" fillId="0" borderId="0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/>
    </xf>
    <xf numFmtId="2" fontId="14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1" fontId="0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right" indent="3"/>
    </xf>
    <xf numFmtId="2" fontId="8" fillId="0" borderId="0" xfId="0" applyNumberFormat="1" applyFont="1" applyBorder="1" applyAlignment="1">
      <alignment horizontal="right" indent="3"/>
    </xf>
    <xf numFmtId="11" fontId="11" fillId="0" borderId="0" xfId="0" applyNumberFormat="1" applyFont="1" applyBorder="1" applyAlignment="1">
      <alignment horizontal="center"/>
    </xf>
    <xf numFmtId="11" fontId="11" fillId="0" borderId="1" xfId="0" applyNumberFormat="1" applyFont="1" applyBorder="1" applyAlignment="1">
      <alignment horizontal="center"/>
    </xf>
    <xf numFmtId="166" fontId="16" fillId="0" borderId="0" xfId="0" applyNumberFormat="1" applyFont="1" applyBorder="1"/>
    <xf numFmtId="0" fontId="1" fillId="0" borderId="13" xfId="0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0" fontId="1" fillId="0" borderId="13" xfId="0" applyFont="1" applyBorder="1" applyAlignment="1"/>
    <xf numFmtId="0" fontId="0" fillId="2" borderId="0" xfId="0" applyFill="1" applyProtection="1">
      <protection locked="0"/>
    </xf>
    <xf numFmtId="166" fontId="6" fillId="2" borderId="0" xfId="0" applyNumberFormat="1" applyFont="1" applyFill="1" applyBorder="1" applyProtection="1">
      <protection locked="0"/>
    </xf>
    <xf numFmtId="0" fontId="14" fillId="0" borderId="1" xfId="0" applyFont="1" applyBorder="1" applyAlignment="1">
      <alignment horizontal="center"/>
    </xf>
    <xf numFmtId="166" fontId="6" fillId="0" borderId="1" xfId="0" applyNumberFormat="1" applyFont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Font="1" applyBorder="1" applyAlignment="1">
      <alignment horizontal="left" wrapText="1"/>
    </xf>
    <xf numFmtId="2" fontId="18" fillId="0" borderId="0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169" fontId="0" fillId="2" borderId="0" xfId="0" applyNumberFormat="1" applyFill="1" applyAlignment="1">
      <alignment horizontal="center"/>
    </xf>
    <xf numFmtId="169" fontId="0" fillId="2" borderId="1" xfId="0" applyNumberFormat="1" applyFill="1" applyBorder="1" applyAlignment="1">
      <alignment horizontal="center"/>
    </xf>
    <xf numFmtId="169" fontId="8" fillId="2" borderId="0" xfId="0" applyNumberFormat="1" applyFont="1" applyFill="1" applyAlignment="1" applyProtection="1">
      <alignment horizontal="left" indent="1"/>
      <protection locked="0"/>
    </xf>
    <xf numFmtId="169" fontId="8" fillId="2" borderId="1" xfId="0" applyNumberFormat="1" applyFont="1" applyFill="1" applyBorder="1" applyAlignment="1" applyProtection="1">
      <alignment horizontal="left" indent="1"/>
      <protection locked="0"/>
    </xf>
    <xf numFmtId="0" fontId="0" fillId="0" borderId="1" xfId="0" applyNumberFormat="1" applyBorder="1" applyAlignment="1">
      <alignment horizontal="right" indent="1"/>
    </xf>
    <xf numFmtId="0" fontId="0" fillId="0" borderId="4" xfId="0" applyBorder="1" applyAlignment="1">
      <alignment horizontal="center"/>
    </xf>
    <xf numFmtId="0" fontId="0" fillId="2" borderId="15" xfId="0" applyFill="1" applyBorder="1"/>
    <xf numFmtId="165" fontId="0" fillId="0" borderId="0" xfId="0" applyNumberFormat="1" applyFill="1" applyAlignment="1" applyProtection="1">
      <alignment horizontal="right" indent="1"/>
    </xf>
    <xf numFmtId="169" fontId="0" fillId="2" borderId="0" xfId="0" applyNumberFormat="1" applyFill="1" applyAlignment="1" applyProtection="1">
      <alignment horizontal="right" indent="3"/>
      <protection locked="0"/>
    </xf>
    <xf numFmtId="169" fontId="11" fillId="0" borderId="14" xfId="0" applyNumberFormat="1" applyFont="1" applyBorder="1" applyAlignment="1">
      <alignment horizontal="center"/>
    </xf>
    <xf numFmtId="169" fontId="11" fillId="0" borderId="8" xfId="0" applyNumberFormat="1" applyFont="1" applyBorder="1" applyAlignment="1">
      <alignment horizontal="center"/>
    </xf>
    <xf numFmtId="169" fontId="11" fillId="0" borderId="9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/>
    </xf>
    <xf numFmtId="2" fontId="14" fillId="0" borderId="3" xfId="0" applyNumberFormat="1" applyFont="1" applyBorder="1" applyAlignment="1">
      <alignment horizontal="center"/>
    </xf>
    <xf numFmtId="0" fontId="0" fillId="2" borderId="3" xfId="0" applyFill="1" applyBorder="1" applyProtection="1">
      <protection locked="0"/>
    </xf>
    <xf numFmtId="166" fontId="6" fillId="2" borderId="3" xfId="0" applyNumberFormat="1" applyFont="1" applyFill="1" applyBorder="1" applyProtection="1">
      <protection locked="0"/>
    </xf>
    <xf numFmtId="166" fontId="11" fillId="0" borderId="3" xfId="0" applyNumberFormat="1" applyFont="1" applyBorder="1"/>
    <xf numFmtId="0" fontId="14" fillId="0" borderId="3" xfId="0" applyFont="1" applyBorder="1" applyAlignment="1">
      <alignment horizontal="center"/>
    </xf>
    <xf numFmtId="2" fontId="0" fillId="3" borderId="3" xfId="0" applyNumberFormat="1" applyFont="1" applyFill="1" applyBorder="1" applyAlignment="1">
      <alignment horizontal="right" indent="3"/>
    </xf>
    <xf numFmtId="1" fontId="0" fillId="4" borderId="3" xfId="0" applyNumberFormat="1" applyFill="1" applyBorder="1" applyAlignment="1">
      <alignment horizontal="left"/>
    </xf>
    <xf numFmtId="0" fontId="11" fillId="0" borderId="0" xfId="0" applyFont="1" applyFill="1" applyAlignment="1">
      <alignment horizontal="center"/>
    </xf>
    <xf numFmtId="2" fontId="11" fillId="0" borderId="0" xfId="0" applyNumberFormat="1" applyFont="1" applyFill="1" applyAlignment="1">
      <alignment horizontal="center"/>
    </xf>
    <xf numFmtId="169" fontId="11" fillId="0" borderId="0" xfId="0" applyNumberFormat="1" applyFont="1" applyAlignment="1">
      <alignment horizont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1" fillId="0" borderId="3" xfId="0" applyFont="1" applyBorder="1" applyAlignment="1">
      <alignment horizontal="left"/>
    </xf>
    <xf numFmtId="2" fontId="11" fillId="0" borderId="8" xfId="0" applyNumberFormat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00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Gráfico de tendencia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'ASTM 4430-00'!$E$7</c:f>
              <c:strCache>
                <c:ptCount val="1"/>
                <c:pt idx="0">
                  <c:v>( Xai = Tp ) / (K)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'ASTM 4430-00'!$D$8:$D$36</c:f>
              <c:numCache>
                <c:formatCode>General</c:formatCode>
                <c:ptCount val="29"/>
                <c:pt idx="0">
                  <c:v>673</c:v>
                </c:pt>
                <c:pt idx="1">
                  <c:v>674</c:v>
                </c:pt>
                <c:pt idx="2">
                  <c:v>675</c:v>
                </c:pt>
                <c:pt idx="3">
                  <c:v>676</c:v>
                </c:pt>
                <c:pt idx="4">
                  <c:v>677</c:v>
                </c:pt>
                <c:pt idx="5">
                  <c:v>678</c:v>
                </c:pt>
                <c:pt idx="6">
                  <c:v>679</c:v>
                </c:pt>
                <c:pt idx="7">
                  <c:v>680</c:v>
                </c:pt>
                <c:pt idx="8">
                  <c:v>681</c:v>
                </c:pt>
                <c:pt idx="9">
                  <c:v>682</c:v>
                </c:pt>
                <c:pt idx="10">
                  <c:v>683</c:v>
                </c:pt>
                <c:pt idx="11">
                  <c:v>684</c:v>
                </c:pt>
                <c:pt idx="12">
                  <c:v>685</c:v>
                </c:pt>
                <c:pt idx="13">
                  <c:v>686</c:v>
                </c:pt>
                <c:pt idx="14">
                  <c:v>687</c:v>
                </c:pt>
                <c:pt idx="15">
                  <c:v>688</c:v>
                </c:pt>
                <c:pt idx="16">
                  <c:v>689</c:v>
                </c:pt>
                <c:pt idx="17">
                  <c:v>690</c:v>
                </c:pt>
                <c:pt idx="18">
                  <c:v>691</c:v>
                </c:pt>
                <c:pt idx="19">
                  <c:v>692</c:v>
                </c:pt>
                <c:pt idx="20">
                  <c:v>693</c:v>
                </c:pt>
                <c:pt idx="21">
                  <c:v>694</c:v>
                </c:pt>
                <c:pt idx="22">
                  <c:v>695</c:v>
                </c:pt>
                <c:pt idx="23">
                  <c:v>696</c:v>
                </c:pt>
                <c:pt idx="24">
                  <c:v>697</c:v>
                </c:pt>
                <c:pt idx="25">
                  <c:v>698</c:v>
                </c:pt>
                <c:pt idx="26">
                  <c:v>699</c:v>
                </c:pt>
                <c:pt idx="27">
                  <c:v>700</c:v>
                </c:pt>
                <c:pt idx="28">
                  <c:v>701</c:v>
                </c:pt>
              </c:numCache>
            </c:numRef>
          </c:xVal>
          <c:yVal>
            <c:numRef>
              <c:f>'ASTM 4430-00'!$E$8:$E$36</c:f>
              <c:numCache>
                <c:formatCode>0.00</c:formatCode>
                <c:ptCount val="29"/>
                <c:pt idx="0">
                  <c:v>296.04999999999995</c:v>
                </c:pt>
                <c:pt idx="1">
                  <c:v>296.04999999999995</c:v>
                </c:pt>
                <c:pt idx="2">
                  <c:v>296.04999999999995</c:v>
                </c:pt>
                <c:pt idx="3">
                  <c:v>296.04999999999995</c:v>
                </c:pt>
                <c:pt idx="4">
                  <c:v>296.04999999999995</c:v>
                </c:pt>
                <c:pt idx="5">
                  <c:v>296.04999999999995</c:v>
                </c:pt>
                <c:pt idx="6">
                  <c:v>296.04999999999995</c:v>
                </c:pt>
                <c:pt idx="7">
                  <c:v>296.04999999999995</c:v>
                </c:pt>
                <c:pt idx="8">
                  <c:v>296.04999999999995</c:v>
                </c:pt>
                <c:pt idx="9">
                  <c:v>296.04999999999995</c:v>
                </c:pt>
                <c:pt idx="10">
                  <c:v>296.04999999999995</c:v>
                </c:pt>
                <c:pt idx="11">
                  <c:v>296.04999999999995</c:v>
                </c:pt>
                <c:pt idx="12">
                  <c:v>296.04999999999995</c:v>
                </c:pt>
                <c:pt idx="13">
                  <c:v>295.95</c:v>
                </c:pt>
                <c:pt idx="14">
                  <c:v>295.95</c:v>
                </c:pt>
                <c:pt idx="15">
                  <c:v>296.04999999999995</c:v>
                </c:pt>
                <c:pt idx="16">
                  <c:v>296.04999999999995</c:v>
                </c:pt>
                <c:pt idx="17">
                  <c:v>296.04999999999995</c:v>
                </c:pt>
                <c:pt idx="18">
                  <c:v>296.04999999999995</c:v>
                </c:pt>
                <c:pt idx="19">
                  <c:v>296.04999999999995</c:v>
                </c:pt>
                <c:pt idx="20">
                  <c:v>296.04999999999995</c:v>
                </c:pt>
                <c:pt idx="21">
                  <c:v>296.14999999999998</c:v>
                </c:pt>
                <c:pt idx="22">
                  <c:v>296.04999999999995</c:v>
                </c:pt>
                <c:pt idx="23">
                  <c:v>296.04999999999995</c:v>
                </c:pt>
                <c:pt idx="24">
                  <c:v>295.95</c:v>
                </c:pt>
                <c:pt idx="25">
                  <c:v>295.95</c:v>
                </c:pt>
                <c:pt idx="26">
                  <c:v>296.04999999999995</c:v>
                </c:pt>
                <c:pt idx="27">
                  <c:v>296.04999999999995</c:v>
                </c:pt>
                <c:pt idx="28">
                  <c:v>296.04999999999995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49-4981-990E-95DCCB983FBF}"/>
            </c:ext>
          </c:extLst>
        </c:ser>
        <c:ser>
          <c:idx val="1"/>
          <c:order val="1"/>
          <c:tx>
            <c:strRef>
              <c:f>'ASTM 4430-00'!$F$7</c:f>
              <c:strCache>
                <c:ptCount val="1"/>
                <c:pt idx="0">
                  <c:v>( Xbi = To ) / (K)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'ASTM 4430-00'!$D$8:$D$36</c:f>
              <c:numCache>
                <c:formatCode>General</c:formatCode>
                <c:ptCount val="29"/>
                <c:pt idx="0">
                  <c:v>673</c:v>
                </c:pt>
                <c:pt idx="1">
                  <c:v>674</c:v>
                </c:pt>
                <c:pt idx="2">
                  <c:v>675</c:v>
                </c:pt>
                <c:pt idx="3">
                  <c:v>676</c:v>
                </c:pt>
                <c:pt idx="4">
                  <c:v>677</c:v>
                </c:pt>
                <c:pt idx="5">
                  <c:v>678</c:v>
                </c:pt>
                <c:pt idx="6">
                  <c:v>679</c:v>
                </c:pt>
                <c:pt idx="7">
                  <c:v>680</c:v>
                </c:pt>
                <c:pt idx="8">
                  <c:v>681</c:v>
                </c:pt>
                <c:pt idx="9">
                  <c:v>682</c:v>
                </c:pt>
                <c:pt idx="10">
                  <c:v>683</c:v>
                </c:pt>
                <c:pt idx="11">
                  <c:v>684</c:v>
                </c:pt>
                <c:pt idx="12">
                  <c:v>685</c:v>
                </c:pt>
                <c:pt idx="13">
                  <c:v>686</c:v>
                </c:pt>
                <c:pt idx="14">
                  <c:v>687</c:v>
                </c:pt>
                <c:pt idx="15">
                  <c:v>688</c:v>
                </c:pt>
                <c:pt idx="16">
                  <c:v>689</c:v>
                </c:pt>
                <c:pt idx="17">
                  <c:v>690</c:v>
                </c:pt>
                <c:pt idx="18">
                  <c:v>691</c:v>
                </c:pt>
                <c:pt idx="19">
                  <c:v>692</c:v>
                </c:pt>
                <c:pt idx="20">
                  <c:v>693</c:v>
                </c:pt>
                <c:pt idx="21">
                  <c:v>694</c:v>
                </c:pt>
                <c:pt idx="22">
                  <c:v>695</c:v>
                </c:pt>
                <c:pt idx="23">
                  <c:v>696</c:v>
                </c:pt>
                <c:pt idx="24">
                  <c:v>697</c:v>
                </c:pt>
                <c:pt idx="25">
                  <c:v>698</c:v>
                </c:pt>
                <c:pt idx="26">
                  <c:v>699</c:v>
                </c:pt>
                <c:pt idx="27">
                  <c:v>700</c:v>
                </c:pt>
                <c:pt idx="28">
                  <c:v>701</c:v>
                </c:pt>
              </c:numCache>
            </c:numRef>
          </c:xVal>
          <c:yVal>
            <c:numRef>
              <c:f>'ASTM 4430-00'!$F$8:$F$36</c:f>
              <c:numCache>
                <c:formatCode>0.00</c:formatCode>
                <c:ptCount val="29"/>
                <c:pt idx="0">
                  <c:v>296.04999999999995</c:v>
                </c:pt>
                <c:pt idx="1">
                  <c:v>296.04999999999995</c:v>
                </c:pt>
                <c:pt idx="2">
                  <c:v>296.04999999999995</c:v>
                </c:pt>
                <c:pt idx="3">
                  <c:v>296.14999999999998</c:v>
                </c:pt>
                <c:pt idx="4">
                  <c:v>296.04999999999995</c:v>
                </c:pt>
                <c:pt idx="5">
                  <c:v>296.14999999999998</c:v>
                </c:pt>
                <c:pt idx="6">
                  <c:v>296.14999999999998</c:v>
                </c:pt>
                <c:pt idx="7">
                  <c:v>296.14999999999998</c:v>
                </c:pt>
                <c:pt idx="8">
                  <c:v>296.14999999999998</c:v>
                </c:pt>
                <c:pt idx="9">
                  <c:v>296.14999999999998</c:v>
                </c:pt>
                <c:pt idx="10">
                  <c:v>296.14999999999998</c:v>
                </c:pt>
                <c:pt idx="11">
                  <c:v>296.14999999999998</c:v>
                </c:pt>
                <c:pt idx="12">
                  <c:v>296.14999999999998</c:v>
                </c:pt>
                <c:pt idx="13">
                  <c:v>296.14999999999998</c:v>
                </c:pt>
                <c:pt idx="14">
                  <c:v>296.14999999999998</c:v>
                </c:pt>
                <c:pt idx="15">
                  <c:v>296.14999999999998</c:v>
                </c:pt>
                <c:pt idx="16">
                  <c:v>296.14999999999998</c:v>
                </c:pt>
                <c:pt idx="17">
                  <c:v>296.14999999999998</c:v>
                </c:pt>
                <c:pt idx="18">
                  <c:v>296.14999999999998</c:v>
                </c:pt>
                <c:pt idx="19">
                  <c:v>296.14999999999998</c:v>
                </c:pt>
                <c:pt idx="20">
                  <c:v>296.14999999999998</c:v>
                </c:pt>
                <c:pt idx="21">
                  <c:v>296.14999999999998</c:v>
                </c:pt>
                <c:pt idx="22">
                  <c:v>296.14999999999998</c:v>
                </c:pt>
                <c:pt idx="23">
                  <c:v>296.14999999999998</c:v>
                </c:pt>
                <c:pt idx="24">
                  <c:v>296.14999999999998</c:v>
                </c:pt>
                <c:pt idx="25">
                  <c:v>296.14999999999998</c:v>
                </c:pt>
                <c:pt idx="26">
                  <c:v>296.14999999999998</c:v>
                </c:pt>
                <c:pt idx="27">
                  <c:v>296.14999999999998</c:v>
                </c:pt>
                <c:pt idx="28">
                  <c:v>296.14999999999998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49-4981-990E-95DCCB983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747720"/>
        <c:axId val="728743784"/>
      </c:scatterChart>
      <c:valAx>
        <c:axId val="728747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Muestras</a:t>
                </a:r>
              </a:p>
            </c:rich>
          </c:tx>
          <c:layout>
            <c:manualLayout>
              <c:xMode val="edge"/>
              <c:yMode val="edge"/>
              <c:x val="0.82365857392825892"/>
              <c:y val="0.77277696587086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28743784"/>
        <c:crosses val="autoZero"/>
        <c:crossBetween val="midCat"/>
      </c:valAx>
      <c:valAx>
        <c:axId val="728743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T / K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160558894925231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287477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s-ES" sz="1800" b="1" i="0" baseline="0">
                <a:effectLst/>
              </a:rPr>
              <a:t>Auto correlación del </a:t>
            </a:r>
            <a:r>
              <a:rPr lang="es-ES" sz="1800" b="1" i="0" baseline="0">
                <a:solidFill>
                  <a:srgbClr val="0000CC"/>
                </a:solidFill>
                <a:effectLst/>
              </a:rPr>
              <a:t>patrón</a:t>
            </a:r>
            <a:r>
              <a:rPr lang="es-ES" sz="1800" b="1" i="0" baseline="0">
                <a:effectLst/>
              </a:rPr>
              <a:t>, NC = 95 %</a:t>
            </a:r>
            <a:endParaRPr lang="es-ES" b="1">
              <a:effectLst/>
            </a:endParaRPr>
          </a:p>
          <a:p>
            <a:pPr>
              <a:defRPr b="1"/>
            </a:pPr>
            <a:r>
              <a:rPr lang="es-ES" sz="1800" b="1" i="0" baseline="0">
                <a:effectLst/>
              </a:rPr>
              <a:t>21/11/17 22:20:00 datos 673 a 701</a:t>
            </a:r>
            <a:endParaRPr lang="es-ES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v>acf</c:v>
          </c:tx>
          <c:invertIfNegative val="0"/>
          <c:cat>
            <c:numRef>
              <c:f>'Auto correlación patrón'!$A$4:$A$32</c:f>
              <c:numCache>
                <c:formatCode>General</c:formatCode>
                <c:ptCount val="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</c:numCache>
            </c:numRef>
          </c:cat>
          <c:val>
            <c:numRef>
              <c:f>'Auto correlación patrón'!$B$4:$B$32</c:f>
              <c:numCache>
                <c:formatCode>General</c:formatCode>
                <c:ptCount val="29"/>
                <c:pt idx="0">
                  <c:v>1</c:v>
                </c:pt>
                <c:pt idx="1">
                  <c:v>0.35801217038534727</c:v>
                </c:pt>
                <c:pt idx="2">
                  <c:v>-7.0740365111472872E-2</c:v>
                </c:pt>
                <c:pt idx="3">
                  <c:v>-0.28625760649082432</c:v>
                </c:pt>
                <c:pt idx="4">
                  <c:v>-0.26648073022316732</c:v>
                </c:pt>
                <c:pt idx="5">
                  <c:v>-3.3468559837799068E-2</c:v>
                </c:pt>
                <c:pt idx="6">
                  <c:v>-3.5750507099439263E-2</c:v>
                </c:pt>
                <c:pt idx="7">
                  <c:v>-0.25126774847879069</c:v>
                </c:pt>
                <c:pt idx="8">
                  <c:v>-0.27560851926974061</c:v>
                </c:pt>
                <c:pt idx="9">
                  <c:v>-6.4655172413669568E-2</c:v>
                </c:pt>
                <c:pt idx="10">
                  <c:v>0.14629817444228024</c:v>
                </c:pt>
                <c:pt idx="11">
                  <c:v>0.35725152129823007</c:v>
                </c:pt>
                <c:pt idx="12">
                  <c:v>0.14173427991899987</c:v>
                </c:pt>
                <c:pt idx="13">
                  <c:v>-7.3782961460230334E-2</c:v>
                </c:pt>
                <c:pt idx="14">
                  <c:v>-5.4006085192573342E-2</c:v>
                </c:pt>
                <c:pt idx="15">
                  <c:v>-1.2170385395619151E-2</c:v>
                </c:pt>
                <c:pt idx="16">
                  <c:v>7.6064908720378461E-3</c:v>
                </c:pt>
                <c:pt idx="17">
                  <c:v>5.3245436103976536E-3</c:v>
                </c:pt>
                <c:pt idx="18">
                  <c:v>3.0425963487574624E-3</c:v>
                </c:pt>
                <c:pt idx="19">
                  <c:v>7.6064908711726996E-4</c:v>
                </c:pt>
                <c:pt idx="20">
                  <c:v>-1.5212981745229219E-3</c:v>
                </c:pt>
                <c:pt idx="21">
                  <c:v>-3.8032454361631137E-3</c:v>
                </c:pt>
                <c:pt idx="22">
                  <c:v>-2.8144016227113038E-2</c:v>
                </c:pt>
                <c:pt idx="23">
                  <c:v>-3.0425963488753229E-2</c:v>
                </c:pt>
                <c:pt idx="24">
                  <c:v>-3.2707910750393421E-2</c:v>
                </c:pt>
                <c:pt idx="25">
                  <c:v>-1.2931034482736421E-2</c:v>
                </c:pt>
                <c:pt idx="26">
                  <c:v>6.8458417849205748E-3</c:v>
                </c:pt>
                <c:pt idx="27">
                  <c:v>4.5638945232803832E-3</c:v>
                </c:pt>
                <c:pt idx="28">
                  <c:v>2.2819472616401916E-3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8C-4CA6-AD9B-9CBE73F5C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8761168"/>
        <c:axId val="728753296"/>
      </c:barChart>
      <c:lineChart>
        <c:grouping val="standard"/>
        <c:varyColors val="0"/>
        <c:ser>
          <c:idx val="0"/>
          <c:order val="0"/>
          <c:tx>
            <c:strRef>
              <c:f>'Auto correlación patrón'!$C$3</c:f>
              <c:strCache>
                <c:ptCount val="1"/>
                <c:pt idx="0">
                  <c:v>lower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cat>
            <c:numRef>
              <c:f>'Auto correlación patrón'!$A$4:$A$32</c:f>
              <c:numCache>
                <c:formatCode>General</c:formatCode>
                <c:ptCount val="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</c:numCache>
            </c:numRef>
          </c:cat>
          <c:val>
            <c:numRef>
              <c:f>'Auto correlación patrón'!$C$4:$C$32</c:f>
              <c:numCache>
                <c:formatCode>General</c:formatCode>
                <c:ptCount val="29"/>
                <c:pt idx="1">
                  <c:v>-0.36395617492400734</c:v>
                </c:pt>
                <c:pt idx="2">
                  <c:v>-0.40794688748853342</c:v>
                </c:pt>
                <c:pt idx="3">
                  <c:v>-0.40956857360590226</c:v>
                </c:pt>
                <c:pt idx="4">
                  <c:v>-0.43526490563518438</c:v>
                </c:pt>
                <c:pt idx="5">
                  <c:v>-0.45636456218450333</c:v>
                </c:pt>
                <c:pt idx="6">
                  <c:v>-0.45668957890149009</c:v>
                </c:pt>
                <c:pt idx="7">
                  <c:v>-0.4570601447004255</c:v>
                </c:pt>
                <c:pt idx="8">
                  <c:v>-0.4750056262598164</c:v>
                </c:pt>
                <c:pt idx="9">
                  <c:v>-0.49573612481131446</c:v>
                </c:pt>
                <c:pt idx="10">
                  <c:v>-0.49685187176352341</c:v>
                </c:pt>
                <c:pt idx="11">
                  <c:v>-0.50252570273591812</c:v>
                </c:pt>
                <c:pt idx="12">
                  <c:v>-0.53511167954425309</c:v>
                </c:pt>
                <c:pt idx="13">
                  <c:v>-0.54006161475380088</c:v>
                </c:pt>
                <c:pt idx="14">
                  <c:v>-0.54139523183932114</c:v>
                </c:pt>
                <c:pt idx="15">
                  <c:v>-0.54210838565220021</c:v>
                </c:pt>
                <c:pt idx="16">
                  <c:v>-0.54214457712229447</c:v>
                </c:pt>
                <c:pt idx="17">
                  <c:v>-0.54215871375911462</c:v>
                </c:pt>
                <c:pt idx="18">
                  <c:v>-0.54216564057659744</c:v>
                </c:pt>
                <c:pt idx="19">
                  <c:v>-0.54216790237538437</c:v>
                </c:pt>
                <c:pt idx="20">
                  <c:v>-0.54216804373749516</c:v>
                </c:pt>
                <c:pt idx="21">
                  <c:v>-0.5421686091855703</c:v>
                </c:pt>
                <c:pt idx="22">
                  <c:v>-0.54217214322267837</c:v>
                </c:pt>
                <c:pt idx="23">
                  <c:v>-0.54236563193815979</c:v>
                </c:pt>
                <c:pt idx="24">
                  <c:v>-0.54259168178005257</c:v>
                </c:pt>
                <c:pt idx="25">
                  <c:v>-0.54285279338572101</c:v>
                </c:pt>
                <c:pt idx="26">
                  <c:v>-0.5428935939647469</c:v>
                </c:pt>
                <c:pt idx="27">
                  <c:v>-0.5429050288710161</c:v>
                </c:pt>
                <c:pt idx="28">
                  <c:v>-0.542910110974272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8C-4CA6-AD9B-9CBE73F5C0E8}"/>
            </c:ext>
          </c:extLst>
        </c:ser>
        <c:ser>
          <c:idx val="1"/>
          <c:order val="1"/>
          <c:tx>
            <c:strRef>
              <c:f>'Auto correlación patrón'!$D$3</c:f>
              <c:strCache>
                <c:ptCount val="1"/>
                <c:pt idx="0">
                  <c:v>upper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'Auto correlación patrón'!$D$4:$D$32</c:f>
              <c:numCache>
                <c:formatCode>General</c:formatCode>
                <c:ptCount val="29"/>
                <c:pt idx="1">
                  <c:v>0.36395617492400734</c:v>
                </c:pt>
                <c:pt idx="2">
                  <c:v>0.40794688748853342</c:v>
                </c:pt>
                <c:pt idx="3">
                  <c:v>0.40956857360590226</c:v>
                </c:pt>
                <c:pt idx="4">
                  <c:v>0.43526490563518438</c:v>
                </c:pt>
                <c:pt idx="5">
                  <c:v>0.45636456218450333</c:v>
                </c:pt>
                <c:pt idx="6">
                  <c:v>0.45668957890149009</c:v>
                </c:pt>
                <c:pt idx="7">
                  <c:v>0.4570601447004255</c:v>
                </c:pt>
                <c:pt idx="8">
                  <c:v>0.4750056262598164</c:v>
                </c:pt>
                <c:pt idx="9">
                  <c:v>0.49573612481131446</c:v>
                </c:pt>
                <c:pt idx="10">
                  <c:v>0.49685187176352341</c:v>
                </c:pt>
                <c:pt idx="11">
                  <c:v>0.50252570273591812</c:v>
                </c:pt>
                <c:pt idx="12">
                  <c:v>0.53511167954425309</c:v>
                </c:pt>
                <c:pt idx="13">
                  <c:v>0.54006161475380088</c:v>
                </c:pt>
                <c:pt idx="14">
                  <c:v>0.54139523183932114</c:v>
                </c:pt>
                <c:pt idx="15">
                  <c:v>0.54210838565220021</c:v>
                </c:pt>
                <c:pt idx="16">
                  <c:v>0.54214457712229447</c:v>
                </c:pt>
                <c:pt idx="17">
                  <c:v>0.54215871375911462</c:v>
                </c:pt>
                <c:pt idx="18">
                  <c:v>0.54216564057659744</c:v>
                </c:pt>
                <c:pt idx="19">
                  <c:v>0.54216790237538437</c:v>
                </c:pt>
                <c:pt idx="20">
                  <c:v>0.54216804373749516</c:v>
                </c:pt>
                <c:pt idx="21">
                  <c:v>0.5421686091855703</c:v>
                </c:pt>
                <c:pt idx="22">
                  <c:v>0.54217214322267837</c:v>
                </c:pt>
                <c:pt idx="23">
                  <c:v>0.54236563193815979</c:v>
                </c:pt>
                <c:pt idx="24">
                  <c:v>0.54259168178005257</c:v>
                </c:pt>
                <c:pt idx="25">
                  <c:v>0.54285279338572101</c:v>
                </c:pt>
                <c:pt idx="26">
                  <c:v>0.5428935939647469</c:v>
                </c:pt>
                <c:pt idx="27">
                  <c:v>0.5429050288710161</c:v>
                </c:pt>
                <c:pt idx="28">
                  <c:v>0.542910110974272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8C-4CA6-AD9B-9CBE73F5C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761168"/>
        <c:axId val="728753296"/>
      </c:lineChart>
      <c:catAx>
        <c:axId val="72876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8753296"/>
        <c:crosses val="autoZero"/>
        <c:auto val="1"/>
        <c:lblAlgn val="ctr"/>
        <c:lblOffset val="100"/>
        <c:noMultiLvlLbl val="0"/>
      </c:catAx>
      <c:valAx>
        <c:axId val="728753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8761168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s-ES" b="1"/>
              <a:t>Auto</a:t>
            </a:r>
            <a:r>
              <a:rPr lang="es-ES" b="1" baseline="0"/>
              <a:t> correlación del </a:t>
            </a:r>
            <a:r>
              <a:rPr lang="es-ES" b="1" baseline="0">
                <a:solidFill>
                  <a:srgbClr val="FF0000"/>
                </a:solidFill>
              </a:rPr>
              <a:t>objeto</a:t>
            </a:r>
            <a:r>
              <a:rPr lang="es-ES" b="1" baseline="0"/>
              <a:t>, NC = 99 %</a:t>
            </a:r>
          </a:p>
          <a:p>
            <a:pPr>
              <a:defRPr b="1"/>
            </a:pPr>
            <a:r>
              <a:rPr lang="es-ES" sz="1800" b="1" i="0" u="none" strike="noStrike" baseline="0">
                <a:effectLst/>
              </a:rPr>
              <a:t>21/11/17</a:t>
            </a:r>
            <a:r>
              <a:rPr lang="es-ES" sz="1800" b="1" i="0" u="none" strike="noStrike" baseline="0"/>
              <a:t> </a:t>
            </a:r>
            <a:r>
              <a:rPr lang="es-ES" sz="1800" b="1" i="0" u="none" strike="noStrike" baseline="0">
                <a:effectLst/>
              </a:rPr>
              <a:t>22:20:00</a:t>
            </a:r>
            <a:r>
              <a:rPr lang="es-ES" sz="1800" b="1" i="0" u="none" strike="noStrike" baseline="0"/>
              <a:t> </a:t>
            </a:r>
            <a:r>
              <a:rPr lang="es-ES" b="1" baseline="0"/>
              <a:t>datos 673 a 701</a:t>
            </a:r>
            <a:endParaRPr lang="es-ES" b="1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v>acf</c:v>
          </c:tx>
          <c:invertIfNegative val="0"/>
          <c:cat>
            <c:numRef>
              <c:f>'Auto correlación objeto'!$A$4:$A$32</c:f>
              <c:numCache>
                <c:formatCode>General</c:formatCode>
                <c:ptCount val="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</c:numCache>
            </c:numRef>
          </c:cat>
          <c:val>
            <c:numRef>
              <c:f>'Auto correlación objeto'!$B$4:$B$32</c:f>
              <c:numCache>
                <c:formatCode>General</c:formatCode>
                <c:ptCount val="29"/>
                <c:pt idx="0">
                  <c:v>1</c:v>
                </c:pt>
                <c:pt idx="1">
                  <c:v>0.45448275862092768</c:v>
                </c:pt>
                <c:pt idx="2">
                  <c:v>0.48896551724185605</c:v>
                </c:pt>
                <c:pt idx="3">
                  <c:v>0.23344827586278483</c:v>
                </c:pt>
                <c:pt idx="4">
                  <c:v>0.22793103448338353</c:v>
                </c:pt>
                <c:pt idx="5">
                  <c:v>-2.7586206895687675E-2</c:v>
                </c:pt>
                <c:pt idx="6">
                  <c:v>-3.3103448275088959E-2</c:v>
                </c:pt>
                <c:pt idx="7">
                  <c:v>-3.8620689654490246E-2</c:v>
                </c:pt>
                <c:pt idx="8">
                  <c:v>-4.4137931033891534E-2</c:v>
                </c:pt>
                <c:pt idx="9">
                  <c:v>-4.9655172413292814E-2</c:v>
                </c:pt>
                <c:pt idx="10">
                  <c:v>-5.5172413792694101E-2</c:v>
                </c:pt>
                <c:pt idx="11">
                  <c:v>-6.0689655172095382E-2</c:v>
                </c:pt>
                <c:pt idx="12">
                  <c:v>-6.6206896551496669E-2</c:v>
                </c:pt>
                <c:pt idx="13">
                  <c:v>-7.1724137930897949E-2</c:v>
                </c:pt>
                <c:pt idx="14">
                  <c:v>-7.7241379310299244E-2</c:v>
                </c:pt>
                <c:pt idx="15">
                  <c:v>-8.2758620689700524E-2</c:v>
                </c:pt>
                <c:pt idx="16">
                  <c:v>-8.8275862069101804E-2</c:v>
                </c:pt>
                <c:pt idx="17">
                  <c:v>-9.3793103448503098E-2</c:v>
                </c:pt>
                <c:pt idx="18">
                  <c:v>-9.9310344827904379E-2</c:v>
                </c:pt>
                <c:pt idx="19">
                  <c:v>-0.10482758620730566</c:v>
                </c:pt>
                <c:pt idx="20">
                  <c:v>-0.11034482758670695</c:v>
                </c:pt>
                <c:pt idx="21">
                  <c:v>-0.11586206896610823</c:v>
                </c:pt>
                <c:pt idx="22">
                  <c:v>-0.12137931034550951</c:v>
                </c:pt>
                <c:pt idx="23">
                  <c:v>-0.12689655172491079</c:v>
                </c:pt>
                <c:pt idx="24">
                  <c:v>-0.13241379310431209</c:v>
                </c:pt>
                <c:pt idx="25">
                  <c:v>-9.793103448338375E-2</c:v>
                </c:pt>
                <c:pt idx="26">
                  <c:v>-0.10344827586278503</c:v>
                </c:pt>
                <c:pt idx="27">
                  <c:v>-6.8965517241856691E-2</c:v>
                </c:pt>
                <c:pt idx="28">
                  <c:v>-3.4482758620928346E-2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79-4AF0-9AE2-8C0312AAE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2465424"/>
        <c:axId val="1046642968"/>
      </c:barChart>
      <c:lineChart>
        <c:grouping val="standard"/>
        <c:varyColors val="0"/>
        <c:ser>
          <c:idx val="0"/>
          <c:order val="0"/>
          <c:tx>
            <c:strRef>
              <c:f>'Auto correlación objeto'!$C$3</c:f>
              <c:strCache>
                <c:ptCount val="1"/>
                <c:pt idx="0">
                  <c:v>lower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cat>
            <c:numRef>
              <c:f>'Auto correlación objeto'!$A$4:$A$32</c:f>
              <c:numCache>
                <c:formatCode>General</c:formatCode>
                <c:ptCount val="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</c:numCache>
            </c:numRef>
          </c:cat>
          <c:val>
            <c:numRef>
              <c:f>'Auto correlación objeto'!$C$4:$C$32</c:f>
              <c:numCache>
                <c:formatCode>General</c:formatCode>
                <c:ptCount val="29"/>
                <c:pt idx="1">
                  <c:v>-0.47831949360887299</c:v>
                </c:pt>
                <c:pt idx="2">
                  <c:v>-0.56859879602747476</c:v>
                </c:pt>
                <c:pt idx="3">
                  <c:v>-0.65780386601507601</c:v>
                </c:pt>
                <c:pt idx="4">
                  <c:v>-0.67649324848073855</c:v>
                </c:pt>
                <c:pt idx="5">
                  <c:v>-0.69384113313263307</c:v>
                </c:pt>
                <c:pt idx="6">
                  <c:v>-0.69409202211194565</c:v>
                </c:pt>
                <c:pt idx="7">
                  <c:v>-0.69445314300570893</c:v>
                </c:pt>
                <c:pt idx="8">
                  <c:v>-0.6949443671334895</c:v>
                </c:pt>
                <c:pt idx="9">
                  <c:v>-0.69558544354395635</c:v>
                </c:pt>
                <c:pt idx="10">
                  <c:v>-0.69639595976725244</c:v>
                </c:pt>
                <c:pt idx="11">
                  <c:v>-0.69739529774075293</c:v>
                </c:pt>
                <c:pt idx="12">
                  <c:v>-0.69860258533242015</c:v>
                </c:pt>
                <c:pt idx="13">
                  <c:v>-0.70003664398190812</c:v>
                </c:pt>
                <c:pt idx="14">
                  <c:v>-0.70171593307724212</c:v>
                </c:pt>
                <c:pt idx="15">
                  <c:v>-0.70365849178048923</c:v>
                </c:pt>
                <c:pt idx="16">
                  <c:v>-0.70588187910517619</c:v>
                </c:pt>
                <c:pt idx="17">
                  <c:v>-0.70840311312688764</c:v>
                </c:pt>
                <c:pt idx="18">
                  <c:v>-0.7112386102721393</c:v>
                </c:pt>
                <c:pt idx="19">
                  <c:v>-0.71440412567510048</c:v>
                </c:pt>
                <c:pt idx="20">
                  <c:v>-0.71791469561345866</c:v>
                </c:pt>
                <c:pt idx="21">
                  <c:v>-0.72178458303079684</c:v>
                </c:pt>
                <c:pt idx="22">
                  <c:v>-0.72602722712151091</c:v>
                </c:pt>
                <c:pt idx="23">
                  <c:v>-0.7306551978948812</c:v>
                </c:pt>
                <c:pt idx="24">
                  <c:v>-0.73568015654816432</c:v>
                </c:pt>
                <c:pt idx="25">
                  <c:v>-0.74111282236656617</c:v>
                </c:pt>
                <c:pt idx="26">
                  <c:v>-0.74406761916574937</c:v>
                </c:pt>
                <c:pt idx="27">
                  <c:v>-0.74735093852860246</c:v>
                </c:pt>
                <c:pt idx="28">
                  <c:v>-0.74880557049140528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79-4AF0-9AE2-8C0312AAE8D9}"/>
            </c:ext>
          </c:extLst>
        </c:ser>
        <c:ser>
          <c:idx val="1"/>
          <c:order val="1"/>
          <c:tx>
            <c:strRef>
              <c:f>'Auto correlación objeto'!$D$3</c:f>
              <c:strCache>
                <c:ptCount val="1"/>
                <c:pt idx="0">
                  <c:v>upper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val>
            <c:numRef>
              <c:f>'Auto correlación objeto'!$D$4:$D$32</c:f>
              <c:numCache>
                <c:formatCode>General</c:formatCode>
                <c:ptCount val="29"/>
                <c:pt idx="1">
                  <c:v>0.47831949360887299</c:v>
                </c:pt>
                <c:pt idx="2">
                  <c:v>0.56859879602747476</c:v>
                </c:pt>
                <c:pt idx="3">
                  <c:v>0.65780386601507601</c:v>
                </c:pt>
                <c:pt idx="4">
                  <c:v>0.67649324848073855</c:v>
                </c:pt>
                <c:pt idx="5">
                  <c:v>0.69384113313263307</c:v>
                </c:pt>
                <c:pt idx="6">
                  <c:v>0.69409202211194565</c:v>
                </c:pt>
                <c:pt idx="7">
                  <c:v>0.69445314300570893</c:v>
                </c:pt>
                <c:pt idx="8">
                  <c:v>0.6949443671334895</c:v>
                </c:pt>
                <c:pt idx="9">
                  <c:v>0.69558544354395635</c:v>
                </c:pt>
                <c:pt idx="10">
                  <c:v>0.69639595976725244</c:v>
                </c:pt>
                <c:pt idx="11">
                  <c:v>0.69739529774075293</c:v>
                </c:pt>
                <c:pt idx="12">
                  <c:v>0.69860258533242015</c:v>
                </c:pt>
                <c:pt idx="13">
                  <c:v>0.70003664398190812</c:v>
                </c:pt>
                <c:pt idx="14">
                  <c:v>0.70171593307724212</c:v>
                </c:pt>
                <c:pt idx="15">
                  <c:v>0.70365849178048923</c:v>
                </c:pt>
                <c:pt idx="16">
                  <c:v>0.70588187910517619</c:v>
                </c:pt>
                <c:pt idx="17">
                  <c:v>0.70840311312688764</c:v>
                </c:pt>
                <c:pt idx="18">
                  <c:v>0.7112386102721393</c:v>
                </c:pt>
                <c:pt idx="19">
                  <c:v>0.71440412567510048</c:v>
                </c:pt>
                <c:pt idx="20">
                  <c:v>0.71791469561345866</c:v>
                </c:pt>
                <c:pt idx="21">
                  <c:v>0.72178458303079684</c:v>
                </c:pt>
                <c:pt idx="22">
                  <c:v>0.72602722712151091</c:v>
                </c:pt>
                <c:pt idx="23">
                  <c:v>0.7306551978948812</c:v>
                </c:pt>
                <c:pt idx="24">
                  <c:v>0.73568015654816432</c:v>
                </c:pt>
                <c:pt idx="25">
                  <c:v>0.74111282236656617</c:v>
                </c:pt>
                <c:pt idx="26">
                  <c:v>0.74406761916574937</c:v>
                </c:pt>
                <c:pt idx="27">
                  <c:v>0.74735093852860246</c:v>
                </c:pt>
                <c:pt idx="28">
                  <c:v>0.74880557049140528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79-4AF0-9AE2-8C0312AAE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2465424"/>
        <c:axId val="1046642968"/>
      </c:lineChart>
      <c:catAx>
        <c:axId val="81246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46642968"/>
        <c:crosses val="autoZero"/>
        <c:auto val="1"/>
        <c:lblAlgn val="ctr"/>
        <c:lblOffset val="100"/>
        <c:noMultiLvlLbl val="0"/>
      </c:catAx>
      <c:valAx>
        <c:axId val="1046642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2465424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Histograma del patrón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b="1">
              <a:solidFill>
                <a:srgbClr val="0000CC"/>
              </a:solidFill>
            </a:defRPr>
          </a:pPr>
          <a:r>
            <a:rPr lang="es-ES" sz="1400" b="1" i="0" u="none" strike="noStrike" baseline="0">
              <a:solidFill>
                <a:srgbClr val="0000CC"/>
              </a:solidFill>
              <a:latin typeface="Calibri" panose="020F0502020204030204"/>
            </a:rPr>
            <a:t>Histograma del patrón</a:t>
          </a:r>
        </a:p>
      </cx:txPr>
    </cx:title>
    <cx:plotArea>
      <cx:plotAreaRegion>
        <cx:series layoutId="clusteredColumn" uniqueId="{B6553B19-128F-4938-B38F-F88CF2D2668F}">
          <cx:tx>
            <cx:txData>
              <cx:f>_xlchart.v1.0</cx:f>
              <cx:v>( Xai = Tp ) / (K)</cx:v>
            </cx:txData>
          </cx:tx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_xlchart.v1.5</cx:f>
      </cx:numDim>
    </cx:data>
  </cx:chartData>
  <cx:chart>
    <cx:title pos="t" align="ctr" overlay="0">
      <cx:tx>
        <cx:txData>
          <cx:v>Histograma del objeto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b="1">
              <a:solidFill>
                <a:srgbClr val="FF0000"/>
              </a:solidFill>
            </a:defRPr>
          </a:pPr>
          <a:r>
            <a:rPr lang="es-ES" sz="1400" b="1" i="0" u="none" strike="noStrike" baseline="0">
              <a:solidFill>
                <a:srgbClr val="FF0000"/>
              </a:solidFill>
              <a:latin typeface="Calibri" panose="020F0502020204030204"/>
            </a:rPr>
            <a:t>Histograma del objeto</a:t>
          </a:r>
        </a:p>
      </cx:txPr>
    </cx:title>
    <cx:plotArea>
      <cx:plotAreaRegion>
        <cx:series layoutId="clusteredColumn" uniqueId="{5ED10111-2825-4572-9C17-267341F6EBA7}">
          <cx:tx>
            <cx:txData>
              <cx:f>_xlchart.v1.4</cx:f>
              <cx:v>( Xbi = To ) / (K)</cx:v>
            </cx:txData>
          </cx:tx>
          <cx:spPr>
            <a:solidFill>
              <a:srgbClr val="FF0000"/>
            </a:solidFill>
          </cx:spPr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txData>
          <cx:v>Histogama de la diferencia entre patrón e objeto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b="1">
              <a:solidFill>
                <a:sysClr val="windowText" lastClr="000000"/>
              </a:solidFill>
            </a:defRPr>
          </a:pPr>
          <a:r>
            <a:rPr lang="es-ES" sz="1400" b="1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Histogama de la diferencia entre patrón e objeto</a:t>
          </a:r>
        </a:p>
      </cx:txPr>
    </cx:title>
    <cx:plotArea>
      <cx:plotAreaRegion>
        <cx:series layoutId="clusteredColumn" uniqueId="{151EB4F6-4480-4639-BD75-1A9414B1AF34}">
          <cx:tx>
            <cx:txData>
              <cx:f>_xlchart.v1.2</cx:f>
              <cx:v>di / (K)</cx:v>
            </cx:txData>
          </cx:tx>
          <cx:spPr>
            <a:solidFill>
              <a:schemeClr val="tx1"/>
            </a:solidFill>
          </cx:spPr>
          <cx:dataId val="0"/>
          <cx:layoutPr>
            <cx:binning intervalClosed="r"/>
          </cx:layoutPr>
        </cx:series>
      </cx:plotAreaRegion>
      <cx:axis id="0">
        <cx:catScaling gapWidth="0"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1" i="0">
                <a:solidFill>
                  <a:srgbClr val="595959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es-ES" b="1"/>
          </a:p>
        </cx:txPr>
      </cx:axis>
      <cx:axis id="1">
        <cx:valScaling/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1" i="0">
                <a:solidFill>
                  <a:srgbClr val="595959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es-ES" b="1"/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2.xml"/><Relationship Id="rId2" Type="http://schemas.microsoft.com/office/2014/relationships/chartEx" Target="../charts/chartEx1.xml"/><Relationship Id="rId1" Type="http://schemas.openxmlformats.org/officeDocument/2006/relationships/chart" Target="../charts/chart1.xml"/><Relationship Id="rId4" Type="http://schemas.microsoft.com/office/2014/relationships/chartEx" Target="../charts/chartEx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210671</xdr:colOff>
      <xdr:row>23</xdr:row>
      <xdr:rowOff>103095</xdr:rowOff>
    </xdr:from>
    <xdr:to>
      <xdr:col>12</xdr:col>
      <xdr:colOff>3482788</xdr:colOff>
      <xdr:row>38</xdr:row>
      <xdr:rowOff>138953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C7498F7-8F49-435E-8983-4F0DFC5CFF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3671046</xdr:colOff>
      <xdr:row>23</xdr:row>
      <xdr:rowOff>121023</xdr:rowOff>
    </xdr:from>
    <xdr:to>
      <xdr:col>13</xdr:col>
      <xdr:colOff>681317</xdr:colOff>
      <xdr:row>38</xdr:row>
      <xdr:rowOff>147917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Gráfico 2">
              <a:extLst>
                <a:ext uri="{FF2B5EF4-FFF2-40B4-BE49-F238E27FC236}">
                  <a16:creationId xmlns:a16="http://schemas.microsoft.com/office/drawing/2014/main" id="{6B6198C6-A1C3-40F6-B12F-EDD3BA4EBB8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258786" y="4380603"/>
              <a:ext cx="3068171" cy="279295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14</xdr:col>
      <xdr:colOff>58270</xdr:colOff>
      <xdr:row>22</xdr:row>
      <xdr:rowOff>103094</xdr:rowOff>
    </xdr:from>
    <xdr:to>
      <xdr:col>17</xdr:col>
      <xdr:colOff>197223</xdr:colOff>
      <xdr:row>37</xdr:row>
      <xdr:rowOff>129988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A7691F5D-F806-4608-A55A-32850617E95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473530" y="4172174"/>
              <a:ext cx="2287793" cy="280057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18</xdr:col>
      <xdr:colOff>147918</xdr:colOff>
      <xdr:row>22</xdr:row>
      <xdr:rowOff>76201</xdr:rowOff>
    </xdr:from>
    <xdr:to>
      <xdr:col>23</xdr:col>
      <xdr:colOff>1985682</xdr:colOff>
      <xdr:row>37</xdr:row>
      <xdr:rowOff>103095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Gráfico 5">
              <a:extLst>
                <a:ext uri="{FF2B5EF4-FFF2-40B4-BE49-F238E27FC236}">
                  <a16:creationId xmlns:a16="http://schemas.microsoft.com/office/drawing/2014/main" id="{A3F33D15-28CD-4A5B-B593-37AF2BBAF5B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329238" y="4145281"/>
              <a:ext cx="4565724" cy="280057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0</xdr:row>
      <xdr:rowOff>38100</xdr:rowOff>
    </xdr:from>
    <xdr:to>
      <xdr:col>10</xdr:col>
      <xdr:colOff>30480</xdr:colOff>
      <xdr:row>26</xdr:row>
      <xdr:rowOff>129540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5C8A699-12A1-4ED3-B5D2-89BE74A01A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</xdr:colOff>
      <xdr:row>0</xdr:row>
      <xdr:rowOff>30480</xdr:rowOff>
    </xdr:from>
    <xdr:to>
      <xdr:col>10</xdr:col>
      <xdr:colOff>0</xdr:colOff>
      <xdr:row>24</xdr:row>
      <xdr:rowOff>91440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30E58FC-0D06-457B-B1A8-9BED59D208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AppData/Roaming/Microsoft/AddIns/XRealStat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Wilcoxon Table"/>
      <sheetName val="Mann Table"/>
      <sheetName val="Runs Table"/>
      <sheetName val="KS Table"/>
      <sheetName val="KS2 Table"/>
      <sheetName val="Lil Table"/>
      <sheetName val="AD Table"/>
      <sheetName val="SW Table"/>
      <sheetName val="Stud. Q Table"/>
      <sheetName val="Stud. Q Table 2"/>
      <sheetName val="Sp Rho Table"/>
      <sheetName val="Ken Tau Table"/>
      <sheetName val="Durbin Table"/>
      <sheetName val="Dunnett Table"/>
      <sheetName val="Prime"/>
    </sheetNames>
    <definedNames>
      <definedName name="ACF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55B8F-31AB-4EDC-B0BD-CE61045006A9}">
  <dimension ref="B1:M141"/>
  <sheetViews>
    <sheetView showGridLines="0" zoomScaleNormal="100" workbookViewId="0"/>
  </sheetViews>
  <sheetFormatPr baseColWidth="10" defaultColWidth="8.88671875" defaultRowHeight="14.4" x14ac:dyDescent="0.3"/>
  <cols>
    <col min="1" max="1" width="2" customWidth="1"/>
    <col min="2" max="2" width="13.33203125" customWidth="1"/>
    <col min="3" max="3" width="13.5546875" style="5" customWidth="1"/>
    <col min="4" max="4" width="5.77734375" style="5" customWidth="1"/>
    <col min="5" max="6" width="9.109375" bestFit="1" customWidth="1"/>
    <col min="7" max="7" width="8" bestFit="1" customWidth="1"/>
    <col min="8" max="8" width="4.44140625" customWidth="1"/>
  </cols>
  <sheetData>
    <row r="1" spans="2:13" ht="32.4" customHeight="1" thickBot="1" x14ac:dyDescent="0.35">
      <c r="B1" s="140" t="s">
        <v>22</v>
      </c>
      <c r="C1" s="140"/>
      <c r="D1" s="140"/>
      <c r="E1" s="140"/>
      <c r="F1" s="140"/>
      <c r="G1" s="140"/>
      <c r="I1" s="114" t="s">
        <v>82</v>
      </c>
    </row>
    <row r="2" spans="2:13" ht="15" thickTop="1" x14ac:dyDescent="0.3">
      <c r="B2" s="45" t="s">
        <v>5</v>
      </c>
      <c r="D2" s="8" t="s">
        <v>7</v>
      </c>
      <c r="E2" s="8"/>
      <c r="F2" s="9"/>
      <c r="G2" s="4"/>
    </row>
    <row r="3" spans="2:13" x14ac:dyDescent="0.3">
      <c r="B3" s="141" t="s">
        <v>12</v>
      </c>
      <c r="C3" s="141"/>
      <c r="D3" s="66" t="s">
        <v>13</v>
      </c>
      <c r="E3" s="8"/>
      <c r="F3" s="28"/>
      <c r="G3" s="4"/>
    </row>
    <row r="4" spans="2:13" s="1" customFormat="1" x14ac:dyDescent="0.3">
      <c r="B4" s="44" t="s">
        <v>9</v>
      </c>
      <c r="C4" s="47"/>
      <c r="D4" s="67" t="s">
        <v>30</v>
      </c>
      <c r="E4" s="11"/>
      <c r="F4" s="10"/>
      <c r="G4" s="47"/>
      <c r="I4" s="83"/>
    </row>
    <row r="5" spans="2:13" x14ac:dyDescent="0.3">
      <c r="B5" s="142" t="s">
        <v>2</v>
      </c>
      <c r="C5" s="142"/>
      <c r="D5" s="142"/>
      <c r="E5" s="142"/>
      <c r="F5" s="19" t="s">
        <v>6</v>
      </c>
      <c r="G5" s="48" t="s">
        <v>1</v>
      </c>
    </row>
    <row r="6" spans="2:13" ht="15" customHeight="1" thickBot="1" x14ac:dyDescent="0.35">
      <c r="B6" s="13" t="s">
        <v>0</v>
      </c>
      <c r="C6" s="13" t="s">
        <v>3</v>
      </c>
      <c r="D6" s="13" t="s">
        <v>4</v>
      </c>
      <c r="E6" s="13" t="s">
        <v>81</v>
      </c>
      <c r="F6" s="18" t="str">
        <f>CONCATENATE($D$3,"p / (",$D$4,")")</f>
        <v>Tp / (°C)</v>
      </c>
      <c r="G6" s="32" t="str">
        <f>CONCATENATE($D$3,"o / (",$D$4,")")</f>
        <v>To / (°C)</v>
      </c>
      <c r="H6" s="4"/>
      <c r="I6" s="138" t="s">
        <v>90</v>
      </c>
      <c r="J6" s="138"/>
      <c r="K6" s="138"/>
      <c r="L6" s="138"/>
      <c r="M6" s="138"/>
    </row>
    <row r="7" spans="2:13" x14ac:dyDescent="0.3">
      <c r="B7" s="70">
        <v>43060.930555555555</v>
      </c>
      <c r="C7" s="71">
        <v>43060.930555555555</v>
      </c>
      <c r="D7" s="76">
        <v>673</v>
      </c>
      <c r="E7" s="79" t="s">
        <v>32</v>
      </c>
      <c r="F7" s="115">
        <v>22.9</v>
      </c>
      <c r="G7" s="117">
        <v>22.9</v>
      </c>
      <c r="H7" s="4"/>
      <c r="I7" s="138"/>
      <c r="J7" s="138"/>
      <c r="K7" s="138"/>
      <c r="L7" s="138"/>
      <c r="M7" s="138"/>
    </row>
    <row r="8" spans="2:13" ht="14.4" customHeight="1" x14ac:dyDescent="0.3">
      <c r="B8" s="70">
        <v>43060.931250000001</v>
      </c>
      <c r="C8" s="71">
        <v>43060.931250000001</v>
      </c>
      <c r="D8" s="65">
        <f>D7+1</f>
        <v>674</v>
      </c>
      <c r="E8" s="77" t="str">
        <f>E7</f>
        <v>a</v>
      </c>
      <c r="F8" s="115">
        <v>22.9</v>
      </c>
      <c r="G8" s="117">
        <v>22.9</v>
      </c>
      <c r="I8" s="138"/>
      <c r="J8" s="138"/>
      <c r="K8" s="138"/>
      <c r="L8" s="138"/>
      <c r="M8" s="138"/>
    </row>
    <row r="9" spans="2:13" x14ac:dyDescent="0.3">
      <c r="B9" s="70">
        <v>43060.931944444441</v>
      </c>
      <c r="C9" s="71">
        <v>43060.931944444441</v>
      </c>
      <c r="D9" s="65">
        <f t="shared" ref="D9:D35" si="0">D8+1</f>
        <v>675</v>
      </c>
      <c r="E9" s="77" t="str">
        <f t="shared" ref="E9:E35" si="1">E8</f>
        <v>a</v>
      </c>
      <c r="F9" s="115">
        <v>22.9</v>
      </c>
      <c r="G9" s="117">
        <v>22.9</v>
      </c>
      <c r="J9" s="75"/>
      <c r="K9" s="75"/>
    </row>
    <row r="10" spans="2:13" x14ac:dyDescent="0.3">
      <c r="B10" s="70">
        <v>43060.932638888888</v>
      </c>
      <c r="C10" s="71">
        <v>43060.932638888888</v>
      </c>
      <c r="D10" s="65">
        <f t="shared" si="0"/>
        <v>676</v>
      </c>
      <c r="E10" s="77" t="str">
        <f t="shared" si="1"/>
        <v>a</v>
      </c>
      <c r="F10" s="115">
        <v>22.9</v>
      </c>
      <c r="G10" s="117">
        <v>23</v>
      </c>
      <c r="I10" s="139" t="s">
        <v>35</v>
      </c>
      <c r="J10" s="139"/>
      <c r="K10" s="139"/>
      <c r="L10" s="139"/>
      <c r="M10" s="139"/>
    </row>
    <row r="11" spans="2:13" x14ac:dyDescent="0.3">
      <c r="B11" s="70">
        <v>43060.933333333334</v>
      </c>
      <c r="C11" s="71">
        <v>43060.933333333334</v>
      </c>
      <c r="D11" s="65">
        <f t="shared" si="0"/>
        <v>677</v>
      </c>
      <c r="E11" s="77" t="str">
        <f t="shared" si="1"/>
        <v>a</v>
      </c>
      <c r="F11" s="115">
        <v>22.9</v>
      </c>
      <c r="G11" s="117">
        <v>22.9</v>
      </c>
      <c r="I11" s="139"/>
      <c r="J11" s="139"/>
      <c r="K11" s="139"/>
      <c r="L11" s="139"/>
      <c r="M11" s="139"/>
    </row>
    <row r="12" spans="2:13" x14ac:dyDescent="0.3">
      <c r="B12" s="70">
        <v>43060.934027777781</v>
      </c>
      <c r="C12" s="71">
        <v>43060.934027777781</v>
      </c>
      <c r="D12" s="65">
        <f t="shared" si="0"/>
        <v>678</v>
      </c>
      <c r="E12" s="77" t="str">
        <f t="shared" si="1"/>
        <v>a</v>
      </c>
      <c r="F12" s="115">
        <v>22.9</v>
      </c>
      <c r="G12" s="117">
        <v>23</v>
      </c>
      <c r="I12" s="139"/>
      <c r="J12" s="139"/>
      <c r="K12" s="139"/>
      <c r="L12" s="139"/>
      <c r="M12" s="139"/>
    </row>
    <row r="13" spans="2:13" x14ac:dyDescent="0.3">
      <c r="B13" s="70">
        <v>43060.93472222222</v>
      </c>
      <c r="C13" s="71">
        <v>43060.93472222222</v>
      </c>
      <c r="D13" s="65">
        <f t="shared" si="0"/>
        <v>679</v>
      </c>
      <c r="E13" s="77" t="str">
        <f t="shared" si="1"/>
        <v>a</v>
      </c>
      <c r="F13" s="115">
        <v>22.9</v>
      </c>
      <c r="G13" s="117">
        <v>23</v>
      </c>
      <c r="J13" s="75"/>
      <c r="K13" s="75"/>
    </row>
    <row r="14" spans="2:13" x14ac:dyDescent="0.3">
      <c r="B14" s="70">
        <v>43060.935416666667</v>
      </c>
      <c r="C14" s="71">
        <v>43060.935416666667</v>
      </c>
      <c r="D14" s="65">
        <f t="shared" si="0"/>
        <v>680</v>
      </c>
      <c r="E14" s="77" t="str">
        <f t="shared" si="1"/>
        <v>a</v>
      </c>
      <c r="F14" s="115">
        <v>22.9</v>
      </c>
      <c r="G14" s="117">
        <v>23</v>
      </c>
      <c r="J14" s="75"/>
      <c r="K14" s="75"/>
    </row>
    <row r="15" spans="2:13" x14ac:dyDescent="0.3">
      <c r="B15" s="70">
        <v>43060.936111111114</v>
      </c>
      <c r="C15" s="71">
        <v>43060.936111111114</v>
      </c>
      <c r="D15" s="65">
        <f t="shared" si="0"/>
        <v>681</v>
      </c>
      <c r="E15" s="77" t="str">
        <f t="shared" si="1"/>
        <v>a</v>
      </c>
      <c r="F15" s="115">
        <v>22.9</v>
      </c>
      <c r="G15" s="117">
        <v>23</v>
      </c>
      <c r="J15" s="75"/>
      <c r="K15" s="75"/>
    </row>
    <row r="16" spans="2:13" x14ac:dyDescent="0.3">
      <c r="B16" s="70">
        <v>43060.936805555553</v>
      </c>
      <c r="C16" s="71">
        <v>43060.936805555553</v>
      </c>
      <c r="D16" s="65">
        <f t="shared" si="0"/>
        <v>682</v>
      </c>
      <c r="E16" s="77" t="str">
        <f t="shared" si="1"/>
        <v>a</v>
      </c>
      <c r="F16" s="115">
        <v>22.9</v>
      </c>
      <c r="G16" s="117">
        <v>23</v>
      </c>
      <c r="J16" s="75"/>
      <c r="K16" s="75"/>
    </row>
    <row r="17" spans="2:11" x14ac:dyDescent="0.3">
      <c r="B17" s="70">
        <v>43060.9375</v>
      </c>
      <c r="C17" s="71">
        <v>43060.9375</v>
      </c>
      <c r="D17" s="65">
        <f t="shared" si="0"/>
        <v>683</v>
      </c>
      <c r="E17" s="77" t="str">
        <f t="shared" si="1"/>
        <v>a</v>
      </c>
      <c r="F17" s="115">
        <v>22.9</v>
      </c>
      <c r="G17" s="117">
        <v>23</v>
      </c>
      <c r="J17" s="75"/>
      <c r="K17" s="75"/>
    </row>
    <row r="18" spans="2:11" x14ac:dyDescent="0.3">
      <c r="B18" s="70">
        <v>43060.938194444447</v>
      </c>
      <c r="C18" s="71">
        <v>43060.938194444447</v>
      </c>
      <c r="D18" s="65">
        <f t="shared" si="0"/>
        <v>684</v>
      </c>
      <c r="E18" s="77" t="str">
        <f t="shared" si="1"/>
        <v>a</v>
      </c>
      <c r="F18" s="115">
        <v>22.9</v>
      </c>
      <c r="G18" s="117">
        <v>23</v>
      </c>
      <c r="J18" s="75"/>
      <c r="K18" s="75"/>
    </row>
    <row r="19" spans="2:11" x14ac:dyDescent="0.3">
      <c r="B19" s="70">
        <v>43060.938888888886</v>
      </c>
      <c r="C19" s="71">
        <v>43060.938888888886</v>
      </c>
      <c r="D19" s="65">
        <f t="shared" si="0"/>
        <v>685</v>
      </c>
      <c r="E19" s="77" t="str">
        <f t="shared" si="1"/>
        <v>a</v>
      </c>
      <c r="F19" s="115">
        <v>22.9</v>
      </c>
      <c r="G19" s="117">
        <v>23</v>
      </c>
      <c r="J19" s="75"/>
      <c r="K19" s="75"/>
    </row>
    <row r="20" spans="2:11" x14ac:dyDescent="0.3">
      <c r="B20" s="70">
        <v>43060.939583333333</v>
      </c>
      <c r="C20" s="71">
        <v>43060.939583333333</v>
      </c>
      <c r="D20" s="65">
        <f t="shared" si="0"/>
        <v>686</v>
      </c>
      <c r="E20" s="77" t="str">
        <f t="shared" si="1"/>
        <v>a</v>
      </c>
      <c r="F20" s="115">
        <v>22.8</v>
      </c>
      <c r="G20" s="117">
        <v>23</v>
      </c>
      <c r="J20" s="75"/>
      <c r="K20" s="75"/>
    </row>
    <row r="21" spans="2:11" x14ac:dyDescent="0.3">
      <c r="B21" s="70">
        <v>43060.94027777778</v>
      </c>
      <c r="C21" s="71">
        <v>43060.94027777778</v>
      </c>
      <c r="D21" s="65">
        <f t="shared" si="0"/>
        <v>687</v>
      </c>
      <c r="E21" s="77" t="str">
        <f t="shared" si="1"/>
        <v>a</v>
      </c>
      <c r="F21" s="115">
        <v>22.8</v>
      </c>
      <c r="G21" s="117">
        <v>23</v>
      </c>
      <c r="J21" s="75"/>
      <c r="K21" s="75"/>
    </row>
    <row r="22" spans="2:11" x14ac:dyDescent="0.3">
      <c r="B22" s="70">
        <v>43060.940972222219</v>
      </c>
      <c r="C22" s="71">
        <v>43060.940972222219</v>
      </c>
      <c r="D22" s="65">
        <f t="shared" si="0"/>
        <v>688</v>
      </c>
      <c r="E22" s="77" t="str">
        <f t="shared" si="1"/>
        <v>a</v>
      </c>
      <c r="F22" s="115">
        <v>22.9</v>
      </c>
      <c r="G22" s="117">
        <v>23</v>
      </c>
      <c r="J22" s="75"/>
      <c r="K22" s="75"/>
    </row>
    <row r="23" spans="2:11" x14ac:dyDescent="0.3">
      <c r="B23" s="70">
        <v>43060.941666666666</v>
      </c>
      <c r="C23" s="71">
        <v>43060.941666666666</v>
      </c>
      <c r="D23" s="65">
        <f t="shared" si="0"/>
        <v>689</v>
      </c>
      <c r="E23" s="77" t="str">
        <f t="shared" si="1"/>
        <v>a</v>
      </c>
      <c r="F23" s="115">
        <v>22.9</v>
      </c>
      <c r="G23" s="117">
        <v>23</v>
      </c>
      <c r="J23" s="75"/>
      <c r="K23" s="75"/>
    </row>
    <row r="24" spans="2:11" x14ac:dyDescent="0.3">
      <c r="B24" s="70">
        <v>43060.942361111112</v>
      </c>
      <c r="C24" s="71">
        <v>43060.942361111112</v>
      </c>
      <c r="D24" s="65">
        <f t="shared" si="0"/>
        <v>690</v>
      </c>
      <c r="E24" s="77" t="str">
        <f t="shared" si="1"/>
        <v>a</v>
      </c>
      <c r="F24" s="115">
        <v>22.9</v>
      </c>
      <c r="G24" s="117">
        <v>23</v>
      </c>
      <c r="J24" s="75"/>
      <c r="K24" s="75"/>
    </row>
    <row r="25" spans="2:11" x14ac:dyDescent="0.3">
      <c r="B25" s="70">
        <v>43060.943055555559</v>
      </c>
      <c r="C25" s="71">
        <v>43060.943055555559</v>
      </c>
      <c r="D25" s="65">
        <f t="shared" si="0"/>
        <v>691</v>
      </c>
      <c r="E25" s="77" t="str">
        <f t="shared" si="1"/>
        <v>a</v>
      </c>
      <c r="F25" s="115">
        <v>22.9</v>
      </c>
      <c r="G25" s="117">
        <v>23</v>
      </c>
      <c r="J25" s="75"/>
      <c r="K25" s="75"/>
    </row>
    <row r="26" spans="2:11" x14ac:dyDescent="0.3">
      <c r="B26" s="70">
        <v>43060.943749999999</v>
      </c>
      <c r="C26" s="71">
        <v>43060.943749999999</v>
      </c>
      <c r="D26" s="65">
        <f t="shared" si="0"/>
        <v>692</v>
      </c>
      <c r="E26" s="77" t="str">
        <f t="shared" si="1"/>
        <v>a</v>
      </c>
      <c r="F26" s="115">
        <v>22.9</v>
      </c>
      <c r="G26" s="117">
        <v>23</v>
      </c>
      <c r="J26" s="75"/>
      <c r="K26" s="75"/>
    </row>
    <row r="27" spans="2:11" x14ac:dyDescent="0.3">
      <c r="B27" s="70">
        <v>43060.944444444445</v>
      </c>
      <c r="C27" s="71">
        <v>43060.944444444445</v>
      </c>
      <c r="D27" s="65">
        <f t="shared" si="0"/>
        <v>693</v>
      </c>
      <c r="E27" s="77" t="str">
        <f t="shared" si="1"/>
        <v>a</v>
      </c>
      <c r="F27" s="115">
        <v>22.9</v>
      </c>
      <c r="G27" s="117">
        <v>23</v>
      </c>
      <c r="J27" s="75"/>
      <c r="K27" s="75"/>
    </row>
    <row r="28" spans="2:11" x14ac:dyDescent="0.3">
      <c r="B28" s="70">
        <v>43060.945138888892</v>
      </c>
      <c r="C28" s="71">
        <v>43060.945138888892</v>
      </c>
      <c r="D28" s="65">
        <f t="shared" si="0"/>
        <v>694</v>
      </c>
      <c r="E28" s="77" t="str">
        <f t="shared" si="1"/>
        <v>a</v>
      </c>
      <c r="F28" s="115">
        <v>23</v>
      </c>
      <c r="G28" s="117">
        <v>23</v>
      </c>
      <c r="J28" s="75"/>
      <c r="K28" s="75"/>
    </row>
    <row r="29" spans="2:11" x14ac:dyDescent="0.3">
      <c r="B29" s="70">
        <v>43060.945833333331</v>
      </c>
      <c r="C29" s="71">
        <v>43060.945833333331</v>
      </c>
      <c r="D29" s="65">
        <f t="shared" si="0"/>
        <v>695</v>
      </c>
      <c r="E29" s="77" t="str">
        <f t="shared" si="1"/>
        <v>a</v>
      </c>
      <c r="F29" s="115">
        <v>22.9</v>
      </c>
      <c r="G29" s="117">
        <v>23</v>
      </c>
      <c r="J29" s="75"/>
      <c r="K29" s="75"/>
    </row>
    <row r="30" spans="2:11" x14ac:dyDescent="0.3">
      <c r="B30" s="70">
        <v>43060.946527777778</v>
      </c>
      <c r="C30" s="71">
        <v>43060.946527777778</v>
      </c>
      <c r="D30" s="65">
        <f t="shared" si="0"/>
        <v>696</v>
      </c>
      <c r="E30" s="77" t="str">
        <f t="shared" si="1"/>
        <v>a</v>
      </c>
      <c r="F30" s="115">
        <v>22.9</v>
      </c>
      <c r="G30" s="117">
        <v>23</v>
      </c>
      <c r="J30" s="75"/>
      <c r="K30" s="75"/>
    </row>
    <row r="31" spans="2:11" x14ac:dyDescent="0.3">
      <c r="B31" s="70">
        <v>43060.947222222225</v>
      </c>
      <c r="C31" s="71">
        <v>43060.947222222225</v>
      </c>
      <c r="D31" s="65">
        <f t="shared" si="0"/>
        <v>697</v>
      </c>
      <c r="E31" s="77" t="str">
        <f t="shared" si="1"/>
        <v>a</v>
      </c>
      <c r="F31" s="115">
        <v>22.8</v>
      </c>
      <c r="G31" s="117">
        <v>23</v>
      </c>
      <c r="J31" s="75"/>
      <c r="K31" s="75"/>
    </row>
    <row r="32" spans="2:11" x14ac:dyDescent="0.3">
      <c r="B32" s="70">
        <v>43060.947916666664</v>
      </c>
      <c r="C32" s="71">
        <v>43060.947916666664</v>
      </c>
      <c r="D32" s="65">
        <f t="shared" si="0"/>
        <v>698</v>
      </c>
      <c r="E32" s="77" t="str">
        <f t="shared" si="1"/>
        <v>a</v>
      </c>
      <c r="F32" s="115">
        <v>22.8</v>
      </c>
      <c r="G32" s="117">
        <v>23</v>
      </c>
      <c r="J32" s="75"/>
      <c r="K32" s="75"/>
    </row>
    <row r="33" spans="2:11" x14ac:dyDescent="0.3">
      <c r="B33" s="70">
        <v>43060.948611111111</v>
      </c>
      <c r="C33" s="71">
        <v>43060.948611111111</v>
      </c>
      <c r="D33" s="65">
        <f t="shared" si="0"/>
        <v>699</v>
      </c>
      <c r="E33" s="77" t="str">
        <f t="shared" si="1"/>
        <v>a</v>
      </c>
      <c r="F33" s="115">
        <v>22.9</v>
      </c>
      <c r="G33" s="117">
        <v>23</v>
      </c>
      <c r="J33" s="75"/>
      <c r="K33" s="75"/>
    </row>
    <row r="34" spans="2:11" x14ac:dyDescent="0.3">
      <c r="B34" s="70">
        <v>43060.949305555558</v>
      </c>
      <c r="C34" s="71">
        <v>43060.949305555558</v>
      </c>
      <c r="D34" s="65">
        <f t="shared" si="0"/>
        <v>700</v>
      </c>
      <c r="E34" s="77" t="str">
        <f t="shared" si="1"/>
        <v>a</v>
      </c>
      <c r="F34" s="115">
        <v>22.9</v>
      </c>
      <c r="G34" s="117">
        <v>23</v>
      </c>
      <c r="J34" s="75"/>
      <c r="K34" s="75"/>
    </row>
    <row r="35" spans="2:11" ht="15" thickBot="1" x14ac:dyDescent="0.35">
      <c r="B35" s="72">
        <v>43060.95</v>
      </c>
      <c r="C35" s="73">
        <v>43060.95</v>
      </c>
      <c r="D35" s="74">
        <f t="shared" si="0"/>
        <v>701</v>
      </c>
      <c r="E35" s="78" t="str">
        <f t="shared" si="1"/>
        <v>a</v>
      </c>
      <c r="F35" s="116">
        <v>22.9</v>
      </c>
      <c r="G35" s="118">
        <v>23</v>
      </c>
      <c r="J35" s="75"/>
      <c r="K35" s="75"/>
    </row>
    <row r="36" spans="2:11" ht="15" thickTop="1" x14ac:dyDescent="0.3">
      <c r="B36" s="16">
        <v>43065.078472222223</v>
      </c>
      <c r="C36" s="17">
        <v>43065.078472222223</v>
      </c>
      <c r="D36" s="135">
        <v>6621</v>
      </c>
      <c r="E36" s="136" t="s">
        <v>33</v>
      </c>
      <c r="F36" s="137">
        <v>22.7</v>
      </c>
      <c r="G36" s="137">
        <v>22.7</v>
      </c>
    </row>
    <row r="37" spans="2:11" x14ac:dyDescent="0.3">
      <c r="B37" s="16">
        <v>43065.07916666667</v>
      </c>
      <c r="C37" s="17">
        <v>43065.07916666667</v>
      </c>
      <c r="D37" s="135">
        <v>6622</v>
      </c>
      <c r="E37" s="136" t="s">
        <v>33</v>
      </c>
      <c r="F37" s="137">
        <v>22.7</v>
      </c>
      <c r="G37" s="137">
        <v>22.8</v>
      </c>
    </row>
    <row r="38" spans="2:11" x14ac:dyDescent="0.3">
      <c r="B38" s="16">
        <v>43065.079861111109</v>
      </c>
      <c r="C38" s="17">
        <v>43065.079861111109</v>
      </c>
      <c r="D38" s="135">
        <v>6623</v>
      </c>
      <c r="E38" s="136" t="s">
        <v>33</v>
      </c>
      <c r="F38" s="137">
        <v>22.8</v>
      </c>
      <c r="G38" s="137">
        <v>22.8</v>
      </c>
    </row>
    <row r="39" spans="2:11" x14ac:dyDescent="0.3">
      <c r="B39" s="16">
        <v>43065.080555555556</v>
      </c>
      <c r="C39" s="17">
        <v>43065.080555555556</v>
      </c>
      <c r="D39" s="135">
        <v>6624</v>
      </c>
      <c r="E39" s="136" t="s">
        <v>33</v>
      </c>
      <c r="F39" s="137">
        <v>22.8</v>
      </c>
      <c r="G39" s="137">
        <v>22.9</v>
      </c>
    </row>
    <row r="40" spans="2:11" x14ac:dyDescent="0.3">
      <c r="B40" s="16">
        <v>43065.081250000003</v>
      </c>
      <c r="C40" s="17">
        <v>43065.081250000003</v>
      </c>
      <c r="D40" s="135">
        <v>6625</v>
      </c>
      <c r="E40" s="136" t="s">
        <v>33</v>
      </c>
      <c r="F40" s="137">
        <v>22.8</v>
      </c>
      <c r="G40" s="137">
        <v>22.9</v>
      </c>
    </row>
    <row r="41" spans="2:11" x14ac:dyDescent="0.3">
      <c r="B41" s="16">
        <v>43065.081944444442</v>
      </c>
      <c r="C41" s="17">
        <v>43065.081944444442</v>
      </c>
      <c r="D41" s="135">
        <v>6626</v>
      </c>
      <c r="E41" s="136" t="s">
        <v>33</v>
      </c>
      <c r="F41" s="137">
        <v>22.8</v>
      </c>
      <c r="G41" s="137">
        <v>22.9</v>
      </c>
    </row>
    <row r="42" spans="2:11" x14ac:dyDescent="0.3">
      <c r="B42" s="16">
        <v>43065.082638888889</v>
      </c>
      <c r="C42" s="17">
        <v>43065.082638888889</v>
      </c>
      <c r="D42" s="135">
        <v>6627</v>
      </c>
      <c r="E42" s="136" t="s">
        <v>33</v>
      </c>
      <c r="F42" s="137">
        <v>22.8</v>
      </c>
      <c r="G42" s="137">
        <v>22.9</v>
      </c>
    </row>
    <row r="43" spans="2:11" x14ac:dyDescent="0.3">
      <c r="B43" s="16">
        <v>43065.083333333336</v>
      </c>
      <c r="C43" s="17">
        <v>43065.083333333336</v>
      </c>
      <c r="D43" s="135">
        <v>6628</v>
      </c>
      <c r="E43" s="136" t="s">
        <v>33</v>
      </c>
      <c r="F43" s="137">
        <v>22.8</v>
      </c>
      <c r="G43" s="137">
        <v>22.9</v>
      </c>
    </row>
    <row r="44" spans="2:11" x14ac:dyDescent="0.3">
      <c r="B44" s="16">
        <v>43065.084027777775</v>
      </c>
      <c r="C44" s="17">
        <v>43065.084027777775</v>
      </c>
      <c r="D44" s="135">
        <v>6629</v>
      </c>
      <c r="E44" s="136" t="s">
        <v>33</v>
      </c>
      <c r="F44" s="137">
        <v>22.8</v>
      </c>
      <c r="G44" s="137">
        <v>22.9</v>
      </c>
    </row>
    <row r="45" spans="2:11" x14ac:dyDescent="0.3">
      <c r="B45" s="16">
        <v>43065.084722222222</v>
      </c>
      <c r="C45" s="17">
        <v>43065.084722222222</v>
      </c>
      <c r="D45" s="135">
        <v>6630</v>
      </c>
      <c r="E45" s="136" t="s">
        <v>33</v>
      </c>
      <c r="F45" s="137">
        <v>22.8</v>
      </c>
      <c r="G45" s="137">
        <v>22.9</v>
      </c>
    </row>
    <row r="46" spans="2:11" x14ac:dyDescent="0.3">
      <c r="B46" s="16">
        <v>43065.085416666669</v>
      </c>
      <c r="C46" s="17">
        <v>43065.085416666669</v>
      </c>
      <c r="D46" s="135">
        <v>6631</v>
      </c>
      <c r="E46" s="136" t="s">
        <v>33</v>
      </c>
      <c r="F46" s="137">
        <v>22.8</v>
      </c>
      <c r="G46" s="137">
        <v>22.9</v>
      </c>
    </row>
    <row r="47" spans="2:11" x14ac:dyDescent="0.3">
      <c r="B47" s="16">
        <v>43065.086111111108</v>
      </c>
      <c r="C47" s="17">
        <v>43065.086111111108</v>
      </c>
      <c r="D47" s="135">
        <v>6632</v>
      </c>
      <c r="E47" s="136" t="s">
        <v>33</v>
      </c>
      <c r="F47" s="137">
        <v>22.7</v>
      </c>
      <c r="G47" s="137">
        <v>22.9</v>
      </c>
    </row>
    <row r="48" spans="2:11" x14ac:dyDescent="0.3">
      <c r="B48" s="16">
        <v>43065.086805555555</v>
      </c>
      <c r="C48" s="17">
        <v>43065.086805555555</v>
      </c>
      <c r="D48" s="135">
        <v>6633</v>
      </c>
      <c r="E48" s="136" t="s">
        <v>33</v>
      </c>
      <c r="F48" s="137">
        <v>22.8</v>
      </c>
      <c r="G48" s="137">
        <v>22.9</v>
      </c>
    </row>
    <row r="49" spans="2:7" x14ac:dyDescent="0.3">
      <c r="B49" s="16">
        <v>43065.087500000001</v>
      </c>
      <c r="C49" s="17">
        <v>43065.087500000001</v>
      </c>
      <c r="D49" s="135">
        <v>6634</v>
      </c>
      <c r="E49" s="136" t="s">
        <v>33</v>
      </c>
      <c r="F49" s="137">
        <v>22.7</v>
      </c>
      <c r="G49" s="137">
        <v>22.9</v>
      </c>
    </row>
    <row r="50" spans="2:7" x14ac:dyDescent="0.3">
      <c r="B50" s="16">
        <v>43065.088194444441</v>
      </c>
      <c r="C50" s="17">
        <v>43065.088194444441</v>
      </c>
      <c r="D50" s="135">
        <v>6635</v>
      </c>
      <c r="E50" s="136" t="s">
        <v>33</v>
      </c>
      <c r="F50" s="137">
        <v>22.8</v>
      </c>
      <c r="G50" s="137">
        <v>22.9</v>
      </c>
    </row>
    <row r="51" spans="2:7" x14ac:dyDescent="0.3">
      <c r="B51" s="16">
        <v>43065.088888888888</v>
      </c>
      <c r="C51" s="17">
        <v>43065.088888888888</v>
      </c>
      <c r="D51" s="135">
        <v>6636</v>
      </c>
      <c r="E51" s="136" t="s">
        <v>33</v>
      </c>
      <c r="F51" s="137">
        <v>22.8</v>
      </c>
      <c r="G51" s="137">
        <v>22.9</v>
      </c>
    </row>
    <row r="52" spans="2:7" x14ac:dyDescent="0.3">
      <c r="B52" s="16">
        <v>43065.089583333334</v>
      </c>
      <c r="C52" s="17">
        <v>43065.089583333334</v>
      </c>
      <c r="D52" s="135">
        <v>6637</v>
      </c>
      <c r="E52" s="136" t="s">
        <v>33</v>
      </c>
      <c r="F52" s="137">
        <v>22.8</v>
      </c>
      <c r="G52" s="137">
        <v>22.9</v>
      </c>
    </row>
    <row r="53" spans="2:7" x14ac:dyDescent="0.3">
      <c r="B53" s="16">
        <v>43065.090277777781</v>
      </c>
      <c r="C53" s="17">
        <v>43065.090277777781</v>
      </c>
      <c r="D53" s="135">
        <v>6638</v>
      </c>
      <c r="E53" s="136" t="s">
        <v>33</v>
      </c>
      <c r="F53" s="137">
        <v>22.8</v>
      </c>
      <c r="G53" s="137">
        <v>22.9</v>
      </c>
    </row>
    <row r="54" spans="2:7" x14ac:dyDescent="0.3">
      <c r="B54" s="16"/>
      <c r="C54" s="17"/>
      <c r="E54" s="22"/>
      <c r="F54" s="23"/>
    </row>
    <row r="55" spans="2:7" x14ac:dyDescent="0.3">
      <c r="B55" s="16"/>
      <c r="C55" s="17"/>
      <c r="E55" s="22"/>
      <c r="F55" s="23"/>
    </row>
    <row r="56" spans="2:7" x14ac:dyDescent="0.3">
      <c r="B56" s="16"/>
      <c r="C56" s="17"/>
      <c r="E56" s="22"/>
      <c r="F56" s="23"/>
    </row>
    <row r="57" spans="2:7" x14ac:dyDescent="0.3">
      <c r="B57" s="16"/>
      <c r="C57" s="17"/>
      <c r="E57" s="22"/>
      <c r="F57" s="23"/>
    </row>
    <row r="58" spans="2:7" x14ac:dyDescent="0.3">
      <c r="B58" s="16"/>
      <c r="C58" s="17"/>
      <c r="E58" s="22"/>
      <c r="F58" s="23"/>
    </row>
    <row r="59" spans="2:7" x14ac:dyDescent="0.3">
      <c r="B59" s="16"/>
      <c r="C59" s="17"/>
      <c r="E59" s="22"/>
      <c r="F59" s="23"/>
    </row>
    <row r="60" spans="2:7" x14ac:dyDescent="0.3">
      <c r="B60" s="16"/>
      <c r="C60" s="17"/>
      <c r="E60" s="22"/>
      <c r="F60" s="23"/>
    </row>
    <row r="61" spans="2:7" x14ac:dyDescent="0.3">
      <c r="B61" s="16"/>
      <c r="C61" s="17"/>
      <c r="E61" s="22"/>
      <c r="F61" s="23"/>
    </row>
    <row r="62" spans="2:7" x14ac:dyDescent="0.3">
      <c r="B62" s="16"/>
      <c r="C62" s="17"/>
      <c r="E62" s="22"/>
      <c r="F62" s="23"/>
    </row>
    <row r="63" spans="2:7" x14ac:dyDescent="0.3">
      <c r="B63" s="16"/>
      <c r="C63" s="17"/>
      <c r="E63" s="22"/>
      <c r="F63" s="23"/>
    </row>
    <row r="64" spans="2:7" x14ac:dyDescent="0.3">
      <c r="B64" s="16"/>
      <c r="C64" s="17"/>
      <c r="E64" s="22"/>
      <c r="F64" s="23"/>
    </row>
    <row r="65" spans="2:6" x14ac:dyDescent="0.3">
      <c r="B65" s="16"/>
      <c r="C65" s="17"/>
      <c r="E65" s="22"/>
      <c r="F65" s="23"/>
    </row>
    <row r="66" spans="2:6" x14ac:dyDescent="0.3">
      <c r="B66" s="16"/>
      <c r="C66" s="17"/>
      <c r="E66" s="22"/>
      <c r="F66" s="23"/>
    </row>
    <row r="67" spans="2:6" x14ac:dyDescent="0.3">
      <c r="B67" s="16"/>
      <c r="C67" s="17"/>
      <c r="E67" s="22"/>
      <c r="F67" s="23"/>
    </row>
    <row r="68" spans="2:6" x14ac:dyDescent="0.3">
      <c r="B68" s="16"/>
      <c r="C68" s="17"/>
      <c r="E68" s="22"/>
      <c r="F68" s="23"/>
    </row>
    <row r="69" spans="2:6" x14ac:dyDescent="0.3">
      <c r="B69" s="16"/>
      <c r="C69" s="17"/>
      <c r="E69" s="22"/>
      <c r="F69" s="23"/>
    </row>
    <row r="70" spans="2:6" x14ac:dyDescent="0.3">
      <c r="B70" s="16"/>
      <c r="C70" s="17"/>
      <c r="E70" s="22"/>
      <c r="F70" s="23"/>
    </row>
    <row r="71" spans="2:6" x14ac:dyDescent="0.3">
      <c r="B71" s="16"/>
      <c r="C71" s="17"/>
      <c r="E71" s="22"/>
      <c r="F71" s="23"/>
    </row>
    <row r="72" spans="2:6" x14ac:dyDescent="0.3">
      <c r="B72" s="16"/>
      <c r="C72" s="17"/>
      <c r="E72" s="22"/>
      <c r="F72" s="23"/>
    </row>
    <row r="73" spans="2:6" x14ac:dyDescent="0.3">
      <c r="B73" s="16"/>
      <c r="C73" s="17"/>
      <c r="E73" s="22"/>
      <c r="F73" s="23"/>
    </row>
    <row r="74" spans="2:6" x14ac:dyDescent="0.3">
      <c r="B74" s="16"/>
      <c r="C74" s="17"/>
      <c r="E74" s="22"/>
      <c r="F74" s="23"/>
    </row>
    <row r="75" spans="2:6" x14ac:dyDescent="0.3">
      <c r="B75" s="16"/>
      <c r="C75" s="17"/>
      <c r="E75" s="22"/>
      <c r="F75" s="23"/>
    </row>
    <row r="76" spans="2:6" x14ac:dyDescent="0.3">
      <c r="B76" s="16"/>
      <c r="C76" s="17"/>
      <c r="E76" s="22"/>
      <c r="F76" s="23"/>
    </row>
    <row r="77" spans="2:6" x14ac:dyDescent="0.3">
      <c r="B77" s="16"/>
      <c r="C77" s="17"/>
      <c r="E77" s="22"/>
      <c r="F77" s="23"/>
    </row>
    <row r="78" spans="2:6" x14ac:dyDescent="0.3">
      <c r="B78" s="16"/>
      <c r="C78" s="17"/>
      <c r="E78" s="22"/>
      <c r="F78" s="23"/>
    </row>
    <row r="79" spans="2:6" x14ac:dyDescent="0.3">
      <c r="B79" s="16"/>
      <c r="C79" s="17"/>
      <c r="E79" s="22"/>
      <c r="F79" s="23"/>
    </row>
    <row r="80" spans="2:6" x14ac:dyDescent="0.3">
      <c r="B80" s="16"/>
      <c r="C80" s="17"/>
      <c r="E80" s="22"/>
      <c r="F80" s="23"/>
    </row>
    <row r="81" spans="2:6" x14ac:dyDescent="0.3">
      <c r="B81" s="16"/>
      <c r="C81" s="17"/>
      <c r="E81" s="22"/>
      <c r="F81" s="23"/>
    </row>
    <row r="82" spans="2:6" x14ac:dyDescent="0.3">
      <c r="B82" s="16"/>
      <c r="C82" s="17"/>
      <c r="E82" s="22"/>
      <c r="F82" s="23"/>
    </row>
    <row r="83" spans="2:6" x14ac:dyDescent="0.3">
      <c r="B83" s="16"/>
      <c r="C83" s="17"/>
      <c r="E83" s="22"/>
      <c r="F83" s="23"/>
    </row>
    <row r="84" spans="2:6" x14ac:dyDescent="0.3">
      <c r="B84" s="16"/>
      <c r="C84" s="17"/>
      <c r="E84" s="22"/>
      <c r="F84" s="23"/>
    </row>
    <row r="85" spans="2:6" x14ac:dyDescent="0.3">
      <c r="B85" s="16"/>
      <c r="C85" s="17"/>
      <c r="E85" s="22"/>
      <c r="F85" s="23"/>
    </row>
    <row r="86" spans="2:6" x14ac:dyDescent="0.3">
      <c r="B86" s="16"/>
      <c r="C86" s="17"/>
      <c r="E86" s="22"/>
      <c r="F86" s="23"/>
    </row>
    <row r="87" spans="2:6" x14ac:dyDescent="0.3">
      <c r="B87" s="16"/>
      <c r="C87" s="17"/>
      <c r="E87" s="22"/>
      <c r="F87" s="23"/>
    </row>
    <row r="88" spans="2:6" x14ac:dyDescent="0.3">
      <c r="B88" s="16"/>
      <c r="C88" s="17"/>
      <c r="E88" s="22"/>
      <c r="F88" s="23"/>
    </row>
    <row r="89" spans="2:6" x14ac:dyDescent="0.3">
      <c r="B89" s="16"/>
      <c r="C89" s="17"/>
      <c r="E89" s="22"/>
      <c r="F89" s="23"/>
    </row>
    <row r="90" spans="2:6" x14ac:dyDescent="0.3">
      <c r="B90" s="16"/>
      <c r="C90" s="17"/>
      <c r="E90" s="22"/>
      <c r="F90" s="23"/>
    </row>
    <row r="91" spans="2:6" x14ac:dyDescent="0.3">
      <c r="B91" s="16"/>
      <c r="C91" s="17"/>
      <c r="E91" s="22"/>
      <c r="F91" s="23"/>
    </row>
    <row r="92" spans="2:6" x14ac:dyDescent="0.3">
      <c r="B92" s="16"/>
      <c r="C92" s="17"/>
      <c r="E92" s="22"/>
      <c r="F92" s="23"/>
    </row>
    <row r="93" spans="2:6" x14ac:dyDescent="0.3">
      <c r="B93" s="16"/>
      <c r="C93" s="17"/>
      <c r="E93" s="22"/>
      <c r="F93" s="23"/>
    </row>
    <row r="94" spans="2:6" x14ac:dyDescent="0.3">
      <c r="B94" s="16"/>
      <c r="C94" s="17"/>
      <c r="E94" s="22"/>
      <c r="F94" s="23"/>
    </row>
    <row r="95" spans="2:6" x14ac:dyDescent="0.3">
      <c r="B95" s="16"/>
      <c r="C95" s="17"/>
      <c r="E95" s="22"/>
      <c r="F95" s="23"/>
    </row>
    <row r="96" spans="2:6" x14ac:dyDescent="0.3">
      <c r="B96" s="16"/>
      <c r="C96" s="17"/>
      <c r="E96" s="22"/>
      <c r="F96" s="23"/>
    </row>
    <row r="97" spans="2:6" x14ac:dyDescent="0.3">
      <c r="B97" s="16"/>
      <c r="C97" s="17"/>
      <c r="E97" s="22"/>
      <c r="F97" s="23"/>
    </row>
    <row r="98" spans="2:6" x14ac:dyDescent="0.3">
      <c r="B98" s="16"/>
      <c r="C98" s="17"/>
      <c r="E98" s="22"/>
      <c r="F98" s="23"/>
    </row>
    <row r="99" spans="2:6" x14ac:dyDescent="0.3">
      <c r="B99" s="16"/>
      <c r="C99" s="17"/>
      <c r="E99" s="22"/>
      <c r="F99" s="23"/>
    </row>
    <row r="100" spans="2:6" x14ac:dyDescent="0.3">
      <c r="B100" s="16"/>
      <c r="C100" s="17"/>
      <c r="E100" s="22"/>
      <c r="F100" s="23"/>
    </row>
    <row r="101" spans="2:6" x14ac:dyDescent="0.3">
      <c r="B101" s="16"/>
      <c r="C101" s="17"/>
      <c r="E101" s="22"/>
      <c r="F101" s="23"/>
    </row>
    <row r="102" spans="2:6" x14ac:dyDescent="0.3">
      <c r="B102" s="16"/>
      <c r="C102" s="17"/>
      <c r="E102" s="22"/>
      <c r="F102" s="23"/>
    </row>
    <row r="103" spans="2:6" x14ac:dyDescent="0.3">
      <c r="B103" s="16"/>
      <c r="C103" s="17"/>
      <c r="E103" s="22"/>
      <c r="F103" s="23"/>
    </row>
    <row r="104" spans="2:6" x14ac:dyDescent="0.3">
      <c r="B104" s="16"/>
      <c r="C104" s="17"/>
      <c r="E104" s="22"/>
      <c r="F104" s="23"/>
    </row>
    <row r="105" spans="2:6" x14ac:dyDescent="0.3">
      <c r="B105" s="16"/>
      <c r="C105" s="17"/>
      <c r="E105" s="22"/>
      <c r="F105" s="23"/>
    </row>
    <row r="106" spans="2:6" x14ac:dyDescent="0.3">
      <c r="B106" s="16"/>
      <c r="C106" s="17"/>
      <c r="E106" s="22"/>
      <c r="F106" s="23"/>
    </row>
    <row r="107" spans="2:6" x14ac:dyDescent="0.3">
      <c r="B107" s="16"/>
      <c r="C107" s="17"/>
      <c r="E107" s="22"/>
      <c r="F107" s="23"/>
    </row>
    <row r="108" spans="2:6" x14ac:dyDescent="0.3">
      <c r="B108" s="16"/>
      <c r="C108" s="17"/>
      <c r="E108" s="22"/>
      <c r="F108" s="23"/>
    </row>
    <row r="109" spans="2:6" x14ac:dyDescent="0.3">
      <c r="B109" s="16"/>
      <c r="C109" s="17"/>
      <c r="E109" s="22"/>
      <c r="F109" s="23"/>
    </row>
    <row r="110" spans="2:6" x14ac:dyDescent="0.3">
      <c r="B110" s="16"/>
      <c r="C110" s="17"/>
      <c r="E110" s="22"/>
      <c r="F110" s="23"/>
    </row>
    <row r="111" spans="2:6" x14ac:dyDescent="0.3">
      <c r="B111" s="16"/>
      <c r="C111" s="17"/>
      <c r="E111" s="22"/>
      <c r="F111" s="23"/>
    </row>
    <row r="112" spans="2:6" x14ac:dyDescent="0.3">
      <c r="B112" s="16"/>
      <c r="C112" s="17"/>
      <c r="E112" s="22"/>
      <c r="F112" s="23"/>
    </row>
    <row r="113" spans="2:6" x14ac:dyDescent="0.3">
      <c r="B113" s="16"/>
      <c r="C113" s="17"/>
      <c r="E113" s="22"/>
      <c r="F113" s="23"/>
    </row>
    <row r="114" spans="2:6" x14ac:dyDescent="0.3">
      <c r="B114" s="16"/>
      <c r="C114" s="17"/>
      <c r="E114" s="22"/>
      <c r="F114" s="23"/>
    </row>
    <row r="115" spans="2:6" x14ac:dyDescent="0.3">
      <c r="B115" s="16"/>
      <c r="C115" s="17"/>
      <c r="E115" s="22"/>
      <c r="F115" s="23"/>
    </row>
    <row r="116" spans="2:6" x14ac:dyDescent="0.3">
      <c r="B116" s="16"/>
      <c r="C116" s="17"/>
      <c r="E116" s="22"/>
      <c r="F116" s="23"/>
    </row>
    <row r="117" spans="2:6" x14ac:dyDescent="0.3">
      <c r="B117" s="16"/>
      <c r="C117" s="17"/>
      <c r="E117" s="22"/>
      <c r="F117" s="23"/>
    </row>
    <row r="118" spans="2:6" x14ac:dyDescent="0.3">
      <c r="B118" s="16"/>
      <c r="C118" s="17"/>
      <c r="E118" s="22"/>
      <c r="F118" s="23"/>
    </row>
    <row r="119" spans="2:6" x14ac:dyDescent="0.3">
      <c r="B119" s="16"/>
      <c r="C119" s="17"/>
      <c r="E119" s="22"/>
      <c r="F119" s="23"/>
    </row>
    <row r="120" spans="2:6" x14ac:dyDescent="0.3">
      <c r="B120" s="16"/>
      <c r="C120" s="17"/>
      <c r="E120" s="22"/>
      <c r="F120" s="23"/>
    </row>
    <row r="121" spans="2:6" x14ac:dyDescent="0.3">
      <c r="B121" s="16"/>
      <c r="C121" s="17"/>
      <c r="E121" s="22"/>
      <c r="F121" s="23"/>
    </row>
    <row r="122" spans="2:6" x14ac:dyDescent="0.3">
      <c r="B122" s="16"/>
      <c r="C122" s="17"/>
      <c r="E122" s="22"/>
      <c r="F122" s="23"/>
    </row>
    <row r="123" spans="2:6" x14ac:dyDescent="0.3">
      <c r="B123" s="16"/>
      <c r="C123" s="17"/>
      <c r="E123" s="22"/>
      <c r="F123" s="23"/>
    </row>
    <row r="124" spans="2:6" x14ac:dyDescent="0.3">
      <c r="B124" s="16"/>
      <c r="C124" s="17"/>
      <c r="E124" s="22"/>
      <c r="F124" s="23"/>
    </row>
    <row r="125" spans="2:6" x14ac:dyDescent="0.3">
      <c r="B125" s="16"/>
      <c r="C125" s="17"/>
      <c r="E125" s="22"/>
      <c r="F125" s="23"/>
    </row>
    <row r="126" spans="2:6" x14ac:dyDescent="0.3">
      <c r="B126" s="16"/>
      <c r="C126" s="17"/>
      <c r="E126" s="22"/>
      <c r="F126" s="23"/>
    </row>
    <row r="127" spans="2:6" x14ac:dyDescent="0.3">
      <c r="B127" s="16"/>
      <c r="C127" s="17"/>
      <c r="E127" s="22"/>
      <c r="F127" s="23"/>
    </row>
    <row r="128" spans="2:6" x14ac:dyDescent="0.3">
      <c r="B128" s="16"/>
      <c r="C128" s="17"/>
      <c r="E128" s="22"/>
      <c r="F128" s="23"/>
    </row>
    <row r="129" spans="2:6" x14ac:dyDescent="0.3">
      <c r="B129" s="16"/>
      <c r="C129" s="17"/>
      <c r="E129" s="22"/>
      <c r="F129" s="23"/>
    </row>
    <row r="130" spans="2:6" x14ac:dyDescent="0.3">
      <c r="B130" s="16"/>
      <c r="C130" s="17"/>
      <c r="E130" s="22"/>
      <c r="F130" s="23"/>
    </row>
    <row r="131" spans="2:6" x14ac:dyDescent="0.3">
      <c r="B131" s="16"/>
      <c r="C131" s="17"/>
      <c r="E131" s="22"/>
      <c r="F131" s="23"/>
    </row>
    <row r="132" spans="2:6" x14ac:dyDescent="0.3">
      <c r="B132" s="16"/>
      <c r="C132" s="17"/>
      <c r="E132" s="22"/>
      <c r="F132" s="23"/>
    </row>
    <row r="133" spans="2:6" x14ac:dyDescent="0.3">
      <c r="B133" s="16"/>
      <c r="C133" s="17"/>
      <c r="E133" s="22"/>
      <c r="F133" s="23"/>
    </row>
    <row r="134" spans="2:6" x14ac:dyDescent="0.3">
      <c r="B134" s="16"/>
      <c r="C134" s="17"/>
      <c r="E134" s="22"/>
      <c r="F134" s="23"/>
    </row>
    <row r="135" spans="2:6" x14ac:dyDescent="0.3">
      <c r="B135" s="16"/>
      <c r="C135" s="17"/>
      <c r="E135" s="22"/>
      <c r="F135" s="23"/>
    </row>
    <row r="136" spans="2:6" x14ac:dyDescent="0.3">
      <c r="B136" s="16"/>
      <c r="C136" s="17"/>
      <c r="E136" s="22"/>
      <c r="F136" s="23"/>
    </row>
    <row r="137" spans="2:6" x14ac:dyDescent="0.3">
      <c r="B137" s="16"/>
      <c r="C137" s="17"/>
      <c r="E137" s="22"/>
      <c r="F137" s="23"/>
    </row>
    <row r="138" spans="2:6" x14ac:dyDescent="0.3">
      <c r="B138" s="16"/>
      <c r="C138" s="17"/>
      <c r="E138" s="22"/>
      <c r="F138" s="23"/>
    </row>
    <row r="139" spans="2:6" x14ac:dyDescent="0.3">
      <c r="B139" s="16"/>
      <c r="C139" s="17"/>
      <c r="E139" s="22"/>
      <c r="F139" s="23"/>
    </row>
    <row r="140" spans="2:6" x14ac:dyDescent="0.3">
      <c r="B140" s="16"/>
      <c r="C140" s="17"/>
      <c r="E140" s="22"/>
      <c r="F140" s="23"/>
    </row>
    <row r="141" spans="2:6" x14ac:dyDescent="0.3">
      <c r="B141" s="16"/>
      <c r="C141" s="17"/>
      <c r="E141" s="22"/>
      <c r="F141" s="23"/>
    </row>
  </sheetData>
  <mergeCells count="5">
    <mergeCell ref="I6:M8"/>
    <mergeCell ref="I10:M12"/>
    <mergeCell ref="B1:G1"/>
    <mergeCell ref="B3:C3"/>
    <mergeCell ref="B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30F0E-886D-4374-AB71-414A81452F1C}">
  <dimension ref="B1:AL130"/>
  <sheetViews>
    <sheetView showGridLines="0" tabSelected="1" zoomScale="85" zoomScaleNormal="85" workbookViewId="0">
      <selection activeCell="N14" sqref="N14"/>
    </sheetView>
  </sheetViews>
  <sheetFormatPr baseColWidth="10" defaultColWidth="8.88671875" defaultRowHeight="14.4" x14ac:dyDescent="0.3"/>
  <cols>
    <col min="1" max="1" width="2" customWidth="1"/>
    <col min="2" max="2" width="13.6640625" customWidth="1"/>
    <col min="3" max="3" width="8.6640625" style="5" customWidth="1"/>
    <col min="4" max="4" width="6.109375" style="5" customWidth="1"/>
    <col min="5" max="5" width="14.77734375" bestFit="1" customWidth="1"/>
    <col min="6" max="6" width="14.88671875" bestFit="1" customWidth="1"/>
    <col min="7" max="7" width="21.44140625" style="82" bestFit="1" customWidth="1"/>
    <col min="8" max="9" width="12.33203125" style="82" customWidth="1"/>
    <col min="10" max="10" width="3.5546875" style="82" customWidth="1"/>
    <col min="11" max="11" width="7.21875" customWidth="1"/>
    <col min="12" max="12" width="8.21875" bestFit="1" customWidth="1"/>
    <col min="13" max="13" width="88.33203125" bestFit="1" customWidth="1"/>
    <col min="14" max="14" width="11.21875" bestFit="1" customWidth="1"/>
    <col min="15" max="15" width="7.33203125" bestFit="1" customWidth="1"/>
    <col min="16" max="16" width="20.77734375" bestFit="1" customWidth="1"/>
    <col min="17" max="17" width="3.21875" customWidth="1"/>
    <col min="18" max="18" width="9" customWidth="1"/>
    <col min="19" max="19" width="7" bestFit="1" customWidth="1"/>
    <col min="20" max="22" width="9.77734375" bestFit="1" customWidth="1"/>
    <col min="23" max="23" width="3.44140625" customWidth="1"/>
    <col min="24" max="24" width="83.21875" bestFit="1" customWidth="1"/>
    <col min="25" max="25" width="9.77734375" bestFit="1" customWidth="1"/>
    <col min="26" max="26" width="12.5546875" bestFit="1" customWidth="1"/>
    <col min="27" max="27" width="11.44140625" bestFit="1" customWidth="1"/>
    <col min="28" max="33" width="12.5546875" bestFit="1" customWidth="1"/>
    <col min="34" max="34" width="10.77734375" bestFit="1" customWidth="1"/>
  </cols>
  <sheetData>
    <row r="1" spans="2:22" x14ac:dyDescent="0.3">
      <c r="M1" s="4" t="s">
        <v>82</v>
      </c>
    </row>
    <row r="2" spans="2:22" ht="16.2" thickBot="1" x14ac:dyDescent="0.35">
      <c r="B2" s="140" t="s">
        <v>36</v>
      </c>
      <c r="C2" s="140"/>
      <c r="D2" s="140"/>
      <c r="E2" s="140"/>
      <c r="F2" s="140"/>
      <c r="G2" s="140"/>
      <c r="H2" s="140"/>
      <c r="I2" s="140"/>
      <c r="J2" s="90"/>
      <c r="K2" s="33" t="s">
        <v>80</v>
      </c>
      <c r="M2" s="2"/>
      <c r="O2" s="2"/>
      <c r="P2" s="2"/>
    </row>
    <row r="3" spans="2:22" ht="15.6" thickTop="1" thickBot="1" x14ac:dyDescent="0.35">
      <c r="B3" s="141" t="str">
        <f>Datos!B2</f>
        <v>Observación:</v>
      </c>
      <c r="C3" s="141"/>
      <c r="D3" s="8" t="str">
        <f>Datos!D2</f>
        <v>PTU Estándard - F2910028</v>
      </c>
      <c r="E3" s="8"/>
      <c r="F3" s="28"/>
      <c r="G3" s="149" t="s">
        <v>15</v>
      </c>
      <c r="H3" s="150"/>
      <c r="I3" s="150"/>
      <c r="J3" s="91"/>
      <c r="K3" s="101" t="s">
        <v>60</v>
      </c>
      <c r="L3" s="102" t="s">
        <v>26</v>
      </c>
      <c r="M3" s="101" t="s">
        <v>25</v>
      </c>
      <c r="N3" s="102" t="s">
        <v>27</v>
      </c>
      <c r="O3" s="101" t="s">
        <v>28</v>
      </c>
      <c r="P3" s="103" t="s">
        <v>24</v>
      </c>
    </row>
    <row r="4" spans="2:22" x14ac:dyDescent="0.3">
      <c r="B4" s="141" t="str">
        <f>Datos!B3</f>
        <v>Simbolo da magnitude:</v>
      </c>
      <c r="C4" s="141">
        <f>Datos!C3</f>
        <v>0</v>
      </c>
      <c r="D4" s="35" t="str">
        <f>Datos!D3</f>
        <v>T</v>
      </c>
      <c r="E4" s="144" t="s">
        <v>31</v>
      </c>
      <c r="F4" s="145"/>
      <c r="G4" s="149"/>
      <c r="H4" s="150"/>
      <c r="I4" s="150"/>
      <c r="J4" s="91"/>
      <c r="K4" s="64" t="s">
        <v>61</v>
      </c>
      <c r="L4" s="94" t="s">
        <v>19</v>
      </c>
      <c r="M4" s="50" t="s">
        <v>40</v>
      </c>
      <c r="N4" s="56">
        <f>SQRT(SUMSQ(di)/N)</f>
        <v>0.11108746793367133</v>
      </c>
      <c r="O4" s="5" t="str">
        <f>$D$5</f>
        <v>K</v>
      </c>
      <c r="P4" s="36"/>
    </row>
    <row r="5" spans="2:22" s="1" customFormat="1" x14ac:dyDescent="0.3">
      <c r="B5" s="148" t="str">
        <f>Datos!B4</f>
        <v>Unidad:</v>
      </c>
      <c r="C5" s="148"/>
      <c r="D5" s="67" t="s">
        <v>8</v>
      </c>
      <c r="E5" s="146">
        <v>273.14999999999998</v>
      </c>
      <c r="F5" s="147"/>
      <c r="G5" s="58" t="s">
        <v>14</v>
      </c>
      <c r="H5" s="49" t="s">
        <v>11</v>
      </c>
      <c r="I5" s="49" t="s">
        <v>10</v>
      </c>
      <c r="J5" s="49"/>
      <c r="K5" s="64" t="s">
        <v>62</v>
      </c>
      <c r="L5" s="94" t="s">
        <v>16</v>
      </c>
      <c r="M5" s="50" t="s">
        <v>38</v>
      </c>
      <c r="N5" s="53">
        <f>AVERAGE(di)</f>
        <v>-9.7872340425531196E-2</v>
      </c>
      <c r="O5" s="5" t="str">
        <f>$D$5</f>
        <v>K</v>
      </c>
      <c r="P5" s="20"/>
      <c r="T5" s="3"/>
      <c r="U5" s="3"/>
      <c r="V5" s="3"/>
    </row>
    <row r="6" spans="2:22" x14ac:dyDescent="0.3">
      <c r="B6" s="143" t="s">
        <v>2</v>
      </c>
      <c r="C6" s="143"/>
      <c r="D6" s="143"/>
      <c r="E6" s="19" t="s">
        <v>6</v>
      </c>
      <c r="F6" s="48" t="s">
        <v>1</v>
      </c>
      <c r="G6" s="59" t="s">
        <v>23</v>
      </c>
      <c r="H6" s="49" t="s">
        <v>37</v>
      </c>
      <c r="I6" s="49" t="s">
        <v>45</v>
      </c>
      <c r="J6" s="49"/>
      <c r="K6" s="64" t="s">
        <v>63</v>
      </c>
      <c r="L6" s="93" t="s">
        <v>41</v>
      </c>
      <c r="M6" s="111" t="s">
        <v>74</v>
      </c>
      <c r="N6" s="95">
        <f>COUNT(di)</f>
        <v>47</v>
      </c>
      <c r="O6" s="52"/>
      <c r="P6" s="68"/>
      <c r="Q6" s="4"/>
      <c r="R6" s="4"/>
      <c r="S6" s="4"/>
      <c r="T6" s="4"/>
      <c r="U6" s="4"/>
      <c r="V6" s="4"/>
    </row>
    <row r="7" spans="2:22" ht="15" thickBot="1" x14ac:dyDescent="0.35">
      <c r="B7" s="13" t="str">
        <f>Datos!B6</f>
        <v>Data</v>
      </c>
      <c r="C7" s="13" t="str">
        <f>Datos!C6</f>
        <v>Horário</v>
      </c>
      <c r="D7" s="13" t="str">
        <f>Datos!D6</f>
        <v>Punto</v>
      </c>
      <c r="E7" s="18" t="str">
        <f>CONCATENATE("( Xai = ",$D$4,"p ) / (",$D$5,")")</f>
        <v>( Xai = Tp ) / (K)</v>
      </c>
      <c r="F7" s="69" t="str">
        <f>CONCATENATE("( Xbi = ",$D$4,"o ) / (",$D$5,")")</f>
        <v>( Xbi = To ) / (K)</v>
      </c>
      <c r="G7" s="34" t="str">
        <f>CONCATENATE("di / (",$D$5,")")</f>
        <v>di / (K)</v>
      </c>
      <c r="H7" s="13" t="str">
        <f>CONCATENATE("Mi / (",$D$5,"³",")")</f>
        <v>Mi / (K³)</v>
      </c>
      <c r="I7" s="13" t="str">
        <f>CONCATENATE("Ki / ( (",$D$5,")² )²")</f>
        <v>Ki / ( (K)² )²</v>
      </c>
      <c r="J7" s="3"/>
      <c r="K7" s="64" t="s">
        <v>64</v>
      </c>
      <c r="L7" s="93" t="s">
        <v>29</v>
      </c>
      <c r="M7" t="s">
        <v>75</v>
      </c>
      <c r="N7" s="104"/>
      <c r="O7" s="105"/>
      <c r="P7" s="86" t="s">
        <v>50</v>
      </c>
      <c r="Q7" s="4"/>
      <c r="R7" s="4"/>
      <c r="S7" s="4"/>
      <c r="T7" s="4"/>
      <c r="U7" s="4"/>
      <c r="V7" s="4"/>
    </row>
    <row r="8" spans="2:22" x14ac:dyDescent="0.3">
      <c r="B8" s="25">
        <f>Datos!B7</f>
        <v>43060.930555555555</v>
      </c>
      <c r="C8" s="26">
        <f>Datos!C7</f>
        <v>43060.930555555555</v>
      </c>
      <c r="D8" s="27">
        <f>Datos!D7</f>
        <v>673</v>
      </c>
      <c r="E8" s="96">
        <f>Datos!F7+'ASTM 4430-00'!$E$5</f>
        <v>296.04999999999995</v>
      </c>
      <c r="F8" s="97">
        <f>Datos!G7+'ASTM 4430-00'!$E$5</f>
        <v>296.04999999999995</v>
      </c>
      <c r="G8" s="124">
        <f t="shared" ref="G8:G54" si="0">Xai-Xbi</f>
        <v>0</v>
      </c>
      <c r="H8" s="98">
        <f t="shared" ref="H8:H54" si="1">(di-d)^3</f>
        <v>9.3751866156822526E-4</v>
      </c>
      <c r="I8" s="98">
        <f t="shared" ref="I8:I54" si="2">(di-d)^4</f>
        <v>9.1757145600293713E-5</v>
      </c>
      <c r="J8" s="98"/>
      <c r="K8" s="127" t="s">
        <v>65</v>
      </c>
      <c r="L8" s="128" t="s">
        <v>57</v>
      </c>
      <c r="M8" s="39" t="s">
        <v>56</v>
      </c>
      <c r="N8" s="39">
        <f>MAX(Xai,Xbi)-MIN(Xai,Xbi)</f>
        <v>0.30000000000001137</v>
      </c>
      <c r="O8" s="10" t="str">
        <f>$D$5</f>
        <v>K</v>
      </c>
      <c r="P8" s="39"/>
      <c r="Q8" s="80"/>
      <c r="R8" s="86"/>
      <c r="S8" s="86"/>
      <c r="T8" s="4"/>
      <c r="U8" s="4"/>
      <c r="V8" s="4"/>
    </row>
    <row r="9" spans="2:22" x14ac:dyDescent="0.3">
      <c r="B9" s="25">
        <f>Datos!B8</f>
        <v>43060.931250000001</v>
      </c>
      <c r="C9" s="26">
        <f>Datos!C8</f>
        <v>43060.931250000001</v>
      </c>
      <c r="D9" s="27">
        <f>Datos!D8</f>
        <v>674</v>
      </c>
      <c r="E9" s="96">
        <f>Datos!F8+'ASTM 4430-00'!$E$5</f>
        <v>296.04999999999995</v>
      </c>
      <c r="F9" s="97">
        <f>Datos!G8+'ASTM 4430-00'!$E$5</f>
        <v>296.04999999999995</v>
      </c>
      <c r="G9" s="125">
        <f t="shared" si="0"/>
        <v>0</v>
      </c>
      <c r="H9" s="98">
        <f t="shared" si="1"/>
        <v>9.3751866156822526E-4</v>
      </c>
      <c r="I9" s="98">
        <f t="shared" si="2"/>
        <v>9.1757145600293713E-5</v>
      </c>
      <c r="J9" s="98"/>
      <c r="K9" s="51" t="s">
        <v>66</v>
      </c>
      <c r="L9" s="112" t="s">
        <v>58</v>
      </c>
      <c r="M9" s="110" t="s">
        <v>76</v>
      </c>
      <c r="N9" s="108" t="s">
        <v>58</v>
      </c>
      <c r="O9" s="108" t="s">
        <v>58</v>
      </c>
      <c r="Q9" s="38"/>
      <c r="R9" s="42"/>
      <c r="S9" s="42"/>
      <c r="T9" s="4"/>
      <c r="U9" s="4"/>
      <c r="V9" s="4"/>
    </row>
    <row r="10" spans="2:22" x14ac:dyDescent="0.3">
      <c r="B10" s="25">
        <f>Datos!B9</f>
        <v>43060.931944444441</v>
      </c>
      <c r="C10" s="26">
        <f>Datos!C9</f>
        <v>43060.931944444441</v>
      </c>
      <c r="D10" s="27">
        <f>Datos!D9</f>
        <v>675</v>
      </c>
      <c r="E10" s="96">
        <f>Datos!F9+'ASTM 4430-00'!$E$5</f>
        <v>296.04999999999995</v>
      </c>
      <c r="F10" s="97">
        <f>Datos!G9+'ASTM 4430-00'!$E$5</f>
        <v>296.04999999999995</v>
      </c>
      <c r="G10" s="125">
        <f t="shared" si="0"/>
        <v>0</v>
      </c>
      <c r="H10" s="98">
        <f t="shared" si="1"/>
        <v>9.3751866156822526E-4</v>
      </c>
      <c r="I10" s="98">
        <f t="shared" si="2"/>
        <v>9.1757145600293713E-5</v>
      </c>
      <c r="J10" s="98"/>
      <c r="K10" s="51" t="s">
        <v>67</v>
      </c>
      <c r="M10" t="s">
        <v>59</v>
      </c>
      <c r="N10" s="104"/>
      <c r="O10" s="105"/>
      <c r="P10" s="86" t="s">
        <v>50</v>
      </c>
      <c r="Q10" s="87"/>
      <c r="R10" s="88"/>
      <c r="S10" s="88"/>
      <c r="T10" s="4"/>
      <c r="U10" s="4"/>
      <c r="V10" s="4"/>
    </row>
    <row r="11" spans="2:22" x14ac:dyDescent="0.3">
      <c r="B11" s="25">
        <f>Datos!B10</f>
        <v>43060.932638888888</v>
      </c>
      <c r="C11" s="26">
        <f>Datos!C10</f>
        <v>43060.932638888888</v>
      </c>
      <c r="D11" s="27">
        <f>Datos!D10</f>
        <v>676</v>
      </c>
      <c r="E11" s="96">
        <f>Datos!F10+'ASTM 4430-00'!$E$5</f>
        <v>296.04999999999995</v>
      </c>
      <c r="F11" s="97">
        <f>Datos!G10+'ASTM 4430-00'!$E$5</f>
        <v>296.14999999999998</v>
      </c>
      <c r="G11" s="125">
        <f t="shared" si="0"/>
        <v>-0.10000000000002274</v>
      </c>
      <c r="H11" s="98">
        <f t="shared" si="1"/>
        <v>-9.6317771595222029E-9</v>
      </c>
      <c r="I11" s="98">
        <f t="shared" si="2"/>
        <v>2.049314289282636E-11</v>
      </c>
      <c r="J11" s="98"/>
      <c r="K11" s="51" t="s">
        <v>68</v>
      </c>
      <c r="L11" s="94" t="s">
        <v>21</v>
      </c>
      <c r="M11" t="s">
        <v>42</v>
      </c>
      <c r="N11" s="57">
        <f>SUM(Mi)/N^3</f>
        <v>4.1090189450956834E-9</v>
      </c>
      <c r="O11" s="5" t="str">
        <f>CONCATENATE("(",$D$5,")³")</f>
        <v>(K)³</v>
      </c>
      <c r="P11" s="100" t="s">
        <v>47</v>
      </c>
      <c r="Q11" s="62"/>
      <c r="R11" s="60"/>
      <c r="S11" s="61"/>
      <c r="T11" s="4"/>
      <c r="U11" s="6"/>
      <c r="V11" s="4"/>
    </row>
    <row r="12" spans="2:22" x14ac:dyDescent="0.3">
      <c r="B12" s="25">
        <f>Datos!B11</f>
        <v>43060.933333333334</v>
      </c>
      <c r="C12" s="26">
        <f>Datos!C11</f>
        <v>43060.933333333334</v>
      </c>
      <c r="D12" s="27">
        <f>Datos!D11</f>
        <v>677</v>
      </c>
      <c r="E12" s="96">
        <f>Datos!F11+'ASTM 4430-00'!$E$5</f>
        <v>296.04999999999995</v>
      </c>
      <c r="F12" s="97">
        <f>Datos!G11+'ASTM 4430-00'!$E$5</f>
        <v>296.04999999999995</v>
      </c>
      <c r="G12" s="125">
        <f t="shared" si="0"/>
        <v>0</v>
      </c>
      <c r="H12" s="98">
        <f t="shared" si="1"/>
        <v>9.3751866156822526E-4</v>
      </c>
      <c r="I12" s="98">
        <f t="shared" si="2"/>
        <v>9.1757145600293713E-5</v>
      </c>
      <c r="J12" s="98"/>
      <c r="K12" s="51" t="s">
        <v>69</v>
      </c>
      <c r="L12" s="94" t="s">
        <v>8</v>
      </c>
      <c r="M12" t="s">
        <v>46</v>
      </c>
      <c r="N12" s="57">
        <f>SUM(Ki)/N^4</f>
        <v>1.8319448511802687E-10</v>
      </c>
      <c r="O12" s="5" t="str">
        <f>CONCATENATE("((",$D$5,")²)²")</f>
        <v>((K)²)²</v>
      </c>
      <c r="P12" s="100" t="s">
        <v>83</v>
      </c>
      <c r="Q12" s="62"/>
      <c r="R12" s="60"/>
      <c r="S12" s="61"/>
      <c r="T12" s="4"/>
      <c r="U12" s="4"/>
      <c r="V12" s="4"/>
    </row>
    <row r="13" spans="2:22" x14ac:dyDescent="0.3">
      <c r="B13" s="25">
        <f>Datos!B12</f>
        <v>43060.934027777781</v>
      </c>
      <c r="C13" s="26">
        <f>Datos!C12</f>
        <v>43060.934027777781</v>
      </c>
      <c r="D13" s="27">
        <f>Datos!D12</f>
        <v>678</v>
      </c>
      <c r="E13" s="96">
        <f>Datos!F12+'ASTM 4430-00'!$E$5</f>
        <v>296.04999999999995</v>
      </c>
      <c r="F13" s="97">
        <f>Datos!G12+'ASTM 4430-00'!$E$5</f>
        <v>296.14999999999998</v>
      </c>
      <c r="G13" s="125">
        <f t="shared" si="0"/>
        <v>-0.10000000000002274</v>
      </c>
      <c r="H13" s="98">
        <f t="shared" si="1"/>
        <v>-9.6317771595222029E-9</v>
      </c>
      <c r="I13" s="98">
        <f t="shared" si="2"/>
        <v>2.049314289282636E-11</v>
      </c>
      <c r="J13" s="98"/>
      <c r="K13" s="127" t="s">
        <v>70</v>
      </c>
      <c r="L13" s="39"/>
      <c r="M13" s="39" t="s">
        <v>77</v>
      </c>
      <c r="N13" s="129"/>
      <c r="O13" s="130"/>
      <c r="P13" s="131" t="s">
        <v>50</v>
      </c>
      <c r="Q13" s="62"/>
      <c r="R13" s="60"/>
      <c r="S13" s="61"/>
      <c r="T13" s="4"/>
    </row>
    <row r="14" spans="2:22" x14ac:dyDescent="0.3">
      <c r="B14" s="25">
        <f>Datos!B13</f>
        <v>43060.93472222222</v>
      </c>
      <c r="C14" s="26">
        <f>Datos!C13</f>
        <v>43060.93472222222</v>
      </c>
      <c r="D14" s="27">
        <f>Datos!D13</f>
        <v>679</v>
      </c>
      <c r="E14" s="96">
        <f>Datos!F13+'ASTM 4430-00'!$E$5</f>
        <v>296.04999999999995</v>
      </c>
      <c r="F14" s="97">
        <f>Datos!G13+'ASTM 4430-00'!$E$5</f>
        <v>296.14999999999998</v>
      </c>
      <c r="G14" s="125">
        <f t="shared" si="0"/>
        <v>-0.10000000000002274</v>
      </c>
      <c r="H14" s="98">
        <f t="shared" si="1"/>
        <v>-9.6317771595222029E-9</v>
      </c>
      <c r="I14" s="98">
        <f t="shared" si="2"/>
        <v>2.049314289282636E-11</v>
      </c>
      <c r="J14" s="98"/>
      <c r="K14" s="51" t="s">
        <v>71</v>
      </c>
      <c r="L14" s="94" t="s">
        <v>34</v>
      </c>
      <c r="M14" t="s">
        <v>51</v>
      </c>
      <c r="N14" s="123">
        <v>0.1</v>
      </c>
      <c r="O14" s="5" t="str">
        <f>$D$5</f>
        <v>K</v>
      </c>
      <c r="P14" s="86" t="s">
        <v>50</v>
      </c>
      <c r="Q14" s="62"/>
      <c r="R14" s="60"/>
      <c r="S14" s="61"/>
      <c r="T14" s="4"/>
    </row>
    <row r="15" spans="2:22" x14ac:dyDescent="0.3">
      <c r="B15" s="25">
        <f>Datos!B14</f>
        <v>43060.935416666667</v>
      </c>
      <c r="C15" s="26">
        <f>Datos!C14</f>
        <v>43060.935416666667</v>
      </c>
      <c r="D15" s="27">
        <f>Datos!D14</f>
        <v>680</v>
      </c>
      <c r="E15" s="96">
        <f>Datos!F14+'ASTM 4430-00'!$E$5</f>
        <v>296.04999999999995</v>
      </c>
      <c r="F15" s="97">
        <f>Datos!G14+'ASTM 4430-00'!$E$5</f>
        <v>296.14999999999998</v>
      </c>
      <c r="G15" s="125">
        <f t="shared" si="0"/>
        <v>-0.10000000000002274</v>
      </c>
      <c r="H15" s="98">
        <f t="shared" si="1"/>
        <v>-9.6317771595222029E-9</v>
      </c>
      <c r="I15" s="98">
        <f t="shared" si="2"/>
        <v>2.049314289282636E-11</v>
      </c>
      <c r="J15" s="98"/>
      <c r="K15" s="51" t="s">
        <v>72</v>
      </c>
      <c r="M15" t="s">
        <v>78</v>
      </c>
      <c r="N15" s="104"/>
      <c r="O15" s="105"/>
      <c r="P15" s="86" t="s">
        <v>50</v>
      </c>
      <c r="Q15" s="62"/>
      <c r="R15" s="60"/>
      <c r="S15" s="61"/>
      <c r="T15" s="4"/>
    </row>
    <row r="16" spans="2:22" x14ac:dyDescent="0.3">
      <c r="B16" s="25">
        <f>Datos!B15</f>
        <v>43060.936111111114</v>
      </c>
      <c r="C16" s="26">
        <f>Datos!C15</f>
        <v>43060.936111111114</v>
      </c>
      <c r="D16" s="27">
        <f>Datos!D15</f>
        <v>681</v>
      </c>
      <c r="E16" s="96">
        <f>Datos!F15+'ASTM 4430-00'!$E$5</f>
        <v>296.04999999999995</v>
      </c>
      <c r="F16" s="97">
        <f>Datos!G15+'ASTM 4430-00'!$E$5</f>
        <v>296.14999999999998</v>
      </c>
      <c r="G16" s="125">
        <f t="shared" si="0"/>
        <v>-0.10000000000002274</v>
      </c>
      <c r="H16" s="98">
        <f t="shared" si="1"/>
        <v>-9.6317771595222029E-9</v>
      </c>
      <c r="I16" s="98">
        <f t="shared" si="2"/>
        <v>2.049314289282636E-11</v>
      </c>
      <c r="J16" s="98"/>
      <c r="K16" s="51" t="s">
        <v>73</v>
      </c>
      <c r="M16" t="s">
        <v>79</v>
      </c>
      <c r="N16" s="104"/>
      <c r="O16" s="105"/>
      <c r="P16" s="86" t="s">
        <v>50</v>
      </c>
      <c r="Q16" s="62"/>
      <c r="R16" s="60"/>
      <c r="S16" s="61"/>
      <c r="T16" s="4"/>
    </row>
    <row r="17" spans="2:38" x14ac:dyDescent="0.3">
      <c r="B17" s="25">
        <f>Datos!B16</f>
        <v>43060.936805555553</v>
      </c>
      <c r="C17" s="26">
        <f>Datos!C16</f>
        <v>43060.936805555553</v>
      </c>
      <c r="D17" s="27">
        <f>Datos!D16</f>
        <v>682</v>
      </c>
      <c r="E17" s="96">
        <f>Datos!F16+'ASTM 4430-00'!$E$5</f>
        <v>296.04999999999995</v>
      </c>
      <c r="F17" s="97">
        <f>Datos!G16+'ASTM 4430-00'!$E$5</f>
        <v>296.14999999999998</v>
      </c>
      <c r="G17" s="125">
        <f t="shared" si="0"/>
        <v>-0.10000000000002274</v>
      </c>
      <c r="H17" s="98">
        <f t="shared" si="1"/>
        <v>-9.6317771595222029E-9</v>
      </c>
      <c r="I17" s="98">
        <f t="shared" si="2"/>
        <v>2.049314289282636E-11</v>
      </c>
      <c r="J17" s="98"/>
      <c r="K17" s="51"/>
      <c r="L17" s="94" t="s">
        <v>18</v>
      </c>
      <c r="M17" s="50" t="s">
        <v>39</v>
      </c>
      <c r="N17" s="54">
        <f>d-u</f>
        <v>-9.7872340425531196E-2</v>
      </c>
      <c r="O17" s="5" t="str">
        <f>$D$5</f>
        <v>K</v>
      </c>
      <c r="Q17" s="63"/>
      <c r="R17" s="60"/>
      <c r="S17" s="61"/>
      <c r="T17" s="4"/>
      <c r="V17" s="12"/>
    </row>
    <row r="18" spans="2:38" x14ac:dyDescent="0.3">
      <c r="B18" s="25">
        <f>Datos!B17</f>
        <v>43060.9375</v>
      </c>
      <c r="C18" s="26">
        <f>Datos!C17</f>
        <v>43060.9375</v>
      </c>
      <c r="D18" s="27">
        <f>Datos!D17</f>
        <v>683</v>
      </c>
      <c r="E18" s="96">
        <f>Datos!F17+'ASTM 4430-00'!$E$5</f>
        <v>296.04999999999995</v>
      </c>
      <c r="F18" s="97">
        <f>Datos!G17+'ASTM 4430-00'!$E$5</f>
        <v>296.14999999999998</v>
      </c>
      <c r="G18" s="125">
        <f t="shared" si="0"/>
        <v>-0.10000000000002274</v>
      </c>
      <c r="H18" s="98">
        <f t="shared" si="1"/>
        <v>-9.6317771595222029E-9</v>
      </c>
      <c r="I18" s="98">
        <f t="shared" si="2"/>
        <v>2.049314289282636E-11</v>
      </c>
      <c r="J18" s="98"/>
      <c r="K18" s="127"/>
      <c r="L18" s="132" t="s">
        <v>17</v>
      </c>
      <c r="M18" s="127" t="s">
        <v>44</v>
      </c>
      <c r="N18" s="133">
        <f>AVERAGE(Xai)*0</f>
        <v>0</v>
      </c>
      <c r="O18" s="10" t="str">
        <f>$D$5</f>
        <v>K</v>
      </c>
      <c r="P18" s="134" t="s">
        <v>43</v>
      </c>
      <c r="Q18" s="62"/>
      <c r="R18" s="60"/>
      <c r="S18" s="61"/>
      <c r="T18" s="4"/>
      <c r="U18" s="4"/>
      <c r="V18" s="4"/>
      <c r="W18" s="4"/>
    </row>
    <row r="19" spans="2:38" x14ac:dyDescent="0.3">
      <c r="B19" s="25">
        <f>Datos!B18</f>
        <v>43060.938194444447</v>
      </c>
      <c r="C19" s="26">
        <f>Datos!C18</f>
        <v>43060.938194444447</v>
      </c>
      <c r="D19" s="27">
        <f>Datos!D18</f>
        <v>684</v>
      </c>
      <c r="E19" s="96">
        <f>Datos!F18+'ASTM 4430-00'!$E$5</f>
        <v>296.04999999999995</v>
      </c>
      <c r="F19" s="97">
        <f>Datos!G18+'ASTM 4430-00'!$E$5</f>
        <v>296.14999999999998</v>
      </c>
      <c r="G19" s="125">
        <f t="shared" si="0"/>
        <v>-0.10000000000002274</v>
      </c>
      <c r="H19" s="98">
        <f t="shared" si="1"/>
        <v>-9.6317771595222029E-9</v>
      </c>
      <c r="I19" s="98">
        <f t="shared" si="2"/>
        <v>2.049314289282636E-11</v>
      </c>
      <c r="J19" s="98"/>
      <c r="K19" s="51"/>
      <c r="L19" s="94" t="s">
        <v>20</v>
      </c>
      <c r="M19" t="s">
        <v>48</v>
      </c>
      <c r="N19" s="57">
        <f>SQRT(C_^2-d^2)</f>
        <v>5.2549315043522574E-2</v>
      </c>
      <c r="O19" s="5" t="str">
        <f>$D$5</f>
        <v>K</v>
      </c>
      <c r="Q19" s="62"/>
      <c r="R19" s="60"/>
      <c r="S19" s="61"/>
      <c r="T19" s="4"/>
      <c r="U19" s="4"/>
      <c r="V19" s="4"/>
      <c r="W19" s="4"/>
    </row>
    <row r="20" spans="2:38" x14ac:dyDescent="0.3">
      <c r="B20" s="25">
        <f>Datos!B19</f>
        <v>43060.938888888886</v>
      </c>
      <c r="C20" s="26">
        <f>Datos!C19</f>
        <v>43060.938888888886</v>
      </c>
      <c r="D20" s="27">
        <f>Datos!D19</f>
        <v>685</v>
      </c>
      <c r="E20" s="96">
        <f>Datos!F19+'ASTM 4430-00'!$E$5</f>
        <v>296.04999999999995</v>
      </c>
      <c r="F20" s="97">
        <f>Datos!G19+'ASTM 4430-00'!$E$5</f>
        <v>296.14999999999998</v>
      </c>
      <c r="G20" s="125">
        <f t="shared" si="0"/>
        <v>-0.10000000000002274</v>
      </c>
      <c r="H20" s="98">
        <f t="shared" si="1"/>
        <v>-9.6317771595222029E-9</v>
      </c>
      <c r="I20" s="98">
        <f t="shared" si="2"/>
        <v>2.049314289282636E-11</v>
      </c>
      <c r="J20" s="98"/>
      <c r="K20" s="51"/>
      <c r="L20" s="94" t="s">
        <v>13</v>
      </c>
      <c r="M20" t="s">
        <v>49</v>
      </c>
      <c r="N20" s="104"/>
      <c r="O20" s="105"/>
      <c r="P20" s="86" t="s">
        <v>50</v>
      </c>
      <c r="Q20" s="81"/>
      <c r="R20" s="89"/>
      <c r="S20" s="61"/>
      <c r="T20" s="28"/>
      <c r="U20" s="28"/>
      <c r="V20" s="28"/>
      <c r="W20" s="4"/>
      <c r="X20" s="4"/>
    </row>
    <row r="21" spans="2:38" x14ac:dyDescent="0.3">
      <c r="B21" s="25">
        <f>Datos!B20</f>
        <v>43060.939583333333</v>
      </c>
      <c r="C21" s="26">
        <f>Datos!C20</f>
        <v>43060.939583333333</v>
      </c>
      <c r="D21" s="27">
        <f>Datos!D20</f>
        <v>686</v>
      </c>
      <c r="E21" s="96">
        <f>Datos!F20+'ASTM 4430-00'!$E$5</f>
        <v>295.95</v>
      </c>
      <c r="F21" s="97">
        <f>Datos!G20+'ASTM 4430-00'!$E$5</f>
        <v>296.14999999999998</v>
      </c>
      <c r="G21" s="125">
        <f t="shared" si="0"/>
        <v>-0.19999999999998863</v>
      </c>
      <c r="H21" s="98">
        <f t="shared" si="1"/>
        <v>-1.0651974995903163E-3</v>
      </c>
      <c r="I21" s="98">
        <f t="shared" si="2"/>
        <v>1.0878612761772308E-4</v>
      </c>
      <c r="J21" s="98"/>
      <c r="K21" s="51"/>
      <c r="L21" s="94"/>
      <c r="M21" t="s">
        <v>91</v>
      </c>
      <c r="N21" s="122">
        <f>3*s/SQRT(N)</f>
        <v>2.299531617613081E-2</v>
      </c>
      <c r="O21" s="5" t="str">
        <f>$D$5</f>
        <v>K</v>
      </c>
      <c r="P21" s="86"/>
      <c r="Q21" s="4"/>
      <c r="R21" s="4"/>
      <c r="S21" s="4"/>
      <c r="T21" s="31"/>
      <c r="U21" s="31"/>
      <c r="V21" s="31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</row>
    <row r="22" spans="2:38" x14ac:dyDescent="0.3">
      <c r="B22" s="25">
        <f>Datos!B21</f>
        <v>43060.94027777778</v>
      </c>
      <c r="C22" s="26">
        <f>Datos!C21</f>
        <v>43060.94027777778</v>
      </c>
      <c r="D22" s="27">
        <f>Datos!D21</f>
        <v>687</v>
      </c>
      <c r="E22" s="96">
        <f>Datos!F21+'ASTM 4430-00'!$E$5</f>
        <v>295.95</v>
      </c>
      <c r="F22" s="97">
        <f>Datos!G21+'ASTM 4430-00'!$E$5</f>
        <v>296.14999999999998</v>
      </c>
      <c r="G22" s="125">
        <f t="shared" si="0"/>
        <v>-0.19999999999998863</v>
      </c>
      <c r="H22" s="98">
        <f t="shared" si="1"/>
        <v>-1.0651974995903163E-3</v>
      </c>
      <c r="I22" s="98">
        <f t="shared" si="2"/>
        <v>1.0878612761772308E-4</v>
      </c>
      <c r="J22" s="98"/>
      <c r="K22" s="51"/>
      <c r="L22" s="94" t="s">
        <v>52</v>
      </c>
      <c r="M22" t="s">
        <v>53</v>
      </c>
      <c r="N22" s="5">
        <f>INT((3*s/r_)^2+1)</f>
        <v>3</v>
      </c>
      <c r="O22" s="41"/>
      <c r="P22" s="41"/>
      <c r="Q22" s="20"/>
      <c r="R22" s="20"/>
      <c r="S22" s="31"/>
      <c r="T22" s="31"/>
      <c r="U22" s="31"/>
      <c r="V22" s="31"/>
      <c r="W22" s="21"/>
      <c r="X22" s="46"/>
      <c r="Y22" s="4"/>
      <c r="Z22" s="4"/>
      <c r="AA22" s="55"/>
      <c r="AB22" s="20"/>
      <c r="AC22" s="20"/>
      <c r="AD22" s="20"/>
      <c r="AE22" s="31"/>
      <c r="AF22" s="31"/>
      <c r="AG22" s="31"/>
      <c r="AH22" s="31"/>
      <c r="AI22" s="4"/>
      <c r="AJ22" s="4"/>
      <c r="AK22" s="4"/>
      <c r="AL22" s="4"/>
    </row>
    <row r="23" spans="2:38" ht="15" thickBot="1" x14ac:dyDescent="0.35">
      <c r="B23" s="25">
        <f>Datos!B22</f>
        <v>43060.940972222219</v>
      </c>
      <c r="C23" s="26">
        <f>Datos!C22</f>
        <v>43060.940972222219</v>
      </c>
      <c r="D23" s="27">
        <f>Datos!D22</f>
        <v>688</v>
      </c>
      <c r="E23" s="96">
        <f>Datos!F22+'ASTM 4430-00'!$E$5</f>
        <v>296.04999999999995</v>
      </c>
      <c r="F23" s="97">
        <f>Datos!G22+'ASTM 4430-00'!$E$5</f>
        <v>296.14999999999998</v>
      </c>
      <c r="G23" s="125">
        <f t="shared" si="0"/>
        <v>-0.10000000000002274</v>
      </c>
      <c r="H23" s="98">
        <f t="shared" si="1"/>
        <v>-9.6317771595222029E-9</v>
      </c>
      <c r="I23" s="98">
        <f t="shared" si="2"/>
        <v>2.049314289282636E-11</v>
      </c>
      <c r="J23" s="98"/>
      <c r="K23" s="113"/>
      <c r="L23" s="106" t="s">
        <v>55</v>
      </c>
      <c r="M23" s="2" t="s">
        <v>54</v>
      </c>
      <c r="N23" s="24">
        <f>MAX(3,INT((2*s/r_)^2)+1)</f>
        <v>3</v>
      </c>
      <c r="O23" s="107"/>
      <c r="P23" s="107"/>
      <c r="Q23" s="36"/>
      <c r="R23" s="36"/>
      <c r="S23" s="36"/>
      <c r="T23" s="36"/>
      <c r="U23" s="36"/>
      <c r="V23" s="36"/>
      <c r="W23" s="4"/>
      <c r="X23" s="4"/>
      <c r="Y23" s="40"/>
      <c r="Z23" s="37"/>
      <c r="AA23" s="37"/>
      <c r="AB23" s="36"/>
      <c r="AC23" s="36"/>
      <c r="AD23" s="36"/>
      <c r="AE23" s="36"/>
      <c r="AF23" s="36"/>
      <c r="AG23" s="36"/>
      <c r="AH23" s="36"/>
      <c r="AI23" s="4"/>
      <c r="AJ23" s="4"/>
      <c r="AK23" s="4"/>
      <c r="AL23" s="4"/>
    </row>
    <row r="24" spans="2:38" ht="15" thickTop="1" x14ac:dyDescent="0.3">
      <c r="B24" s="25">
        <f>Datos!B23</f>
        <v>43060.941666666666</v>
      </c>
      <c r="C24" s="26">
        <f>Datos!C23</f>
        <v>43060.941666666666</v>
      </c>
      <c r="D24" s="27">
        <f>Datos!D23</f>
        <v>689</v>
      </c>
      <c r="E24" s="96">
        <f>Datos!F23+'ASTM 4430-00'!$E$5</f>
        <v>296.04999999999995</v>
      </c>
      <c r="F24" s="97">
        <f>Datos!G23+'ASTM 4430-00'!$E$5</f>
        <v>296.14999999999998</v>
      </c>
      <c r="G24" s="125">
        <f t="shared" si="0"/>
        <v>-0.10000000000002274</v>
      </c>
      <c r="H24" s="98">
        <f t="shared" si="1"/>
        <v>-9.6317771595222029E-9</v>
      </c>
      <c r="I24" s="98">
        <f t="shared" si="2"/>
        <v>2.049314289282636E-11</v>
      </c>
      <c r="J24" s="98"/>
      <c r="K24" s="51"/>
      <c r="Q24" s="36"/>
      <c r="R24" s="36"/>
      <c r="S24" s="36"/>
      <c r="T24" s="36"/>
      <c r="U24" s="36"/>
      <c r="V24" s="36"/>
      <c r="W24" s="4"/>
      <c r="X24" s="4"/>
      <c r="Y24" s="40"/>
      <c r="Z24" s="37"/>
      <c r="AA24" s="37"/>
      <c r="AB24" s="36"/>
      <c r="AC24" s="36"/>
      <c r="AD24" s="36"/>
      <c r="AE24" s="36"/>
      <c r="AF24" s="36"/>
      <c r="AG24" s="36"/>
      <c r="AH24" s="36"/>
      <c r="AI24" s="4"/>
      <c r="AJ24" s="4"/>
      <c r="AK24" s="4"/>
      <c r="AL24" s="4"/>
    </row>
    <row r="25" spans="2:38" x14ac:dyDescent="0.3">
      <c r="B25" s="25">
        <f>Datos!B24</f>
        <v>43060.942361111112</v>
      </c>
      <c r="C25" s="26">
        <f>Datos!C24</f>
        <v>43060.942361111112</v>
      </c>
      <c r="D25" s="27">
        <f>Datos!D24</f>
        <v>690</v>
      </c>
      <c r="E25" s="96">
        <f>Datos!F24+'ASTM 4430-00'!$E$5</f>
        <v>296.04999999999995</v>
      </c>
      <c r="F25" s="97">
        <f>Datos!G24+'ASTM 4430-00'!$E$5</f>
        <v>296.14999999999998</v>
      </c>
      <c r="G25" s="125">
        <f t="shared" si="0"/>
        <v>-0.10000000000002274</v>
      </c>
      <c r="H25" s="98">
        <f t="shared" si="1"/>
        <v>-9.6317771595222029E-9</v>
      </c>
      <c r="I25" s="98">
        <f t="shared" si="2"/>
        <v>2.049314289282636E-11</v>
      </c>
      <c r="J25" s="98"/>
      <c r="K25" s="51"/>
      <c r="Q25" s="41"/>
      <c r="R25" s="41"/>
      <c r="S25" s="41"/>
      <c r="T25" s="41"/>
      <c r="U25" s="41"/>
      <c r="V25" s="41"/>
      <c r="W25" s="4"/>
      <c r="X25" s="8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"/>
      <c r="AJ25" s="4"/>
      <c r="AK25" s="4"/>
      <c r="AL25" s="4"/>
    </row>
    <row r="26" spans="2:38" x14ac:dyDescent="0.3">
      <c r="B26" s="25">
        <f>Datos!B25</f>
        <v>43060.943055555559</v>
      </c>
      <c r="C26" s="26">
        <f>Datos!C25</f>
        <v>43060.943055555559</v>
      </c>
      <c r="D26" s="27">
        <f>Datos!D25</f>
        <v>691</v>
      </c>
      <c r="E26" s="96">
        <f>Datos!F25+'ASTM 4430-00'!$E$5</f>
        <v>296.04999999999995</v>
      </c>
      <c r="F26" s="97">
        <f>Datos!G25+'ASTM 4430-00'!$E$5</f>
        <v>296.14999999999998</v>
      </c>
      <c r="G26" s="125">
        <f t="shared" si="0"/>
        <v>-0.10000000000002274</v>
      </c>
      <c r="H26" s="98">
        <f t="shared" si="1"/>
        <v>-9.6317771595222029E-9</v>
      </c>
      <c r="I26" s="98">
        <f t="shared" si="2"/>
        <v>2.049314289282636E-11</v>
      </c>
      <c r="J26" s="98"/>
      <c r="K26" s="51"/>
      <c r="Q26" s="41"/>
      <c r="R26" s="41"/>
      <c r="S26" s="41"/>
      <c r="T26" s="41"/>
      <c r="U26" s="41"/>
      <c r="V26" s="41"/>
      <c r="W26" s="4"/>
      <c r="X26" s="8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"/>
      <c r="AJ26" s="4"/>
      <c r="AK26" s="4"/>
      <c r="AL26" s="4"/>
    </row>
    <row r="27" spans="2:38" x14ac:dyDescent="0.3">
      <c r="B27" s="25">
        <f>Datos!B26</f>
        <v>43060.943749999999</v>
      </c>
      <c r="C27" s="26">
        <f>Datos!C26</f>
        <v>43060.943749999999</v>
      </c>
      <c r="D27" s="27">
        <f>Datos!D26</f>
        <v>692</v>
      </c>
      <c r="E27" s="96">
        <f>Datos!F26+'ASTM 4430-00'!$E$5</f>
        <v>296.04999999999995</v>
      </c>
      <c r="F27" s="97">
        <f>Datos!G26+'ASTM 4430-00'!$E$5</f>
        <v>296.14999999999998</v>
      </c>
      <c r="G27" s="125">
        <f t="shared" si="0"/>
        <v>-0.10000000000002274</v>
      </c>
      <c r="H27" s="98">
        <f t="shared" si="1"/>
        <v>-9.6317771595222029E-9</v>
      </c>
      <c r="I27" s="98">
        <f t="shared" si="2"/>
        <v>2.049314289282636E-11</v>
      </c>
      <c r="J27" s="98"/>
      <c r="K27" s="109"/>
      <c r="Q27" s="41"/>
      <c r="R27" s="41"/>
      <c r="S27" s="41"/>
      <c r="T27" s="41"/>
      <c r="U27" s="41"/>
      <c r="V27" s="41"/>
      <c r="W27" s="4"/>
      <c r="X27" s="8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"/>
      <c r="AJ27" s="4"/>
      <c r="AK27" s="4"/>
      <c r="AL27" s="4"/>
    </row>
    <row r="28" spans="2:38" x14ac:dyDescent="0.3">
      <c r="B28" s="25">
        <f>Datos!B27</f>
        <v>43060.944444444445</v>
      </c>
      <c r="C28" s="26">
        <f>Datos!C27</f>
        <v>43060.944444444445</v>
      </c>
      <c r="D28" s="27">
        <f>Datos!D27</f>
        <v>693</v>
      </c>
      <c r="E28" s="96">
        <f>Datos!F27+'ASTM 4430-00'!$E$5</f>
        <v>296.04999999999995</v>
      </c>
      <c r="F28" s="97">
        <f>Datos!G27+'ASTM 4430-00'!$E$5</f>
        <v>296.14999999999998</v>
      </c>
      <c r="G28" s="125">
        <f t="shared" si="0"/>
        <v>-0.10000000000002274</v>
      </c>
      <c r="H28" s="98">
        <f t="shared" si="1"/>
        <v>-9.6317771595222029E-9</v>
      </c>
      <c r="I28" s="98">
        <f t="shared" si="2"/>
        <v>2.049314289282636E-11</v>
      </c>
      <c r="J28" s="98"/>
      <c r="K28" s="109"/>
      <c r="Q28" s="41"/>
      <c r="R28" s="41"/>
      <c r="S28" s="41"/>
      <c r="T28" s="41"/>
      <c r="U28" s="41"/>
      <c r="V28" s="41"/>
      <c r="W28" s="4"/>
      <c r="X28" s="38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"/>
      <c r="AJ28" s="4"/>
      <c r="AK28" s="4"/>
      <c r="AL28" s="4"/>
    </row>
    <row r="29" spans="2:38" x14ac:dyDescent="0.3">
      <c r="B29" s="25">
        <f>Datos!B28</f>
        <v>43060.945138888892</v>
      </c>
      <c r="C29" s="26">
        <f>Datos!C28</f>
        <v>43060.945138888892</v>
      </c>
      <c r="D29" s="27">
        <f>Datos!D28</f>
        <v>694</v>
      </c>
      <c r="E29" s="96">
        <f>Datos!F28+'ASTM 4430-00'!$E$5</f>
        <v>296.14999999999998</v>
      </c>
      <c r="F29" s="97">
        <f>Datos!G28+'ASTM 4430-00'!$E$5</f>
        <v>296.14999999999998</v>
      </c>
      <c r="G29" s="125">
        <f t="shared" si="0"/>
        <v>0</v>
      </c>
      <c r="H29" s="98">
        <f t="shared" si="1"/>
        <v>9.3751866156822526E-4</v>
      </c>
      <c r="I29" s="98">
        <f t="shared" si="2"/>
        <v>9.1757145600293713E-5</v>
      </c>
      <c r="J29" s="98"/>
      <c r="K29" s="51"/>
      <c r="Q29" s="41"/>
      <c r="R29" s="41"/>
      <c r="S29" s="41"/>
      <c r="T29" s="41"/>
      <c r="U29" s="41"/>
      <c r="V29" s="41"/>
      <c r="W29" s="4"/>
      <c r="X29" s="38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"/>
      <c r="AJ29" s="4"/>
      <c r="AK29" s="4"/>
      <c r="AL29" s="4"/>
    </row>
    <row r="30" spans="2:38" x14ac:dyDescent="0.3">
      <c r="B30" s="25">
        <f>Datos!B29</f>
        <v>43060.945833333331</v>
      </c>
      <c r="C30" s="26">
        <f>Datos!C29</f>
        <v>43060.945833333331</v>
      </c>
      <c r="D30" s="27">
        <f>Datos!D29</f>
        <v>695</v>
      </c>
      <c r="E30" s="96">
        <f>Datos!F29+'ASTM 4430-00'!$E$5</f>
        <v>296.04999999999995</v>
      </c>
      <c r="F30" s="97">
        <f>Datos!G29+'ASTM 4430-00'!$E$5</f>
        <v>296.14999999999998</v>
      </c>
      <c r="G30" s="125">
        <f t="shared" si="0"/>
        <v>-0.10000000000002274</v>
      </c>
      <c r="H30" s="98">
        <f t="shared" si="1"/>
        <v>-9.6317771595222029E-9</v>
      </c>
      <c r="I30" s="98">
        <f t="shared" si="2"/>
        <v>2.049314289282636E-11</v>
      </c>
      <c r="J30" s="98"/>
      <c r="Q30" s="41"/>
      <c r="R30" s="41"/>
      <c r="S30" s="41"/>
      <c r="T30" s="41"/>
      <c r="U30" s="41"/>
      <c r="V30" s="41"/>
      <c r="W30" s="7"/>
      <c r="X30" s="38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"/>
      <c r="AJ30" s="4"/>
      <c r="AK30" s="4"/>
      <c r="AL30" s="4"/>
    </row>
    <row r="31" spans="2:38" x14ac:dyDescent="0.3">
      <c r="B31" s="25">
        <f>Datos!B30</f>
        <v>43060.946527777778</v>
      </c>
      <c r="C31" s="26">
        <f>Datos!C30</f>
        <v>43060.946527777778</v>
      </c>
      <c r="D31" s="27">
        <f>Datos!D30</f>
        <v>696</v>
      </c>
      <c r="E31" s="96">
        <f>Datos!F30+'ASTM 4430-00'!$E$5</f>
        <v>296.04999999999995</v>
      </c>
      <c r="F31" s="97">
        <f>Datos!G30+'ASTM 4430-00'!$E$5</f>
        <v>296.14999999999998</v>
      </c>
      <c r="G31" s="125">
        <f t="shared" si="0"/>
        <v>-0.10000000000002274</v>
      </c>
      <c r="H31" s="98">
        <f t="shared" si="1"/>
        <v>-9.6317771595222029E-9</v>
      </c>
      <c r="I31" s="98">
        <f t="shared" si="2"/>
        <v>2.049314289282636E-11</v>
      </c>
      <c r="J31" s="98"/>
      <c r="Q31" s="41"/>
      <c r="R31" s="41"/>
      <c r="S31" s="41"/>
      <c r="T31" s="41"/>
      <c r="U31" s="41"/>
      <c r="V31" s="41"/>
      <c r="W31" s="4"/>
      <c r="X31" s="38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"/>
      <c r="AJ31" s="4"/>
      <c r="AK31" s="4"/>
      <c r="AL31" s="4"/>
    </row>
    <row r="32" spans="2:38" x14ac:dyDescent="0.3">
      <c r="B32" s="25">
        <f>Datos!B31</f>
        <v>43060.947222222225</v>
      </c>
      <c r="C32" s="26">
        <f>Datos!C31</f>
        <v>43060.947222222225</v>
      </c>
      <c r="D32" s="27">
        <f>Datos!D31</f>
        <v>697</v>
      </c>
      <c r="E32" s="96">
        <f>Datos!F31+'ASTM 4430-00'!$E$5</f>
        <v>295.95</v>
      </c>
      <c r="F32" s="97">
        <f>Datos!G31+'ASTM 4430-00'!$E$5</f>
        <v>296.14999999999998</v>
      </c>
      <c r="G32" s="125">
        <f t="shared" si="0"/>
        <v>-0.19999999999998863</v>
      </c>
      <c r="H32" s="98">
        <f t="shared" si="1"/>
        <v>-1.0651974995903163E-3</v>
      </c>
      <c r="I32" s="98">
        <f t="shared" si="2"/>
        <v>1.0878612761772308E-4</v>
      </c>
      <c r="J32" s="98"/>
      <c r="Q32" s="41"/>
      <c r="R32" s="41"/>
      <c r="S32" s="41"/>
      <c r="T32" s="41"/>
      <c r="U32" s="41"/>
      <c r="V32" s="41"/>
      <c r="W32" s="4"/>
      <c r="X32" s="38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"/>
      <c r="AJ32" s="4"/>
      <c r="AK32" s="4"/>
      <c r="AL32" s="4"/>
    </row>
    <row r="33" spans="2:38" x14ac:dyDescent="0.3">
      <c r="B33" s="25">
        <f>Datos!B32</f>
        <v>43060.947916666664</v>
      </c>
      <c r="C33" s="26">
        <f>Datos!C32</f>
        <v>43060.947916666664</v>
      </c>
      <c r="D33" s="27">
        <f>Datos!D32</f>
        <v>698</v>
      </c>
      <c r="E33" s="96">
        <f>Datos!F32+'ASTM 4430-00'!$E$5</f>
        <v>295.95</v>
      </c>
      <c r="F33" s="97">
        <f>Datos!G32+'ASTM 4430-00'!$E$5</f>
        <v>296.14999999999998</v>
      </c>
      <c r="G33" s="125">
        <f t="shared" si="0"/>
        <v>-0.19999999999998863</v>
      </c>
      <c r="H33" s="98">
        <f t="shared" si="1"/>
        <v>-1.0651974995903163E-3</v>
      </c>
      <c r="I33" s="98">
        <f t="shared" si="2"/>
        <v>1.0878612761772308E-4</v>
      </c>
      <c r="J33" s="98"/>
      <c r="Q33" s="41"/>
      <c r="R33" s="41"/>
      <c r="S33" s="41"/>
      <c r="T33" s="41"/>
      <c r="U33" s="41"/>
      <c r="V33" s="41"/>
      <c r="W33" s="4"/>
      <c r="X33" s="38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"/>
      <c r="AJ33" s="4"/>
      <c r="AK33" s="4"/>
      <c r="AL33" s="4"/>
    </row>
    <row r="34" spans="2:38" x14ac:dyDescent="0.3">
      <c r="B34" s="25">
        <f>Datos!B33</f>
        <v>43060.948611111111</v>
      </c>
      <c r="C34" s="26">
        <f>Datos!C33</f>
        <v>43060.948611111111</v>
      </c>
      <c r="D34" s="27">
        <f>Datos!D33</f>
        <v>699</v>
      </c>
      <c r="E34" s="96">
        <f>Datos!F33+'ASTM 4430-00'!$E$5</f>
        <v>296.04999999999995</v>
      </c>
      <c r="F34" s="97">
        <f>Datos!G33+'ASTM 4430-00'!$E$5</f>
        <v>296.14999999999998</v>
      </c>
      <c r="G34" s="125">
        <f t="shared" si="0"/>
        <v>-0.10000000000002274</v>
      </c>
      <c r="H34" s="98">
        <f t="shared" si="1"/>
        <v>-9.6317771595222029E-9</v>
      </c>
      <c r="I34" s="98">
        <f t="shared" si="2"/>
        <v>2.049314289282636E-11</v>
      </c>
      <c r="J34" s="98"/>
      <c r="Q34" s="41"/>
      <c r="R34" s="41"/>
      <c r="S34" s="41"/>
      <c r="T34" s="41"/>
      <c r="U34" s="41"/>
      <c r="V34" s="41"/>
      <c r="W34" s="4"/>
      <c r="X34" s="38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"/>
      <c r="AJ34" s="4"/>
      <c r="AK34" s="4"/>
      <c r="AL34" s="4"/>
    </row>
    <row r="35" spans="2:38" x14ac:dyDescent="0.3">
      <c r="B35" s="25">
        <f>Datos!B34</f>
        <v>43060.949305555558</v>
      </c>
      <c r="C35" s="26">
        <f>Datos!C34</f>
        <v>43060.949305555558</v>
      </c>
      <c r="D35" s="27">
        <f>Datos!D34</f>
        <v>700</v>
      </c>
      <c r="E35" s="96">
        <f>Datos!F34+'ASTM 4430-00'!$E$5</f>
        <v>296.04999999999995</v>
      </c>
      <c r="F35" s="97">
        <f>Datos!G34+'ASTM 4430-00'!$E$5</f>
        <v>296.14999999999998</v>
      </c>
      <c r="G35" s="125">
        <f t="shared" si="0"/>
        <v>-0.10000000000002274</v>
      </c>
      <c r="H35" s="98">
        <f t="shared" si="1"/>
        <v>-9.6317771595222029E-9</v>
      </c>
      <c r="I35" s="98">
        <f t="shared" si="2"/>
        <v>2.049314289282636E-11</v>
      </c>
      <c r="J35" s="98"/>
      <c r="Q35" s="41"/>
      <c r="R35" s="41"/>
      <c r="S35" s="41"/>
      <c r="T35" s="41"/>
      <c r="U35" s="41"/>
      <c r="V35" s="41"/>
      <c r="W35" s="4"/>
      <c r="X35" s="38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"/>
      <c r="AJ35" s="4"/>
      <c r="AK35" s="4"/>
      <c r="AL35" s="4"/>
    </row>
    <row r="36" spans="2:38" ht="15" thickBot="1" x14ac:dyDescent="0.35">
      <c r="B36" s="29">
        <f>Datos!B35</f>
        <v>43060.95</v>
      </c>
      <c r="C36" s="30">
        <f>Datos!C35</f>
        <v>43060.95</v>
      </c>
      <c r="D36" s="119">
        <f>Datos!D35</f>
        <v>701</v>
      </c>
      <c r="E36" s="84">
        <f>Datos!F35+'ASTM 4430-00'!$E$5</f>
        <v>296.04999999999995</v>
      </c>
      <c r="F36" s="85">
        <f>Datos!G35+'ASTM 4430-00'!$E$5</f>
        <v>296.14999999999998</v>
      </c>
      <c r="G36" s="126">
        <f t="shared" si="0"/>
        <v>-0.10000000000002274</v>
      </c>
      <c r="H36" s="99">
        <f t="shared" si="1"/>
        <v>-9.6317771595222029E-9</v>
      </c>
      <c r="I36" s="99">
        <f t="shared" si="2"/>
        <v>2.049314289282636E-11</v>
      </c>
      <c r="J36" s="98"/>
      <c r="L36" s="38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"/>
      <c r="X36" s="38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"/>
      <c r="AJ36" s="4"/>
      <c r="AK36" s="4"/>
      <c r="AL36" s="4"/>
    </row>
    <row r="37" spans="2:38" ht="15" thickTop="1" x14ac:dyDescent="0.3">
      <c r="B37" s="16">
        <f>Datos!B36</f>
        <v>43065.078472222223</v>
      </c>
      <c r="C37" s="17">
        <f>Datos!C36</f>
        <v>43065.078472222223</v>
      </c>
      <c r="D37" s="5">
        <f>Datos!D36</f>
        <v>6621</v>
      </c>
      <c r="E37" s="96">
        <f>Datos!F36+'ASTM 4430-00'!$E$5</f>
        <v>295.84999999999997</v>
      </c>
      <c r="F37" s="97">
        <f>Datos!G36+'ASTM 4430-00'!$E$5</f>
        <v>295.84999999999997</v>
      </c>
      <c r="G37" s="125">
        <f t="shared" si="0"/>
        <v>0</v>
      </c>
      <c r="H37" s="98">
        <f t="shared" si="1"/>
        <v>9.3751866156822526E-4</v>
      </c>
      <c r="I37" s="98">
        <f t="shared" si="2"/>
        <v>9.1757145600293713E-5</v>
      </c>
      <c r="J37" s="92"/>
      <c r="L37" s="38"/>
      <c r="M37" s="41"/>
      <c r="N37" s="41"/>
      <c r="O37" s="41"/>
      <c r="P37" s="41"/>
    </row>
    <row r="38" spans="2:38" x14ac:dyDescent="0.3">
      <c r="B38" s="16">
        <f>Datos!B37</f>
        <v>43065.07916666667</v>
      </c>
      <c r="C38" s="17">
        <f>Datos!C37</f>
        <v>43065.07916666667</v>
      </c>
      <c r="D38" s="5">
        <f>Datos!D37</f>
        <v>6622</v>
      </c>
      <c r="E38" s="96">
        <f>Datos!F37+'ASTM 4430-00'!$E$5</f>
        <v>295.84999999999997</v>
      </c>
      <c r="F38" s="97">
        <f>Datos!G37+'ASTM 4430-00'!$E$5</f>
        <v>295.95</v>
      </c>
      <c r="G38" s="125">
        <f t="shared" si="0"/>
        <v>-0.10000000000002274</v>
      </c>
      <c r="H38" s="98">
        <f t="shared" si="1"/>
        <v>-9.6317771595222029E-9</v>
      </c>
      <c r="I38" s="98">
        <f t="shared" si="2"/>
        <v>2.049314289282636E-11</v>
      </c>
      <c r="J38" s="92"/>
    </row>
    <row r="39" spans="2:38" x14ac:dyDescent="0.3">
      <c r="B39" s="16">
        <f>Datos!B38</f>
        <v>43065.079861111109</v>
      </c>
      <c r="C39" s="17">
        <f>Datos!C38</f>
        <v>43065.079861111109</v>
      </c>
      <c r="D39" s="5">
        <f>Datos!D38</f>
        <v>6623</v>
      </c>
      <c r="E39" s="96">
        <f>Datos!F38+'ASTM 4430-00'!$E$5</f>
        <v>295.95</v>
      </c>
      <c r="F39" s="97">
        <f>Datos!G38+'ASTM 4430-00'!$E$5</f>
        <v>295.95</v>
      </c>
      <c r="G39" s="125">
        <f t="shared" si="0"/>
        <v>0</v>
      </c>
      <c r="H39" s="98">
        <f t="shared" si="1"/>
        <v>9.3751866156822526E-4</v>
      </c>
      <c r="I39" s="98">
        <f t="shared" si="2"/>
        <v>9.1757145600293713E-5</v>
      </c>
      <c r="J39" s="92"/>
    </row>
    <row r="40" spans="2:38" x14ac:dyDescent="0.3">
      <c r="B40" s="16">
        <f>Datos!B39</f>
        <v>43065.080555555556</v>
      </c>
      <c r="C40" s="17">
        <f>Datos!C39</f>
        <v>43065.080555555556</v>
      </c>
      <c r="D40" s="5">
        <f>Datos!D39</f>
        <v>6624</v>
      </c>
      <c r="E40" s="96">
        <f>Datos!F39+'ASTM 4430-00'!$E$5</f>
        <v>295.95</v>
      </c>
      <c r="F40" s="97">
        <f>Datos!G39+'ASTM 4430-00'!$E$5</f>
        <v>296.04999999999995</v>
      </c>
      <c r="G40" s="125">
        <f t="shared" si="0"/>
        <v>-9.9999999999965894E-2</v>
      </c>
      <c r="H40" s="98">
        <f t="shared" si="1"/>
        <v>-9.6317771587502233E-9</v>
      </c>
      <c r="I40" s="98">
        <f t="shared" si="2"/>
        <v>2.0493142890636348E-11</v>
      </c>
      <c r="J40" s="92"/>
    </row>
    <row r="41" spans="2:38" x14ac:dyDescent="0.3">
      <c r="B41" s="16">
        <f>Datos!B40</f>
        <v>43065.081250000003</v>
      </c>
      <c r="C41" s="17">
        <f>Datos!C40</f>
        <v>43065.081250000003</v>
      </c>
      <c r="D41" s="5">
        <f>Datos!D40</f>
        <v>6625</v>
      </c>
      <c r="E41" s="96">
        <f>Datos!F40+'ASTM 4430-00'!$E$5</f>
        <v>295.95</v>
      </c>
      <c r="F41" s="97">
        <f>Datos!G40+'ASTM 4430-00'!$E$5</f>
        <v>296.04999999999995</v>
      </c>
      <c r="G41" s="125">
        <f t="shared" si="0"/>
        <v>-9.9999999999965894E-2</v>
      </c>
      <c r="H41" s="98">
        <f t="shared" si="1"/>
        <v>-9.6317771587502233E-9</v>
      </c>
      <c r="I41" s="98">
        <f t="shared" si="2"/>
        <v>2.0493142890636348E-11</v>
      </c>
      <c r="J41" s="92"/>
    </row>
    <row r="42" spans="2:38" x14ac:dyDescent="0.3">
      <c r="B42" s="16">
        <f>Datos!B41</f>
        <v>43065.081944444442</v>
      </c>
      <c r="C42" s="17">
        <f>Datos!C41</f>
        <v>43065.081944444442</v>
      </c>
      <c r="D42" s="5">
        <f>Datos!D41</f>
        <v>6626</v>
      </c>
      <c r="E42" s="96">
        <f>Datos!F41+'ASTM 4430-00'!$E$5</f>
        <v>295.95</v>
      </c>
      <c r="F42" s="97">
        <f>Datos!G41+'ASTM 4430-00'!$E$5</f>
        <v>296.04999999999995</v>
      </c>
      <c r="G42" s="125">
        <f t="shared" si="0"/>
        <v>-9.9999999999965894E-2</v>
      </c>
      <c r="H42" s="98">
        <f t="shared" si="1"/>
        <v>-9.6317771587502233E-9</v>
      </c>
      <c r="I42" s="98">
        <f t="shared" si="2"/>
        <v>2.0493142890636348E-11</v>
      </c>
      <c r="J42" s="92"/>
    </row>
    <row r="43" spans="2:38" x14ac:dyDescent="0.3">
      <c r="B43" s="16">
        <f>Datos!B42</f>
        <v>43065.082638888889</v>
      </c>
      <c r="C43" s="17">
        <f>Datos!C42</f>
        <v>43065.082638888889</v>
      </c>
      <c r="D43" s="5">
        <f>Datos!D42</f>
        <v>6627</v>
      </c>
      <c r="E43" s="96">
        <f>Datos!F42+'ASTM 4430-00'!$E$5</f>
        <v>295.95</v>
      </c>
      <c r="F43" s="97">
        <f>Datos!G42+'ASTM 4430-00'!$E$5</f>
        <v>296.04999999999995</v>
      </c>
      <c r="G43" s="125">
        <f t="shared" si="0"/>
        <v>-9.9999999999965894E-2</v>
      </c>
      <c r="H43" s="98">
        <f t="shared" si="1"/>
        <v>-9.6317771587502233E-9</v>
      </c>
      <c r="I43" s="98">
        <f t="shared" si="2"/>
        <v>2.0493142890636348E-11</v>
      </c>
      <c r="J43" s="92"/>
    </row>
    <row r="44" spans="2:38" x14ac:dyDescent="0.3">
      <c r="B44" s="16">
        <f>Datos!B43</f>
        <v>43065.083333333336</v>
      </c>
      <c r="C44" s="17">
        <f>Datos!C43</f>
        <v>43065.083333333336</v>
      </c>
      <c r="D44" s="5">
        <f>Datos!D43</f>
        <v>6628</v>
      </c>
      <c r="E44" s="96">
        <f>Datos!F43+'ASTM 4430-00'!$E$5</f>
        <v>295.95</v>
      </c>
      <c r="F44" s="97">
        <f>Datos!G43+'ASTM 4430-00'!$E$5</f>
        <v>296.04999999999995</v>
      </c>
      <c r="G44" s="125">
        <f t="shared" si="0"/>
        <v>-9.9999999999965894E-2</v>
      </c>
      <c r="H44" s="98">
        <f t="shared" si="1"/>
        <v>-9.6317771587502233E-9</v>
      </c>
      <c r="I44" s="98">
        <f t="shared" si="2"/>
        <v>2.0493142890636348E-11</v>
      </c>
      <c r="J44" s="92"/>
    </row>
    <row r="45" spans="2:38" x14ac:dyDescent="0.3">
      <c r="B45" s="16">
        <f>Datos!B44</f>
        <v>43065.084027777775</v>
      </c>
      <c r="C45" s="17">
        <f>Datos!C44</f>
        <v>43065.084027777775</v>
      </c>
      <c r="D45" s="5">
        <f>Datos!D44</f>
        <v>6629</v>
      </c>
      <c r="E45" s="96">
        <f>Datos!F44+'ASTM 4430-00'!$E$5</f>
        <v>295.95</v>
      </c>
      <c r="F45" s="97">
        <f>Datos!G44+'ASTM 4430-00'!$E$5</f>
        <v>296.04999999999995</v>
      </c>
      <c r="G45" s="125">
        <f t="shared" si="0"/>
        <v>-9.9999999999965894E-2</v>
      </c>
      <c r="H45" s="98">
        <f t="shared" si="1"/>
        <v>-9.6317771587502233E-9</v>
      </c>
      <c r="I45" s="98">
        <f t="shared" si="2"/>
        <v>2.0493142890636348E-11</v>
      </c>
      <c r="J45" s="92"/>
    </row>
    <row r="46" spans="2:38" x14ac:dyDescent="0.3">
      <c r="B46" s="16">
        <f>Datos!B45</f>
        <v>43065.084722222222</v>
      </c>
      <c r="C46" s="17">
        <f>Datos!C45</f>
        <v>43065.084722222222</v>
      </c>
      <c r="D46" s="5">
        <f>Datos!D45</f>
        <v>6630</v>
      </c>
      <c r="E46" s="96">
        <f>Datos!F45+'ASTM 4430-00'!$E$5</f>
        <v>295.95</v>
      </c>
      <c r="F46" s="97">
        <f>Datos!G45+'ASTM 4430-00'!$E$5</f>
        <v>296.04999999999995</v>
      </c>
      <c r="G46" s="125">
        <f t="shared" si="0"/>
        <v>-9.9999999999965894E-2</v>
      </c>
      <c r="H46" s="98">
        <f t="shared" si="1"/>
        <v>-9.6317771587502233E-9</v>
      </c>
      <c r="I46" s="98">
        <f t="shared" si="2"/>
        <v>2.0493142890636348E-11</v>
      </c>
      <c r="J46" s="92"/>
    </row>
    <row r="47" spans="2:38" x14ac:dyDescent="0.3">
      <c r="B47" s="16">
        <f>Datos!B46</f>
        <v>43065.085416666669</v>
      </c>
      <c r="C47" s="17">
        <f>Datos!C46</f>
        <v>43065.085416666669</v>
      </c>
      <c r="D47" s="5">
        <f>Datos!D46</f>
        <v>6631</v>
      </c>
      <c r="E47" s="96">
        <f>Datos!F46+'ASTM 4430-00'!$E$5</f>
        <v>295.95</v>
      </c>
      <c r="F47" s="97">
        <f>Datos!G46+'ASTM 4430-00'!$E$5</f>
        <v>296.04999999999995</v>
      </c>
      <c r="G47" s="125">
        <f t="shared" si="0"/>
        <v>-9.9999999999965894E-2</v>
      </c>
      <c r="H47" s="98">
        <f t="shared" si="1"/>
        <v>-9.6317771587502233E-9</v>
      </c>
      <c r="I47" s="98">
        <f t="shared" si="2"/>
        <v>2.0493142890636348E-11</v>
      </c>
      <c r="J47" s="92"/>
    </row>
    <row r="48" spans="2:38" x14ac:dyDescent="0.3">
      <c r="B48" s="16">
        <f>Datos!B47</f>
        <v>43065.086111111108</v>
      </c>
      <c r="C48" s="17">
        <f>Datos!C47</f>
        <v>43065.086111111108</v>
      </c>
      <c r="D48" s="5">
        <f>Datos!D47</f>
        <v>6632</v>
      </c>
      <c r="E48" s="96">
        <f>Datos!F47+'ASTM 4430-00'!$E$5</f>
        <v>295.84999999999997</v>
      </c>
      <c r="F48" s="97">
        <f>Datos!G47+'ASTM 4430-00'!$E$5</f>
        <v>296.04999999999995</v>
      </c>
      <c r="G48" s="125">
        <f t="shared" si="0"/>
        <v>-0.19999999999998863</v>
      </c>
      <c r="H48" s="98">
        <f t="shared" si="1"/>
        <v>-1.0651974995903163E-3</v>
      </c>
      <c r="I48" s="98">
        <f t="shared" si="2"/>
        <v>1.0878612761772308E-4</v>
      </c>
      <c r="J48" s="92"/>
    </row>
    <row r="49" spans="2:10" x14ac:dyDescent="0.3">
      <c r="B49" s="16">
        <f>Datos!B48</f>
        <v>43065.086805555555</v>
      </c>
      <c r="C49" s="17">
        <f>Datos!C48</f>
        <v>43065.086805555555</v>
      </c>
      <c r="D49" s="5">
        <f>Datos!D48</f>
        <v>6633</v>
      </c>
      <c r="E49" s="96">
        <f>Datos!F48+'ASTM 4430-00'!$E$5</f>
        <v>295.95</v>
      </c>
      <c r="F49" s="97">
        <f>Datos!G48+'ASTM 4430-00'!$E$5</f>
        <v>296.04999999999995</v>
      </c>
      <c r="G49" s="125">
        <f t="shared" si="0"/>
        <v>-9.9999999999965894E-2</v>
      </c>
      <c r="H49" s="98">
        <f t="shared" si="1"/>
        <v>-9.6317771587502233E-9</v>
      </c>
      <c r="I49" s="98">
        <f t="shared" si="2"/>
        <v>2.0493142890636348E-11</v>
      </c>
      <c r="J49" s="92"/>
    </row>
    <row r="50" spans="2:10" x14ac:dyDescent="0.3">
      <c r="B50" s="16">
        <f>Datos!B49</f>
        <v>43065.087500000001</v>
      </c>
      <c r="C50" s="17">
        <f>Datos!C49</f>
        <v>43065.087500000001</v>
      </c>
      <c r="D50" s="5">
        <f>Datos!D49</f>
        <v>6634</v>
      </c>
      <c r="E50" s="96">
        <f>Datos!F49+'ASTM 4430-00'!$E$5</f>
        <v>295.84999999999997</v>
      </c>
      <c r="F50" s="97">
        <f>Datos!G49+'ASTM 4430-00'!$E$5</f>
        <v>296.04999999999995</v>
      </c>
      <c r="G50" s="125">
        <f t="shared" si="0"/>
        <v>-0.19999999999998863</v>
      </c>
      <c r="H50" s="98">
        <f t="shared" si="1"/>
        <v>-1.0651974995903163E-3</v>
      </c>
      <c r="I50" s="98">
        <f t="shared" si="2"/>
        <v>1.0878612761772308E-4</v>
      </c>
      <c r="J50" s="92"/>
    </row>
    <row r="51" spans="2:10" x14ac:dyDescent="0.3">
      <c r="B51" s="16">
        <f>Datos!B50</f>
        <v>43065.088194444441</v>
      </c>
      <c r="C51" s="17">
        <f>Datos!C50</f>
        <v>43065.088194444441</v>
      </c>
      <c r="D51" s="5">
        <f>Datos!D50</f>
        <v>6635</v>
      </c>
      <c r="E51" s="96">
        <f>Datos!F50+'ASTM 4430-00'!$E$5</f>
        <v>295.95</v>
      </c>
      <c r="F51" s="97">
        <f>Datos!G50+'ASTM 4430-00'!$E$5</f>
        <v>296.04999999999995</v>
      </c>
      <c r="G51" s="125">
        <f t="shared" si="0"/>
        <v>-9.9999999999965894E-2</v>
      </c>
      <c r="H51" s="98">
        <f t="shared" si="1"/>
        <v>-9.6317771587502233E-9</v>
      </c>
      <c r="I51" s="98">
        <f t="shared" si="2"/>
        <v>2.0493142890636348E-11</v>
      </c>
      <c r="J51" s="92"/>
    </row>
    <row r="52" spans="2:10" x14ac:dyDescent="0.3">
      <c r="B52" s="16">
        <f>Datos!B51</f>
        <v>43065.088888888888</v>
      </c>
      <c r="C52" s="17">
        <f>Datos!C51</f>
        <v>43065.088888888888</v>
      </c>
      <c r="D52" s="5">
        <f>Datos!D51</f>
        <v>6636</v>
      </c>
      <c r="E52" s="96">
        <f>Datos!F51+'ASTM 4430-00'!$E$5</f>
        <v>295.95</v>
      </c>
      <c r="F52" s="97">
        <f>Datos!G51+'ASTM 4430-00'!$E$5</f>
        <v>296.04999999999995</v>
      </c>
      <c r="G52" s="125">
        <f t="shared" si="0"/>
        <v>-9.9999999999965894E-2</v>
      </c>
      <c r="H52" s="98">
        <f t="shared" si="1"/>
        <v>-9.6317771587502233E-9</v>
      </c>
      <c r="I52" s="98">
        <f t="shared" si="2"/>
        <v>2.0493142890636348E-11</v>
      </c>
      <c r="J52" s="92"/>
    </row>
    <row r="53" spans="2:10" x14ac:dyDescent="0.3">
      <c r="B53" s="16">
        <f>Datos!B52</f>
        <v>43065.089583333334</v>
      </c>
      <c r="C53" s="17">
        <f>Datos!C52</f>
        <v>43065.089583333334</v>
      </c>
      <c r="D53" s="5">
        <f>Datos!D52</f>
        <v>6637</v>
      </c>
      <c r="E53" s="96">
        <f>Datos!F52+'ASTM 4430-00'!$E$5</f>
        <v>295.95</v>
      </c>
      <c r="F53" s="97">
        <f>Datos!G52+'ASTM 4430-00'!$E$5</f>
        <v>296.04999999999995</v>
      </c>
      <c r="G53" s="125">
        <f t="shared" si="0"/>
        <v>-9.9999999999965894E-2</v>
      </c>
      <c r="H53" s="98">
        <f t="shared" si="1"/>
        <v>-9.6317771587502233E-9</v>
      </c>
      <c r="I53" s="98">
        <f t="shared" si="2"/>
        <v>2.0493142890636348E-11</v>
      </c>
      <c r="J53" s="92"/>
    </row>
    <row r="54" spans="2:10" ht="15" thickBot="1" x14ac:dyDescent="0.35">
      <c r="B54" s="14">
        <f>Datos!B53</f>
        <v>43065.090277777781</v>
      </c>
      <c r="C54" s="15">
        <f>Datos!C53</f>
        <v>43065.090277777781</v>
      </c>
      <c r="D54" s="24">
        <f>Datos!D53</f>
        <v>6638</v>
      </c>
      <c r="E54" s="84">
        <f>Datos!F53+'ASTM 4430-00'!$E$5</f>
        <v>295.95</v>
      </c>
      <c r="F54" s="85">
        <f>Datos!G53+'ASTM 4430-00'!$E$5</f>
        <v>296.04999999999995</v>
      </c>
      <c r="G54" s="126">
        <f t="shared" si="0"/>
        <v>-9.9999999999965894E-2</v>
      </c>
      <c r="H54" s="99">
        <f t="shared" si="1"/>
        <v>-9.6317771587502233E-9</v>
      </c>
      <c r="I54" s="99">
        <f t="shared" si="2"/>
        <v>2.0493142890636348E-11</v>
      </c>
      <c r="J54" s="92"/>
    </row>
    <row r="55" spans="2:10" ht="15" thickTop="1" x14ac:dyDescent="0.3">
      <c r="B55" s="16"/>
      <c r="C55" s="17"/>
      <c r="E55" s="22"/>
      <c r="F55" s="23"/>
      <c r="G55" s="92"/>
      <c r="H55" s="92"/>
      <c r="I55" s="92"/>
      <c r="J55" s="92"/>
    </row>
    <row r="56" spans="2:10" x14ac:dyDescent="0.3">
      <c r="B56" s="16"/>
      <c r="C56" s="17"/>
      <c r="E56" s="22"/>
      <c r="F56" s="23"/>
      <c r="G56" s="92"/>
      <c r="H56" s="92"/>
      <c r="I56" s="92"/>
      <c r="J56" s="92"/>
    </row>
    <row r="57" spans="2:10" x14ac:dyDescent="0.3">
      <c r="B57" s="16"/>
      <c r="C57" s="17"/>
      <c r="E57" s="22"/>
      <c r="F57" s="23"/>
      <c r="G57" s="92"/>
      <c r="H57" s="92"/>
      <c r="I57" s="92"/>
      <c r="J57" s="92"/>
    </row>
    <row r="58" spans="2:10" x14ac:dyDescent="0.3">
      <c r="B58" s="16"/>
      <c r="C58" s="17"/>
      <c r="E58" s="22"/>
      <c r="F58" s="23"/>
      <c r="G58" s="92"/>
      <c r="H58" s="92"/>
      <c r="I58" s="92"/>
      <c r="J58" s="92"/>
    </row>
    <row r="59" spans="2:10" x14ac:dyDescent="0.3">
      <c r="B59" s="16"/>
      <c r="C59" s="17"/>
      <c r="E59" s="22"/>
      <c r="F59" s="23"/>
      <c r="G59" s="92"/>
      <c r="H59" s="92"/>
      <c r="I59" s="92"/>
      <c r="J59" s="92"/>
    </row>
    <row r="60" spans="2:10" x14ac:dyDescent="0.3">
      <c r="B60" s="16"/>
      <c r="C60" s="17"/>
      <c r="E60" s="22"/>
      <c r="F60" s="23"/>
      <c r="G60" s="92"/>
      <c r="H60" s="92"/>
      <c r="I60" s="92"/>
      <c r="J60" s="92"/>
    </row>
    <row r="61" spans="2:10" x14ac:dyDescent="0.3">
      <c r="B61" s="16"/>
      <c r="C61" s="17"/>
      <c r="E61" s="22"/>
      <c r="F61" s="23"/>
      <c r="G61" s="92"/>
      <c r="H61" s="92"/>
      <c r="I61" s="92"/>
      <c r="J61" s="92"/>
    </row>
    <row r="62" spans="2:10" x14ac:dyDescent="0.3">
      <c r="B62" s="16"/>
      <c r="C62" s="17"/>
      <c r="E62" s="22"/>
      <c r="F62" s="23"/>
      <c r="G62" s="92"/>
      <c r="H62" s="92"/>
      <c r="I62" s="92"/>
      <c r="J62" s="92"/>
    </row>
    <row r="63" spans="2:10" x14ac:dyDescent="0.3">
      <c r="B63" s="16"/>
      <c r="C63" s="17"/>
      <c r="E63" s="22"/>
      <c r="F63" s="23"/>
      <c r="G63" s="92"/>
      <c r="H63" s="92"/>
      <c r="I63" s="92"/>
      <c r="J63" s="92"/>
    </row>
    <row r="64" spans="2:10" x14ac:dyDescent="0.3">
      <c r="B64" s="16"/>
      <c r="C64" s="17"/>
      <c r="E64" s="22"/>
      <c r="F64" s="23"/>
      <c r="G64" s="92"/>
      <c r="H64" s="92"/>
      <c r="I64" s="92"/>
      <c r="J64" s="92"/>
    </row>
    <row r="65" spans="2:10" x14ac:dyDescent="0.3">
      <c r="B65" s="16"/>
      <c r="C65" s="17"/>
      <c r="E65" s="22"/>
      <c r="F65" s="23"/>
      <c r="G65" s="92"/>
      <c r="H65" s="92"/>
      <c r="I65" s="92"/>
      <c r="J65" s="92"/>
    </row>
    <row r="66" spans="2:10" x14ac:dyDescent="0.3">
      <c r="B66" s="16"/>
      <c r="C66" s="17"/>
      <c r="E66" s="22"/>
      <c r="F66" s="23"/>
      <c r="G66" s="92"/>
      <c r="H66" s="92"/>
      <c r="I66" s="92"/>
      <c r="J66" s="92"/>
    </row>
    <row r="67" spans="2:10" x14ac:dyDescent="0.3">
      <c r="B67" s="16"/>
      <c r="C67" s="17"/>
      <c r="E67" s="22"/>
      <c r="F67" s="23"/>
      <c r="G67" s="92"/>
      <c r="H67" s="92"/>
      <c r="I67" s="92"/>
      <c r="J67" s="92"/>
    </row>
    <row r="68" spans="2:10" x14ac:dyDescent="0.3">
      <c r="B68" s="16"/>
      <c r="C68" s="17"/>
      <c r="E68" s="22"/>
      <c r="F68" s="23"/>
      <c r="G68" s="92"/>
      <c r="H68" s="92"/>
      <c r="I68" s="92"/>
      <c r="J68" s="92"/>
    </row>
    <row r="69" spans="2:10" x14ac:dyDescent="0.3">
      <c r="B69" s="16"/>
      <c r="C69" s="17"/>
      <c r="E69" s="22"/>
      <c r="F69" s="23"/>
      <c r="G69" s="92"/>
      <c r="H69" s="92"/>
      <c r="I69" s="92"/>
      <c r="J69" s="92"/>
    </row>
    <row r="70" spans="2:10" x14ac:dyDescent="0.3">
      <c r="B70" s="16"/>
      <c r="C70" s="17"/>
      <c r="E70" s="22"/>
      <c r="F70" s="23"/>
      <c r="G70" s="92"/>
      <c r="H70" s="92"/>
      <c r="I70" s="92"/>
      <c r="J70" s="92"/>
    </row>
    <row r="71" spans="2:10" x14ac:dyDescent="0.3">
      <c r="B71" s="16"/>
      <c r="C71" s="17"/>
      <c r="E71" s="22"/>
      <c r="F71" s="23"/>
      <c r="G71" s="92"/>
      <c r="H71" s="92"/>
      <c r="I71" s="92"/>
      <c r="J71" s="92"/>
    </row>
    <row r="72" spans="2:10" x14ac:dyDescent="0.3">
      <c r="B72" s="16"/>
      <c r="C72" s="17"/>
      <c r="E72" s="22"/>
      <c r="F72" s="23"/>
      <c r="G72" s="92"/>
      <c r="H72" s="92"/>
      <c r="I72" s="92"/>
      <c r="J72" s="92"/>
    </row>
    <row r="73" spans="2:10" x14ac:dyDescent="0.3">
      <c r="B73" s="16"/>
      <c r="C73" s="17"/>
      <c r="E73" s="22"/>
      <c r="F73" s="23"/>
      <c r="G73" s="92"/>
      <c r="H73" s="92"/>
      <c r="I73" s="92"/>
      <c r="J73" s="92"/>
    </row>
    <row r="74" spans="2:10" x14ac:dyDescent="0.3">
      <c r="B74" s="16"/>
      <c r="C74" s="17"/>
      <c r="E74" s="22"/>
      <c r="F74" s="23"/>
      <c r="G74" s="92"/>
      <c r="H74" s="92"/>
      <c r="I74" s="92"/>
      <c r="J74" s="92"/>
    </row>
    <row r="75" spans="2:10" x14ac:dyDescent="0.3">
      <c r="B75" s="16"/>
      <c r="C75" s="17"/>
      <c r="E75" s="22"/>
      <c r="F75" s="23"/>
      <c r="G75" s="92"/>
      <c r="H75" s="92"/>
      <c r="I75" s="92"/>
      <c r="J75" s="92"/>
    </row>
    <row r="76" spans="2:10" x14ac:dyDescent="0.3">
      <c r="B76" s="16"/>
      <c r="C76" s="17"/>
      <c r="E76" s="22"/>
      <c r="F76" s="23"/>
      <c r="G76" s="92"/>
      <c r="H76" s="92"/>
      <c r="I76" s="92"/>
      <c r="J76" s="92"/>
    </row>
    <row r="77" spans="2:10" x14ac:dyDescent="0.3">
      <c r="B77" s="16"/>
      <c r="C77" s="17"/>
      <c r="E77" s="22"/>
      <c r="F77" s="23"/>
      <c r="G77" s="92"/>
      <c r="H77" s="92"/>
      <c r="I77" s="92"/>
      <c r="J77" s="92"/>
    </row>
    <row r="78" spans="2:10" x14ac:dyDescent="0.3">
      <c r="B78" s="16"/>
      <c r="C78" s="17"/>
      <c r="E78" s="22"/>
      <c r="F78" s="23"/>
      <c r="G78" s="92"/>
      <c r="H78" s="92"/>
      <c r="I78" s="92"/>
      <c r="J78" s="92"/>
    </row>
    <row r="79" spans="2:10" x14ac:dyDescent="0.3">
      <c r="B79" s="16"/>
      <c r="C79" s="17"/>
      <c r="E79" s="22"/>
      <c r="F79" s="23"/>
      <c r="G79" s="92"/>
      <c r="H79" s="92"/>
      <c r="I79" s="92"/>
      <c r="J79" s="92"/>
    </row>
    <row r="80" spans="2:10" x14ac:dyDescent="0.3">
      <c r="B80" s="16"/>
      <c r="C80" s="17"/>
      <c r="E80" s="22"/>
      <c r="F80" s="23"/>
      <c r="G80" s="92"/>
      <c r="H80" s="92"/>
      <c r="I80" s="92"/>
      <c r="J80" s="92"/>
    </row>
    <row r="81" spans="2:10" x14ac:dyDescent="0.3">
      <c r="B81" s="16"/>
      <c r="C81" s="17"/>
      <c r="E81" s="22"/>
      <c r="F81" s="23"/>
      <c r="G81" s="92"/>
      <c r="H81" s="92"/>
      <c r="I81" s="92"/>
      <c r="J81" s="92"/>
    </row>
    <row r="82" spans="2:10" x14ac:dyDescent="0.3">
      <c r="B82" s="16"/>
      <c r="C82" s="17"/>
      <c r="E82" s="22"/>
      <c r="F82" s="23"/>
      <c r="G82" s="92"/>
      <c r="H82" s="92"/>
      <c r="I82" s="92"/>
      <c r="J82" s="92"/>
    </row>
    <row r="83" spans="2:10" x14ac:dyDescent="0.3">
      <c r="B83" s="16"/>
      <c r="C83" s="17"/>
      <c r="E83" s="22"/>
      <c r="F83" s="23"/>
      <c r="G83" s="92"/>
      <c r="H83" s="92"/>
      <c r="I83" s="92"/>
      <c r="J83" s="92"/>
    </row>
    <row r="84" spans="2:10" x14ac:dyDescent="0.3">
      <c r="B84" s="16"/>
      <c r="C84" s="17"/>
      <c r="E84" s="22"/>
      <c r="F84" s="23"/>
      <c r="G84" s="92"/>
      <c r="H84" s="92"/>
      <c r="I84" s="92"/>
      <c r="J84" s="92"/>
    </row>
    <row r="85" spans="2:10" x14ac:dyDescent="0.3">
      <c r="B85" s="16"/>
      <c r="C85" s="17"/>
      <c r="E85" s="22"/>
      <c r="F85" s="23"/>
      <c r="G85" s="92"/>
      <c r="H85" s="92"/>
      <c r="I85" s="92"/>
      <c r="J85" s="92"/>
    </row>
    <row r="86" spans="2:10" x14ac:dyDescent="0.3">
      <c r="B86" s="16"/>
      <c r="C86" s="17"/>
      <c r="E86" s="22"/>
      <c r="F86" s="23"/>
      <c r="G86" s="92"/>
      <c r="H86" s="92"/>
      <c r="I86" s="92"/>
      <c r="J86" s="92"/>
    </row>
    <row r="87" spans="2:10" x14ac:dyDescent="0.3">
      <c r="B87" s="16"/>
      <c r="C87" s="17"/>
      <c r="E87" s="22"/>
      <c r="F87" s="23"/>
      <c r="G87" s="92"/>
      <c r="H87" s="92"/>
      <c r="I87" s="92"/>
      <c r="J87" s="92"/>
    </row>
    <row r="88" spans="2:10" x14ac:dyDescent="0.3">
      <c r="B88" s="16"/>
      <c r="C88" s="17"/>
      <c r="E88" s="22"/>
      <c r="F88" s="23"/>
      <c r="G88" s="92"/>
      <c r="H88" s="92"/>
      <c r="I88" s="92"/>
      <c r="J88" s="92"/>
    </row>
    <row r="89" spans="2:10" x14ac:dyDescent="0.3">
      <c r="B89" s="16"/>
      <c r="C89" s="17"/>
      <c r="E89" s="22"/>
      <c r="F89" s="23"/>
      <c r="G89" s="92"/>
      <c r="H89" s="92"/>
      <c r="I89" s="92"/>
      <c r="J89" s="92"/>
    </row>
    <row r="90" spans="2:10" x14ac:dyDescent="0.3">
      <c r="B90" s="16"/>
      <c r="C90" s="17"/>
      <c r="E90" s="22"/>
      <c r="F90" s="23"/>
      <c r="G90" s="92"/>
      <c r="H90" s="92"/>
      <c r="I90" s="92"/>
      <c r="J90" s="92"/>
    </row>
    <row r="91" spans="2:10" x14ac:dyDescent="0.3">
      <c r="B91" s="16"/>
      <c r="C91" s="17"/>
      <c r="E91" s="22"/>
      <c r="F91" s="23"/>
      <c r="G91" s="92"/>
      <c r="H91" s="92"/>
      <c r="I91" s="92"/>
      <c r="J91" s="92"/>
    </row>
    <row r="92" spans="2:10" x14ac:dyDescent="0.3">
      <c r="B92" s="16"/>
      <c r="C92" s="17"/>
      <c r="E92" s="22"/>
      <c r="F92" s="23"/>
      <c r="G92" s="92"/>
      <c r="H92" s="92"/>
      <c r="I92" s="92"/>
      <c r="J92" s="92"/>
    </row>
    <row r="93" spans="2:10" x14ac:dyDescent="0.3">
      <c r="B93" s="16"/>
      <c r="C93" s="17"/>
      <c r="E93" s="22"/>
      <c r="F93" s="23"/>
      <c r="G93" s="92"/>
      <c r="H93" s="92"/>
      <c r="I93" s="92"/>
      <c r="J93" s="92"/>
    </row>
    <row r="94" spans="2:10" x14ac:dyDescent="0.3">
      <c r="B94" s="16"/>
      <c r="C94" s="17"/>
      <c r="E94" s="22"/>
      <c r="F94" s="23"/>
      <c r="G94" s="92"/>
      <c r="H94" s="92"/>
      <c r="I94" s="92"/>
      <c r="J94" s="92"/>
    </row>
    <row r="95" spans="2:10" x14ac:dyDescent="0.3">
      <c r="B95" s="16"/>
      <c r="C95" s="17"/>
      <c r="E95" s="22"/>
      <c r="F95" s="23"/>
      <c r="G95" s="92"/>
      <c r="H95" s="92"/>
      <c r="I95" s="92"/>
      <c r="J95" s="92"/>
    </row>
    <row r="96" spans="2:10" x14ac:dyDescent="0.3">
      <c r="B96" s="16"/>
      <c r="C96" s="17"/>
      <c r="E96" s="22"/>
      <c r="F96" s="23"/>
      <c r="G96" s="92"/>
      <c r="H96" s="92"/>
      <c r="I96" s="92"/>
      <c r="J96" s="92"/>
    </row>
    <row r="97" spans="2:10" x14ac:dyDescent="0.3">
      <c r="B97" s="16"/>
      <c r="C97" s="17"/>
      <c r="E97" s="22"/>
      <c r="F97" s="23"/>
      <c r="G97" s="92"/>
      <c r="H97" s="92"/>
      <c r="I97" s="92"/>
      <c r="J97" s="92"/>
    </row>
    <row r="98" spans="2:10" x14ac:dyDescent="0.3">
      <c r="B98" s="16"/>
      <c r="C98" s="17"/>
      <c r="E98" s="22"/>
      <c r="F98" s="23"/>
      <c r="G98" s="92"/>
      <c r="H98" s="92"/>
      <c r="I98" s="92"/>
      <c r="J98" s="92"/>
    </row>
    <row r="99" spans="2:10" x14ac:dyDescent="0.3">
      <c r="B99" s="16"/>
      <c r="C99" s="17"/>
      <c r="E99" s="22"/>
      <c r="F99" s="23"/>
      <c r="G99" s="92"/>
      <c r="H99" s="92"/>
      <c r="I99" s="92"/>
      <c r="J99" s="92"/>
    </row>
    <row r="100" spans="2:10" x14ac:dyDescent="0.3">
      <c r="B100" s="16"/>
      <c r="C100" s="17"/>
      <c r="E100" s="22"/>
      <c r="F100" s="23"/>
      <c r="G100" s="92"/>
      <c r="H100" s="92"/>
      <c r="I100" s="92"/>
      <c r="J100" s="92"/>
    </row>
    <row r="101" spans="2:10" x14ac:dyDescent="0.3">
      <c r="B101" s="16"/>
      <c r="C101" s="17"/>
      <c r="E101" s="22"/>
      <c r="F101" s="23"/>
      <c r="G101" s="92"/>
      <c r="H101" s="92"/>
      <c r="I101" s="92"/>
      <c r="J101" s="92"/>
    </row>
    <row r="102" spans="2:10" x14ac:dyDescent="0.3">
      <c r="B102" s="16"/>
      <c r="C102" s="17"/>
      <c r="E102" s="22"/>
      <c r="F102" s="23"/>
      <c r="G102" s="92"/>
      <c r="H102" s="92"/>
      <c r="I102" s="92"/>
      <c r="J102" s="92"/>
    </row>
    <row r="103" spans="2:10" x14ac:dyDescent="0.3">
      <c r="B103" s="16"/>
      <c r="C103" s="17"/>
      <c r="E103" s="22"/>
      <c r="F103" s="23"/>
      <c r="G103" s="92"/>
      <c r="H103" s="92"/>
      <c r="I103" s="92"/>
      <c r="J103" s="92"/>
    </row>
    <row r="104" spans="2:10" x14ac:dyDescent="0.3">
      <c r="B104" s="16"/>
      <c r="C104" s="17"/>
      <c r="E104" s="22"/>
      <c r="F104" s="23"/>
      <c r="G104" s="92"/>
      <c r="H104" s="92"/>
      <c r="I104" s="92"/>
      <c r="J104" s="92"/>
    </row>
    <row r="105" spans="2:10" x14ac:dyDescent="0.3">
      <c r="B105" s="16"/>
      <c r="C105" s="17"/>
      <c r="E105" s="22"/>
      <c r="F105" s="23"/>
      <c r="G105" s="92"/>
      <c r="H105" s="92"/>
      <c r="I105" s="92"/>
      <c r="J105" s="92"/>
    </row>
    <row r="106" spans="2:10" x14ac:dyDescent="0.3">
      <c r="B106" s="16"/>
      <c r="C106" s="17"/>
      <c r="E106" s="22"/>
      <c r="F106" s="23"/>
      <c r="G106" s="92"/>
      <c r="H106" s="92"/>
      <c r="I106" s="92"/>
      <c r="J106" s="92"/>
    </row>
    <row r="107" spans="2:10" x14ac:dyDescent="0.3">
      <c r="B107" s="16"/>
      <c r="C107" s="17"/>
      <c r="E107" s="22"/>
      <c r="F107" s="23"/>
      <c r="G107" s="92"/>
      <c r="H107" s="92"/>
      <c r="I107" s="92"/>
      <c r="J107" s="92"/>
    </row>
    <row r="108" spans="2:10" x14ac:dyDescent="0.3">
      <c r="B108" s="16"/>
      <c r="C108" s="17"/>
      <c r="E108" s="22"/>
      <c r="F108" s="23"/>
      <c r="G108" s="92"/>
      <c r="H108" s="92"/>
      <c r="I108" s="92"/>
      <c r="J108" s="92"/>
    </row>
    <row r="109" spans="2:10" x14ac:dyDescent="0.3">
      <c r="B109" s="16"/>
      <c r="C109" s="17"/>
      <c r="E109" s="22"/>
      <c r="F109" s="23"/>
      <c r="G109" s="92"/>
      <c r="H109" s="92"/>
      <c r="I109" s="92"/>
      <c r="J109" s="92"/>
    </row>
    <row r="110" spans="2:10" x14ac:dyDescent="0.3">
      <c r="B110" s="16"/>
      <c r="C110" s="17"/>
      <c r="E110" s="22"/>
      <c r="F110" s="23"/>
      <c r="G110" s="92"/>
      <c r="H110" s="92"/>
      <c r="I110" s="92"/>
      <c r="J110" s="92"/>
    </row>
    <row r="111" spans="2:10" x14ac:dyDescent="0.3">
      <c r="B111" s="16"/>
      <c r="C111" s="17"/>
      <c r="E111" s="22"/>
      <c r="F111" s="23"/>
      <c r="G111" s="92"/>
      <c r="H111" s="92"/>
      <c r="I111" s="92"/>
      <c r="J111" s="92"/>
    </row>
    <row r="112" spans="2:10" x14ac:dyDescent="0.3">
      <c r="B112" s="16"/>
      <c r="C112" s="17"/>
      <c r="E112" s="22"/>
      <c r="F112" s="23"/>
      <c r="G112" s="92"/>
      <c r="H112" s="92"/>
      <c r="I112" s="92"/>
      <c r="J112" s="92"/>
    </row>
    <row r="113" spans="2:10" x14ac:dyDescent="0.3">
      <c r="B113" s="16"/>
      <c r="C113" s="17"/>
      <c r="E113" s="22"/>
      <c r="F113" s="23"/>
      <c r="G113" s="92"/>
      <c r="H113" s="92"/>
      <c r="I113" s="92"/>
      <c r="J113" s="92"/>
    </row>
    <row r="114" spans="2:10" x14ac:dyDescent="0.3">
      <c r="B114" s="16"/>
      <c r="C114" s="17"/>
      <c r="E114" s="22"/>
      <c r="F114" s="23"/>
      <c r="G114" s="92"/>
      <c r="H114" s="92"/>
      <c r="I114" s="92"/>
      <c r="J114" s="92"/>
    </row>
    <row r="115" spans="2:10" x14ac:dyDescent="0.3">
      <c r="B115" s="16"/>
      <c r="C115" s="17"/>
      <c r="E115" s="22"/>
      <c r="F115" s="23"/>
      <c r="G115" s="92"/>
      <c r="H115" s="92"/>
      <c r="I115" s="92"/>
      <c r="J115" s="92"/>
    </row>
    <row r="116" spans="2:10" x14ac:dyDescent="0.3">
      <c r="B116" s="16"/>
      <c r="C116" s="17"/>
      <c r="E116" s="22"/>
      <c r="F116" s="23"/>
      <c r="G116" s="92"/>
      <c r="H116" s="92"/>
      <c r="I116" s="92"/>
      <c r="J116" s="92"/>
    </row>
    <row r="117" spans="2:10" x14ac:dyDescent="0.3">
      <c r="B117" s="16"/>
      <c r="C117" s="17"/>
      <c r="E117" s="22"/>
      <c r="F117" s="23"/>
      <c r="G117" s="92"/>
      <c r="H117" s="92"/>
      <c r="I117" s="92"/>
      <c r="J117" s="92"/>
    </row>
    <row r="118" spans="2:10" x14ac:dyDescent="0.3">
      <c r="B118" s="16"/>
      <c r="C118" s="17"/>
      <c r="E118" s="22"/>
      <c r="F118" s="23"/>
      <c r="G118" s="92"/>
      <c r="H118" s="92"/>
      <c r="I118" s="92"/>
      <c r="J118" s="92"/>
    </row>
    <row r="119" spans="2:10" x14ac:dyDescent="0.3">
      <c r="B119" s="16"/>
      <c r="C119" s="17"/>
      <c r="E119" s="22"/>
      <c r="F119" s="23"/>
      <c r="G119" s="92"/>
      <c r="H119" s="92"/>
      <c r="I119" s="92"/>
      <c r="J119" s="92"/>
    </row>
    <row r="120" spans="2:10" x14ac:dyDescent="0.3">
      <c r="B120" s="16"/>
      <c r="C120" s="17"/>
      <c r="E120" s="22"/>
      <c r="F120" s="23"/>
      <c r="G120" s="92"/>
      <c r="H120" s="92"/>
      <c r="I120" s="92"/>
      <c r="J120" s="92"/>
    </row>
    <row r="121" spans="2:10" x14ac:dyDescent="0.3">
      <c r="B121" s="16"/>
      <c r="C121" s="17"/>
      <c r="E121" s="22"/>
      <c r="F121" s="23"/>
      <c r="G121" s="92"/>
      <c r="H121" s="92"/>
      <c r="I121" s="92"/>
      <c r="J121" s="92"/>
    </row>
    <row r="122" spans="2:10" x14ac:dyDescent="0.3">
      <c r="B122" s="16"/>
      <c r="C122" s="17"/>
      <c r="E122" s="22"/>
      <c r="F122" s="23"/>
      <c r="G122" s="92"/>
      <c r="H122" s="92"/>
      <c r="I122" s="92"/>
      <c r="J122" s="92"/>
    </row>
    <row r="123" spans="2:10" x14ac:dyDescent="0.3">
      <c r="B123" s="16"/>
      <c r="C123" s="17"/>
      <c r="E123" s="22"/>
      <c r="F123" s="23"/>
      <c r="G123" s="92"/>
      <c r="H123" s="92"/>
      <c r="I123" s="92"/>
      <c r="J123" s="92"/>
    </row>
    <row r="124" spans="2:10" x14ac:dyDescent="0.3">
      <c r="B124" s="16"/>
      <c r="C124" s="17"/>
      <c r="E124" s="22"/>
      <c r="F124" s="23"/>
      <c r="G124" s="92"/>
      <c r="H124" s="92"/>
      <c r="I124" s="92"/>
      <c r="J124" s="92"/>
    </row>
    <row r="125" spans="2:10" x14ac:dyDescent="0.3">
      <c r="B125" s="16"/>
      <c r="C125" s="17"/>
      <c r="E125" s="22"/>
      <c r="F125" s="23"/>
      <c r="G125" s="92"/>
      <c r="H125" s="92"/>
      <c r="I125" s="92"/>
      <c r="J125" s="92"/>
    </row>
    <row r="126" spans="2:10" x14ac:dyDescent="0.3">
      <c r="B126" s="16"/>
      <c r="C126" s="17"/>
      <c r="E126" s="22"/>
      <c r="F126" s="23"/>
      <c r="G126" s="92"/>
      <c r="H126" s="92"/>
      <c r="I126" s="92"/>
      <c r="J126" s="92"/>
    </row>
    <row r="127" spans="2:10" x14ac:dyDescent="0.3">
      <c r="B127" s="16"/>
      <c r="C127" s="17"/>
      <c r="E127" s="22"/>
      <c r="F127" s="23"/>
      <c r="G127" s="92"/>
      <c r="H127" s="92"/>
      <c r="I127" s="92"/>
      <c r="J127" s="92"/>
    </row>
    <row r="128" spans="2:10" x14ac:dyDescent="0.3">
      <c r="B128" s="16"/>
      <c r="C128" s="17"/>
      <c r="E128" s="22"/>
      <c r="F128" s="23"/>
      <c r="G128" s="92"/>
      <c r="H128" s="92"/>
      <c r="I128" s="92"/>
      <c r="J128" s="92"/>
    </row>
    <row r="129" spans="2:6" x14ac:dyDescent="0.3">
      <c r="B129" s="16"/>
      <c r="C129" s="17"/>
      <c r="E129" s="22"/>
      <c r="F129" s="23"/>
    </row>
    <row r="130" spans="2:6" x14ac:dyDescent="0.3">
      <c r="B130" s="16"/>
      <c r="C130" s="17"/>
      <c r="E130" s="22"/>
      <c r="F130" s="23"/>
    </row>
  </sheetData>
  <mergeCells count="8">
    <mergeCell ref="B3:C3"/>
    <mergeCell ref="G3:I4"/>
    <mergeCell ref="B2:I2"/>
    <mergeCell ref="B4:C4"/>
    <mergeCell ref="B6:D6"/>
    <mergeCell ref="E4:F4"/>
    <mergeCell ref="E5:F5"/>
    <mergeCell ref="B5:C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718C8-269F-42A0-891B-7F8F353633F6}">
  <dimension ref="A1:D32"/>
  <sheetViews>
    <sheetView workbookViewId="0">
      <selection activeCell="F29" sqref="F29"/>
    </sheetView>
  </sheetViews>
  <sheetFormatPr baseColWidth="10" defaultRowHeight="14.4" x14ac:dyDescent="0.3"/>
  <sheetData>
    <row r="1" spans="1:4" x14ac:dyDescent="0.3">
      <c r="A1" t="s">
        <v>84</v>
      </c>
      <c r="C1" t="s">
        <v>86</v>
      </c>
      <c r="D1" s="121">
        <v>0.05</v>
      </c>
    </row>
    <row r="3" spans="1:4" x14ac:dyDescent="0.3">
      <c r="A3" s="120" t="s">
        <v>87</v>
      </c>
      <c r="B3" s="120" t="s">
        <v>85</v>
      </c>
      <c r="C3" s="120" t="s">
        <v>88</v>
      </c>
      <c r="D3" s="120" t="s">
        <v>89</v>
      </c>
    </row>
    <row r="4" spans="1:4" x14ac:dyDescent="0.3">
      <c r="A4">
        <v>0</v>
      </c>
      <c r="B4">
        <f>[1]!ACF('ASTM 4430-00'!$E$8:$E$36,A4)</f>
        <v>1</v>
      </c>
    </row>
    <row r="5" spans="1:4" x14ac:dyDescent="0.3">
      <c r="A5">
        <f>A4+1</f>
        <v>1</v>
      </c>
      <c r="B5">
        <f>[1]!ACF('ASTM 4430-00'!$E$8:$E$36,A5)</f>
        <v>0.35801217038534727</v>
      </c>
      <c r="C5">
        <f>-D5</f>
        <v>-0.36395617492400734</v>
      </c>
      <c r="D5">
        <f>_xlfn.NORM.S.INV(1-$D$1/2)/SQRT(COUNT('ASTM 4430-00'!$E$8:$E$36))</f>
        <v>0.36395617492400734</v>
      </c>
    </row>
    <row r="6" spans="1:4" x14ac:dyDescent="0.3">
      <c r="A6">
        <f t="shared" ref="A6:A32" si="0">A5+1</f>
        <v>2</v>
      </c>
      <c r="B6">
        <f>[1]!ACF('ASTM 4430-00'!$E$8:$E$36,A6)</f>
        <v>-7.0740365111472872E-2</v>
      </c>
      <c r="C6">
        <f>-D6</f>
        <v>-0.40794688748853342</v>
      </c>
      <c r="D6">
        <f>_xlfn.NORM.S.INV(1-$D$1/2)*SQRT((1+2*SUMSQ(B$5:B5))/COUNT('ASTM 4430-00'!$E$8:$E$36))</f>
        <v>0.40794688748853342</v>
      </c>
    </row>
    <row r="7" spans="1:4" x14ac:dyDescent="0.3">
      <c r="A7">
        <f t="shared" si="0"/>
        <v>3</v>
      </c>
      <c r="B7">
        <f>[1]!ACF('ASTM 4430-00'!$E$8:$E$36,A7)</f>
        <v>-0.28625760649082432</v>
      </c>
      <c r="C7">
        <f t="shared" ref="C7:C32" si="1">-D7</f>
        <v>-0.40956857360590226</v>
      </c>
      <c r="D7">
        <f>_xlfn.NORM.S.INV(1-$D$1/2)*SQRT((1+2*SUMSQ(B$5:B6))/COUNT('ASTM 4430-00'!$E$8:$E$36))</f>
        <v>0.40956857360590226</v>
      </c>
    </row>
    <row r="8" spans="1:4" x14ac:dyDescent="0.3">
      <c r="A8">
        <f t="shared" si="0"/>
        <v>4</v>
      </c>
      <c r="B8">
        <f>[1]!ACF('ASTM 4430-00'!$E$8:$E$36,A8)</f>
        <v>-0.26648073022316732</v>
      </c>
      <c r="C8">
        <f t="shared" si="1"/>
        <v>-0.43526490563518438</v>
      </c>
      <c r="D8">
        <f>_xlfn.NORM.S.INV(1-$D$1/2)*SQRT((1+2*SUMSQ(B$5:B7))/COUNT('ASTM 4430-00'!$E$8:$E$36))</f>
        <v>0.43526490563518438</v>
      </c>
    </row>
    <row r="9" spans="1:4" x14ac:dyDescent="0.3">
      <c r="A9">
        <f t="shared" si="0"/>
        <v>5</v>
      </c>
      <c r="B9">
        <f>[1]!ACF('ASTM 4430-00'!$E$8:$E$36,A9)</f>
        <v>-3.3468559837799068E-2</v>
      </c>
      <c r="C9">
        <f t="shared" si="1"/>
        <v>-0.45636456218450333</v>
      </c>
      <c r="D9">
        <f>_xlfn.NORM.S.INV(1-$D$1/2)*SQRT((1+2*SUMSQ(B$5:B8))/COUNT('ASTM 4430-00'!$E$8:$E$36))</f>
        <v>0.45636456218450333</v>
      </c>
    </row>
    <row r="10" spans="1:4" x14ac:dyDescent="0.3">
      <c r="A10">
        <f t="shared" si="0"/>
        <v>6</v>
      </c>
      <c r="B10">
        <f>[1]!ACF('ASTM 4430-00'!$E$8:$E$36,A10)</f>
        <v>-3.5750507099439263E-2</v>
      </c>
      <c r="C10">
        <f t="shared" si="1"/>
        <v>-0.45668957890149009</v>
      </c>
      <c r="D10">
        <f>_xlfn.NORM.S.INV(1-$D$1/2)*SQRT((1+2*SUMSQ(B$5:B9))/COUNT('ASTM 4430-00'!$E$8:$E$36))</f>
        <v>0.45668957890149009</v>
      </c>
    </row>
    <row r="11" spans="1:4" x14ac:dyDescent="0.3">
      <c r="A11">
        <f t="shared" si="0"/>
        <v>7</v>
      </c>
      <c r="B11">
        <f>[1]!ACF('ASTM 4430-00'!$E$8:$E$36,A11)</f>
        <v>-0.25126774847879069</v>
      </c>
      <c r="C11">
        <f t="shared" si="1"/>
        <v>-0.4570601447004255</v>
      </c>
      <c r="D11">
        <f>_xlfn.NORM.S.INV(1-$D$1/2)*SQRT((1+2*SUMSQ(B$5:B10))/COUNT('ASTM 4430-00'!$E$8:$E$36))</f>
        <v>0.4570601447004255</v>
      </c>
    </row>
    <row r="12" spans="1:4" x14ac:dyDescent="0.3">
      <c r="A12">
        <f t="shared" si="0"/>
        <v>8</v>
      </c>
      <c r="B12">
        <f>[1]!ACF('ASTM 4430-00'!$E$8:$E$36,A12)</f>
        <v>-0.27560851926974061</v>
      </c>
      <c r="C12">
        <f t="shared" si="1"/>
        <v>-0.4750056262598164</v>
      </c>
      <c r="D12">
        <f>_xlfn.NORM.S.INV(1-$D$1/2)*SQRT((1+2*SUMSQ(B$5:B11))/COUNT('ASTM 4430-00'!$E$8:$E$36))</f>
        <v>0.4750056262598164</v>
      </c>
    </row>
    <row r="13" spans="1:4" x14ac:dyDescent="0.3">
      <c r="A13">
        <f t="shared" si="0"/>
        <v>9</v>
      </c>
      <c r="B13">
        <f>[1]!ACF('ASTM 4430-00'!$E$8:$E$36,A13)</f>
        <v>-6.4655172413669568E-2</v>
      </c>
      <c r="C13">
        <f t="shared" si="1"/>
        <v>-0.49573612481131446</v>
      </c>
      <c r="D13">
        <f>_xlfn.NORM.S.INV(1-$D$1/2)*SQRT((1+2*SUMSQ(B$5:B12))/COUNT('ASTM 4430-00'!$E$8:$E$36))</f>
        <v>0.49573612481131446</v>
      </c>
    </row>
    <row r="14" spans="1:4" x14ac:dyDescent="0.3">
      <c r="A14">
        <f t="shared" si="0"/>
        <v>10</v>
      </c>
      <c r="B14">
        <f>[1]!ACF('ASTM 4430-00'!$E$8:$E$36,A14)</f>
        <v>0.14629817444228024</v>
      </c>
      <c r="C14">
        <f t="shared" si="1"/>
        <v>-0.49685187176352341</v>
      </c>
      <c r="D14">
        <f>_xlfn.NORM.S.INV(1-$D$1/2)*SQRT((1+2*SUMSQ(B$5:B13))/COUNT('ASTM 4430-00'!$E$8:$E$36))</f>
        <v>0.49685187176352341</v>
      </c>
    </row>
    <row r="15" spans="1:4" x14ac:dyDescent="0.3">
      <c r="A15">
        <f t="shared" si="0"/>
        <v>11</v>
      </c>
      <c r="B15">
        <f>[1]!ACF('ASTM 4430-00'!$E$8:$E$36,A15)</f>
        <v>0.35725152129823007</v>
      </c>
      <c r="C15">
        <f t="shared" si="1"/>
        <v>-0.50252570273591812</v>
      </c>
      <c r="D15">
        <f>_xlfn.NORM.S.INV(1-$D$1/2)*SQRT((1+2*SUMSQ(B$5:B14))/COUNT('ASTM 4430-00'!$E$8:$E$36))</f>
        <v>0.50252570273591812</v>
      </c>
    </row>
    <row r="16" spans="1:4" x14ac:dyDescent="0.3">
      <c r="A16">
        <f t="shared" si="0"/>
        <v>12</v>
      </c>
      <c r="B16">
        <f>[1]!ACF('ASTM 4430-00'!$E$8:$E$36,A16)</f>
        <v>0.14173427991899987</v>
      </c>
      <c r="C16">
        <f t="shared" si="1"/>
        <v>-0.53511167954425309</v>
      </c>
      <c r="D16">
        <f>_xlfn.NORM.S.INV(1-$D$1/2)*SQRT((1+2*SUMSQ(B$5:B15))/COUNT('ASTM 4430-00'!$E$8:$E$36))</f>
        <v>0.53511167954425309</v>
      </c>
    </row>
    <row r="17" spans="1:4" x14ac:dyDescent="0.3">
      <c r="A17">
        <f t="shared" si="0"/>
        <v>13</v>
      </c>
      <c r="B17">
        <f>[1]!ACF('ASTM 4430-00'!$E$8:$E$36,A17)</f>
        <v>-7.3782961460230334E-2</v>
      </c>
      <c r="C17">
        <f t="shared" si="1"/>
        <v>-0.54006161475380088</v>
      </c>
      <c r="D17">
        <f>_xlfn.NORM.S.INV(1-$D$1/2)*SQRT((1+2*SUMSQ(B$5:B16))/COUNT('ASTM 4430-00'!$E$8:$E$36))</f>
        <v>0.54006161475380088</v>
      </c>
    </row>
    <row r="18" spans="1:4" x14ac:dyDescent="0.3">
      <c r="A18">
        <f t="shared" si="0"/>
        <v>14</v>
      </c>
      <c r="B18">
        <f>[1]!ACF('ASTM 4430-00'!$E$8:$E$36,A18)</f>
        <v>-5.4006085192573342E-2</v>
      </c>
      <c r="C18">
        <f t="shared" si="1"/>
        <v>-0.54139523183932114</v>
      </c>
      <c r="D18">
        <f>_xlfn.NORM.S.INV(1-$D$1/2)*SQRT((1+2*SUMSQ(B$5:B17))/COUNT('ASTM 4430-00'!$E$8:$E$36))</f>
        <v>0.54139523183932114</v>
      </c>
    </row>
    <row r="19" spans="1:4" x14ac:dyDescent="0.3">
      <c r="A19">
        <f t="shared" si="0"/>
        <v>15</v>
      </c>
      <c r="B19">
        <f>[1]!ACF('ASTM 4430-00'!$E$8:$E$36,A19)</f>
        <v>-1.2170385395619151E-2</v>
      </c>
      <c r="C19">
        <f t="shared" si="1"/>
        <v>-0.54210838565220021</v>
      </c>
      <c r="D19">
        <f>_xlfn.NORM.S.INV(1-$D$1/2)*SQRT((1+2*SUMSQ(B$5:B18))/COUNT('ASTM 4430-00'!$E$8:$E$36))</f>
        <v>0.54210838565220021</v>
      </c>
    </row>
    <row r="20" spans="1:4" x14ac:dyDescent="0.3">
      <c r="A20">
        <f t="shared" si="0"/>
        <v>16</v>
      </c>
      <c r="B20">
        <f>[1]!ACF('ASTM 4430-00'!$E$8:$E$36,A20)</f>
        <v>7.6064908720378461E-3</v>
      </c>
      <c r="C20">
        <f t="shared" si="1"/>
        <v>-0.54214457712229447</v>
      </c>
      <c r="D20">
        <f>_xlfn.NORM.S.INV(1-$D$1/2)*SQRT((1+2*SUMSQ(B$5:B19))/COUNT('ASTM 4430-00'!$E$8:$E$36))</f>
        <v>0.54214457712229447</v>
      </c>
    </row>
    <row r="21" spans="1:4" x14ac:dyDescent="0.3">
      <c r="A21">
        <f t="shared" si="0"/>
        <v>17</v>
      </c>
      <c r="B21">
        <f>[1]!ACF('ASTM 4430-00'!$E$8:$E$36,A21)</f>
        <v>5.3245436103976536E-3</v>
      </c>
      <c r="C21">
        <f t="shared" si="1"/>
        <v>-0.54215871375911462</v>
      </c>
      <c r="D21">
        <f>_xlfn.NORM.S.INV(1-$D$1/2)*SQRT((1+2*SUMSQ(B$5:B20))/COUNT('ASTM 4430-00'!$E$8:$E$36))</f>
        <v>0.54215871375911462</v>
      </c>
    </row>
    <row r="22" spans="1:4" x14ac:dyDescent="0.3">
      <c r="A22">
        <f t="shared" si="0"/>
        <v>18</v>
      </c>
      <c r="B22">
        <f>[1]!ACF('ASTM 4430-00'!$E$8:$E$36,A22)</f>
        <v>3.0425963487574624E-3</v>
      </c>
      <c r="C22">
        <f t="shared" si="1"/>
        <v>-0.54216564057659744</v>
      </c>
      <c r="D22">
        <f>_xlfn.NORM.S.INV(1-$D$1/2)*SQRT((1+2*SUMSQ(B$5:B21))/COUNT('ASTM 4430-00'!$E$8:$E$36))</f>
        <v>0.54216564057659744</v>
      </c>
    </row>
    <row r="23" spans="1:4" x14ac:dyDescent="0.3">
      <c r="A23">
        <f t="shared" si="0"/>
        <v>19</v>
      </c>
      <c r="B23">
        <f>[1]!ACF('ASTM 4430-00'!$E$8:$E$36,A23)</f>
        <v>7.6064908711726996E-4</v>
      </c>
      <c r="C23">
        <f t="shared" si="1"/>
        <v>-0.54216790237538437</v>
      </c>
      <c r="D23">
        <f>_xlfn.NORM.S.INV(1-$D$1/2)*SQRT((1+2*SUMSQ(B$5:B22))/COUNT('ASTM 4430-00'!$E$8:$E$36))</f>
        <v>0.54216790237538437</v>
      </c>
    </row>
    <row r="24" spans="1:4" x14ac:dyDescent="0.3">
      <c r="A24">
        <f t="shared" si="0"/>
        <v>20</v>
      </c>
      <c r="B24">
        <f>[1]!ACF('ASTM 4430-00'!$E$8:$E$36,A24)</f>
        <v>-1.5212981745229219E-3</v>
      </c>
      <c r="C24">
        <f t="shared" si="1"/>
        <v>-0.54216804373749516</v>
      </c>
      <c r="D24">
        <f>_xlfn.NORM.S.INV(1-$D$1/2)*SQRT((1+2*SUMSQ(B$5:B23))/COUNT('ASTM 4430-00'!$E$8:$E$36))</f>
        <v>0.54216804373749516</v>
      </c>
    </row>
    <row r="25" spans="1:4" x14ac:dyDescent="0.3">
      <c r="A25">
        <f t="shared" si="0"/>
        <v>21</v>
      </c>
      <c r="B25">
        <f>[1]!ACF('ASTM 4430-00'!$E$8:$E$36,A25)</f>
        <v>-3.8032454361631137E-3</v>
      </c>
      <c r="C25">
        <f t="shared" si="1"/>
        <v>-0.5421686091855703</v>
      </c>
      <c r="D25">
        <f>_xlfn.NORM.S.INV(1-$D$1/2)*SQRT((1+2*SUMSQ(B$5:B24))/COUNT('ASTM 4430-00'!$E$8:$E$36))</f>
        <v>0.5421686091855703</v>
      </c>
    </row>
    <row r="26" spans="1:4" x14ac:dyDescent="0.3">
      <c r="A26">
        <f t="shared" si="0"/>
        <v>22</v>
      </c>
      <c r="B26">
        <f>[1]!ACF('ASTM 4430-00'!$E$8:$E$36,A26)</f>
        <v>-2.8144016227113038E-2</v>
      </c>
      <c r="C26">
        <f t="shared" si="1"/>
        <v>-0.54217214322267837</v>
      </c>
      <c r="D26">
        <f>_xlfn.NORM.S.INV(1-$D$1/2)*SQRT((1+2*SUMSQ(B$5:B25))/COUNT('ASTM 4430-00'!$E$8:$E$36))</f>
        <v>0.54217214322267837</v>
      </c>
    </row>
    <row r="27" spans="1:4" x14ac:dyDescent="0.3">
      <c r="A27">
        <f t="shared" si="0"/>
        <v>23</v>
      </c>
      <c r="B27">
        <f>[1]!ACF('ASTM 4430-00'!$E$8:$E$36,A27)</f>
        <v>-3.0425963488753229E-2</v>
      </c>
      <c r="C27">
        <f t="shared" si="1"/>
        <v>-0.54236563193815979</v>
      </c>
      <c r="D27">
        <f>_xlfn.NORM.S.INV(1-$D$1/2)*SQRT((1+2*SUMSQ(B$5:B26))/COUNT('ASTM 4430-00'!$E$8:$E$36))</f>
        <v>0.54236563193815979</v>
      </c>
    </row>
    <row r="28" spans="1:4" x14ac:dyDescent="0.3">
      <c r="A28">
        <f t="shared" si="0"/>
        <v>24</v>
      </c>
      <c r="B28">
        <f>[1]!ACF('ASTM 4430-00'!$E$8:$E$36,A28)</f>
        <v>-3.2707910750393421E-2</v>
      </c>
      <c r="C28">
        <f t="shared" si="1"/>
        <v>-0.54259168178005257</v>
      </c>
      <c r="D28">
        <f>_xlfn.NORM.S.INV(1-$D$1/2)*SQRT((1+2*SUMSQ(B$5:B27))/COUNT('ASTM 4430-00'!$E$8:$E$36))</f>
        <v>0.54259168178005257</v>
      </c>
    </row>
    <row r="29" spans="1:4" x14ac:dyDescent="0.3">
      <c r="A29">
        <f t="shared" si="0"/>
        <v>25</v>
      </c>
      <c r="B29">
        <f>[1]!ACF('ASTM 4430-00'!$E$8:$E$36,A29)</f>
        <v>-1.2931034482736421E-2</v>
      </c>
      <c r="C29">
        <f t="shared" si="1"/>
        <v>-0.54285279338572101</v>
      </c>
      <c r="D29">
        <f>_xlfn.NORM.S.INV(1-$D$1/2)*SQRT((1+2*SUMSQ(B$5:B28))/COUNT('ASTM 4430-00'!$E$8:$E$36))</f>
        <v>0.54285279338572101</v>
      </c>
    </row>
    <row r="30" spans="1:4" x14ac:dyDescent="0.3">
      <c r="A30">
        <f t="shared" si="0"/>
        <v>26</v>
      </c>
      <c r="B30">
        <f>[1]!ACF('ASTM 4430-00'!$E$8:$E$36,A30)</f>
        <v>6.8458417849205748E-3</v>
      </c>
      <c r="C30">
        <f t="shared" si="1"/>
        <v>-0.5428935939647469</v>
      </c>
      <c r="D30">
        <f>_xlfn.NORM.S.INV(1-$D$1/2)*SQRT((1+2*SUMSQ(B$5:B29))/COUNT('ASTM 4430-00'!$E$8:$E$36))</f>
        <v>0.5428935939647469</v>
      </c>
    </row>
    <row r="31" spans="1:4" x14ac:dyDescent="0.3">
      <c r="A31">
        <f t="shared" si="0"/>
        <v>27</v>
      </c>
      <c r="B31">
        <f>[1]!ACF('ASTM 4430-00'!$E$8:$E$36,A31)</f>
        <v>4.5638945232803832E-3</v>
      </c>
      <c r="C31">
        <f t="shared" si="1"/>
        <v>-0.5429050288710161</v>
      </c>
      <c r="D31">
        <f>_xlfn.NORM.S.INV(1-$D$1/2)*SQRT((1+2*SUMSQ(B$5:B30))/COUNT('ASTM 4430-00'!$E$8:$E$36))</f>
        <v>0.5429050288710161</v>
      </c>
    </row>
    <row r="32" spans="1:4" x14ac:dyDescent="0.3">
      <c r="A32" s="39">
        <f t="shared" si="0"/>
        <v>28</v>
      </c>
      <c r="B32" s="39">
        <f>[1]!ACF('ASTM 4430-00'!$E$8:$E$36,A32)</f>
        <v>2.2819472616401916E-3</v>
      </c>
      <c r="C32" s="39">
        <f t="shared" si="1"/>
        <v>-0.542910110974272</v>
      </c>
      <c r="D32" s="39">
        <f>_xlfn.NORM.S.INV(1-$D$1/2)*SQRT((1+2*SUMSQ(B$5:B31))/COUNT('ASTM 4430-00'!$E$8:$E$36))</f>
        <v>0.542910110974272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1E993-E6D4-4710-9A51-3A7C0C00AD2C}">
  <dimension ref="A1:D32"/>
  <sheetViews>
    <sheetView workbookViewId="0">
      <selection activeCell="N10" sqref="N10"/>
    </sheetView>
  </sheetViews>
  <sheetFormatPr baseColWidth="10" defaultRowHeight="14.4" x14ac:dyDescent="0.3"/>
  <sheetData>
    <row r="1" spans="1:4" x14ac:dyDescent="0.3">
      <c r="A1" t="s">
        <v>84</v>
      </c>
      <c r="C1" t="s">
        <v>86</v>
      </c>
      <c r="D1" s="121">
        <v>0.01</v>
      </c>
    </row>
    <row r="3" spans="1:4" x14ac:dyDescent="0.3">
      <c r="A3" s="120" t="s">
        <v>87</v>
      </c>
      <c r="B3" s="120" t="s">
        <v>85</v>
      </c>
      <c r="C3" s="120" t="s">
        <v>88</v>
      </c>
      <c r="D3" s="120" t="s">
        <v>89</v>
      </c>
    </row>
    <row r="4" spans="1:4" x14ac:dyDescent="0.3">
      <c r="A4">
        <v>0</v>
      </c>
      <c r="B4">
        <f>[1]!ACF('ASTM 4430-00'!$F$8:$F$36,A4)</f>
        <v>1</v>
      </c>
    </row>
    <row r="5" spans="1:4" x14ac:dyDescent="0.3">
      <c r="A5">
        <f>A4+1</f>
        <v>1</v>
      </c>
      <c r="B5">
        <f>[1]!ACF('ASTM 4430-00'!$F$8:$F$36,A5)</f>
        <v>0.45448275862092768</v>
      </c>
      <c r="C5">
        <f>-D5</f>
        <v>-0.47831949360887299</v>
      </c>
      <c r="D5">
        <f>_xlfn.NORM.S.INV(1-$D$1/2)/SQRT(COUNT('ASTM 4430-00'!$F$8:$F$36))</f>
        <v>0.47831949360887299</v>
      </c>
    </row>
    <row r="6" spans="1:4" x14ac:dyDescent="0.3">
      <c r="A6">
        <f t="shared" ref="A6:A32" si="0">A5+1</f>
        <v>2</v>
      </c>
      <c r="B6">
        <f>[1]!ACF('ASTM 4430-00'!$F$8:$F$36,A6)</f>
        <v>0.48896551724185605</v>
      </c>
      <c r="C6">
        <f>-D6</f>
        <v>-0.56859879602747476</v>
      </c>
      <c r="D6">
        <f>_xlfn.NORM.S.INV(1-$D$1/2)*SQRT((1+2*SUMSQ(B$5:B5))/COUNT('ASTM 4430-00'!$F$8:$F$36))</f>
        <v>0.56859879602747476</v>
      </c>
    </row>
    <row r="7" spans="1:4" x14ac:dyDescent="0.3">
      <c r="A7">
        <f t="shared" si="0"/>
        <v>3</v>
      </c>
      <c r="B7">
        <f>[1]!ACF('ASTM 4430-00'!$F$8:$F$36,A7)</f>
        <v>0.23344827586278483</v>
      </c>
      <c r="C7">
        <f t="shared" ref="C7:C32" si="1">-D7</f>
        <v>-0.65780386601507601</v>
      </c>
      <c r="D7">
        <f>_xlfn.NORM.S.INV(1-$D$1/2)*SQRT((1+2*SUMSQ(B$5:B6))/COUNT('ASTM 4430-00'!$F$8:$F$36))</f>
        <v>0.65780386601507601</v>
      </c>
    </row>
    <row r="8" spans="1:4" x14ac:dyDescent="0.3">
      <c r="A8">
        <f t="shared" si="0"/>
        <v>4</v>
      </c>
      <c r="B8">
        <f>[1]!ACF('ASTM 4430-00'!$F$8:$F$36,A8)</f>
        <v>0.22793103448338353</v>
      </c>
      <c r="C8">
        <f t="shared" si="1"/>
        <v>-0.67649324848073855</v>
      </c>
      <c r="D8">
        <f>_xlfn.NORM.S.INV(1-$D$1/2)*SQRT((1+2*SUMSQ(B$5:B7))/COUNT('ASTM 4430-00'!$F$8:$F$36))</f>
        <v>0.67649324848073855</v>
      </c>
    </row>
    <row r="9" spans="1:4" x14ac:dyDescent="0.3">
      <c r="A9">
        <f t="shared" si="0"/>
        <v>5</v>
      </c>
      <c r="B9">
        <f>[1]!ACF('ASTM 4430-00'!$F$8:$F$36,A9)</f>
        <v>-2.7586206895687675E-2</v>
      </c>
      <c r="C9">
        <f t="shared" si="1"/>
        <v>-0.69384113313263307</v>
      </c>
      <c r="D9">
        <f>_xlfn.NORM.S.INV(1-$D$1/2)*SQRT((1+2*SUMSQ(B$5:B8))/COUNT('ASTM 4430-00'!$F$8:$F$36))</f>
        <v>0.69384113313263307</v>
      </c>
    </row>
    <row r="10" spans="1:4" x14ac:dyDescent="0.3">
      <c r="A10">
        <f t="shared" si="0"/>
        <v>6</v>
      </c>
      <c r="B10">
        <f>[1]!ACF('ASTM 4430-00'!$F$8:$F$36,A10)</f>
        <v>-3.3103448275088959E-2</v>
      </c>
      <c r="C10">
        <f t="shared" si="1"/>
        <v>-0.69409202211194565</v>
      </c>
      <c r="D10">
        <f>_xlfn.NORM.S.INV(1-$D$1/2)*SQRT((1+2*SUMSQ(B$5:B9))/COUNT('ASTM 4430-00'!$F$8:$F$36))</f>
        <v>0.69409202211194565</v>
      </c>
    </row>
    <row r="11" spans="1:4" x14ac:dyDescent="0.3">
      <c r="A11">
        <f t="shared" si="0"/>
        <v>7</v>
      </c>
      <c r="B11">
        <f>[1]!ACF('ASTM 4430-00'!$F$8:$F$36,A11)</f>
        <v>-3.8620689654490246E-2</v>
      </c>
      <c r="C11">
        <f t="shared" si="1"/>
        <v>-0.69445314300570893</v>
      </c>
      <c r="D11">
        <f>_xlfn.NORM.S.INV(1-$D$1/2)*SQRT((1+2*SUMSQ(B$5:B10))/COUNT('ASTM 4430-00'!$F$8:$F$36))</f>
        <v>0.69445314300570893</v>
      </c>
    </row>
    <row r="12" spans="1:4" x14ac:dyDescent="0.3">
      <c r="A12">
        <f t="shared" si="0"/>
        <v>8</v>
      </c>
      <c r="B12">
        <f>[1]!ACF('ASTM 4430-00'!$F$8:$F$36,A12)</f>
        <v>-4.4137931033891534E-2</v>
      </c>
      <c r="C12">
        <f t="shared" si="1"/>
        <v>-0.6949443671334895</v>
      </c>
      <c r="D12">
        <f>_xlfn.NORM.S.INV(1-$D$1/2)*SQRT((1+2*SUMSQ(B$5:B11))/COUNT('ASTM 4430-00'!$F$8:$F$36))</f>
        <v>0.6949443671334895</v>
      </c>
    </row>
    <row r="13" spans="1:4" x14ac:dyDescent="0.3">
      <c r="A13">
        <f t="shared" si="0"/>
        <v>9</v>
      </c>
      <c r="B13">
        <f>[1]!ACF('ASTM 4430-00'!$F$8:$F$36,A13)</f>
        <v>-4.9655172413292814E-2</v>
      </c>
      <c r="C13">
        <f t="shared" si="1"/>
        <v>-0.69558544354395635</v>
      </c>
      <c r="D13">
        <f>_xlfn.NORM.S.INV(1-$D$1/2)*SQRT((1+2*SUMSQ(B$5:B12))/COUNT('ASTM 4430-00'!$F$8:$F$36))</f>
        <v>0.69558544354395635</v>
      </c>
    </row>
    <row r="14" spans="1:4" x14ac:dyDescent="0.3">
      <c r="A14">
        <f t="shared" si="0"/>
        <v>10</v>
      </c>
      <c r="B14">
        <f>[1]!ACF('ASTM 4430-00'!$F$8:$F$36,A14)</f>
        <v>-5.5172413792694101E-2</v>
      </c>
      <c r="C14">
        <f t="shared" si="1"/>
        <v>-0.69639595976725244</v>
      </c>
      <c r="D14">
        <f>_xlfn.NORM.S.INV(1-$D$1/2)*SQRT((1+2*SUMSQ(B$5:B13))/COUNT('ASTM 4430-00'!$F$8:$F$36))</f>
        <v>0.69639595976725244</v>
      </c>
    </row>
    <row r="15" spans="1:4" x14ac:dyDescent="0.3">
      <c r="A15">
        <f t="shared" si="0"/>
        <v>11</v>
      </c>
      <c r="B15">
        <f>[1]!ACF('ASTM 4430-00'!$F$8:$F$36,A15)</f>
        <v>-6.0689655172095382E-2</v>
      </c>
      <c r="C15">
        <f t="shared" si="1"/>
        <v>-0.69739529774075293</v>
      </c>
      <c r="D15">
        <f>_xlfn.NORM.S.INV(1-$D$1/2)*SQRT((1+2*SUMSQ(B$5:B14))/COUNT('ASTM 4430-00'!$F$8:$F$36))</f>
        <v>0.69739529774075293</v>
      </c>
    </row>
    <row r="16" spans="1:4" x14ac:dyDescent="0.3">
      <c r="A16">
        <f t="shared" si="0"/>
        <v>12</v>
      </c>
      <c r="B16">
        <f>[1]!ACF('ASTM 4430-00'!$F$8:$F$36,A16)</f>
        <v>-6.6206896551496669E-2</v>
      </c>
      <c r="C16">
        <f t="shared" si="1"/>
        <v>-0.69860258533242015</v>
      </c>
      <c r="D16">
        <f>_xlfn.NORM.S.INV(1-$D$1/2)*SQRT((1+2*SUMSQ(B$5:B15))/COUNT('ASTM 4430-00'!$F$8:$F$36))</f>
        <v>0.69860258533242015</v>
      </c>
    </row>
    <row r="17" spans="1:4" x14ac:dyDescent="0.3">
      <c r="A17">
        <f t="shared" si="0"/>
        <v>13</v>
      </c>
      <c r="B17">
        <f>[1]!ACF('ASTM 4430-00'!$F$8:$F$36,A17)</f>
        <v>-7.1724137930897949E-2</v>
      </c>
      <c r="C17">
        <f t="shared" si="1"/>
        <v>-0.70003664398190812</v>
      </c>
      <c r="D17">
        <f>_xlfn.NORM.S.INV(1-$D$1/2)*SQRT((1+2*SUMSQ(B$5:B16))/COUNT('ASTM 4430-00'!$F$8:$F$36))</f>
        <v>0.70003664398190812</v>
      </c>
    </row>
    <row r="18" spans="1:4" x14ac:dyDescent="0.3">
      <c r="A18">
        <f t="shared" si="0"/>
        <v>14</v>
      </c>
      <c r="B18">
        <f>[1]!ACF('ASTM 4430-00'!$F$8:$F$36,A18)</f>
        <v>-7.7241379310299244E-2</v>
      </c>
      <c r="C18">
        <f t="shared" si="1"/>
        <v>-0.70171593307724212</v>
      </c>
      <c r="D18">
        <f>_xlfn.NORM.S.INV(1-$D$1/2)*SQRT((1+2*SUMSQ(B$5:B17))/COUNT('ASTM 4430-00'!$F$8:$F$36))</f>
        <v>0.70171593307724212</v>
      </c>
    </row>
    <row r="19" spans="1:4" x14ac:dyDescent="0.3">
      <c r="A19">
        <f t="shared" si="0"/>
        <v>15</v>
      </c>
      <c r="B19">
        <f>[1]!ACF('ASTM 4430-00'!$F$8:$F$36,A19)</f>
        <v>-8.2758620689700524E-2</v>
      </c>
      <c r="C19">
        <f t="shared" si="1"/>
        <v>-0.70365849178048923</v>
      </c>
      <c r="D19">
        <f>_xlfn.NORM.S.INV(1-$D$1/2)*SQRT((1+2*SUMSQ(B$5:B18))/COUNT('ASTM 4430-00'!$F$8:$F$36))</f>
        <v>0.70365849178048923</v>
      </c>
    </row>
    <row r="20" spans="1:4" x14ac:dyDescent="0.3">
      <c r="A20">
        <f t="shared" si="0"/>
        <v>16</v>
      </c>
      <c r="B20">
        <f>[1]!ACF('ASTM 4430-00'!$F$8:$F$36,A20)</f>
        <v>-8.8275862069101804E-2</v>
      </c>
      <c r="C20">
        <f t="shared" si="1"/>
        <v>-0.70588187910517619</v>
      </c>
      <c r="D20">
        <f>_xlfn.NORM.S.INV(1-$D$1/2)*SQRT((1+2*SUMSQ(B$5:B19))/COUNT('ASTM 4430-00'!$F$8:$F$36))</f>
        <v>0.70588187910517619</v>
      </c>
    </row>
    <row r="21" spans="1:4" x14ac:dyDescent="0.3">
      <c r="A21">
        <f t="shared" si="0"/>
        <v>17</v>
      </c>
      <c r="B21">
        <f>[1]!ACF('ASTM 4430-00'!$F$8:$F$36,A21)</f>
        <v>-9.3793103448503098E-2</v>
      </c>
      <c r="C21">
        <f t="shared" si="1"/>
        <v>-0.70840311312688764</v>
      </c>
      <c r="D21">
        <f>_xlfn.NORM.S.INV(1-$D$1/2)*SQRT((1+2*SUMSQ(B$5:B20))/COUNT('ASTM 4430-00'!$F$8:$F$36))</f>
        <v>0.70840311312688764</v>
      </c>
    </row>
    <row r="22" spans="1:4" x14ac:dyDescent="0.3">
      <c r="A22">
        <f t="shared" si="0"/>
        <v>18</v>
      </c>
      <c r="B22">
        <f>[1]!ACF('ASTM 4430-00'!$F$8:$F$36,A22)</f>
        <v>-9.9310344827904379E-2</v>
      </c>
      <c r="C22">
        <f t="shared" si="1"/>
        <v>-0.7112386102721393</v>
      </c>
      <c r="D22">
        <f>_xlfn.NORM.S.INV(1-$D$1/2)*SQRT((1+2*SUMSQ(B$5:B21))/COUNT('ASTM 4430-00'!$F$8:$F$36))</f>
        <v>0.7112386102721393</v>
      </c>
    </row>
    <row r="23" spans="1:4" x14ac:dyDescent="0.3">
      <c r="A23">
        <f t="shared" si="0"/>
        <v>19</v>
      </c>
      <c r="B23">
        <f>[1]!ACF('ASTM 4430-00'!$F$8:$F$36,A23)</f>
        <v>-0.10482758620730566</v>
      </c>
      <c r="C23">
        <f t="shared" si="1"/>
        <v>-0.71440412567510048</v>
      </c>
      <c r="D23">
        <f>_xlfn.NORM.S.INV(1-$D$1/2)*SQRT((1+2*SUMSQ(B$5:B22))/COUNT('ASTM 4430-00'!$F$8:$F$36))</f>
        <v>0.71440412567510048</v>
      </c>
    </row>
    <row r="24" spans="1:4" x14ac:dyDescent="0.3">
      <c r="A24">
        <f t="shared" si="0"/>
        <v>20</v>
      </c>
      <c r="B24">
        <f>[1]!ACF('ASTM 4430-00'!$F$8:$F$36,A24)</f>
        <v>-0.11034482758670695</v>
      </c>
      <c r="C24">
        <f t="shared" si="1"/>
        <v>-0.71791469561345866</v>
      </c>
      <c r="D24">
        <f>_xlfn.NORM.S.INV(1-$D$1/2)*SQRT((1+2*SUMSQ(B$5:B23))/COUNT('ASTM 4430-00'!$F$8:$F$36))</f>
        <v>0.71791469561345866</v>
      </c>
    </row>
    <row r="25" spans="1:4" x14ac:dyDescent="0.3">
      <c r="A25">
        <f t="shared" si="0"/>
        <v>21</v>
      </c>
      <c r="B25">
        <f>[1]!ACF('ASTM 4430-00'!$F$8:$F$36,A25)</f>
        <v>-0.11586206896610823</v>
      </c>
      <c r="C25">
        <f t="shared" si="1"/>
        <v>-0.72178458303079684</v>
      </c>
      <c r="D25">
        <f>_xlfn.NORM.S.INV(1-$D$1/2)*SQRT((1+2*SUMSQ(B$5:B24))/COUNT('ASTM 4430-00'!$F$8:$F$36))</f>
        <v>0.72178458303079684</v>
      </c>
    </row>
    <row r="26" spans="1:4" x14ac:dyDescent="0.3">
      <c r="A26">
        <f t="shared" si="0"/>
        <v>22</v>
      </c>
      <c r="B26">
        <f>[1]!ACF('ASTM 4430-00'!$F$8:$F$36,A26)</f>
        <v>-0.12137931034550951</v>
      </c>
      <c r="C26">
        <f t="shared" si="1"/>
        <v>-0.72602722712151091</v>
      </c>
      <c r="D26">
        <f>_xlfn.NORM.S.INV(1-$D$1/2)*SQRT((1+2*SUMSQ(B$5:B25))/COUNT('ASTM 4430-00'!$F$8:$F$36))</f>
        <v>0.72602722712151091</v>
      </c>
    </row>
    <row r="27" spans="1:4" x14ac:dyDescent="0.3">
      <c r="A27">
        <f t="shared" si="0"/>
        <v>23</v>
      </c>
      <c r="B27">
        <f>[1]!ACF('ASTM 4430-00'!$F$8:$F$36,A27)</f>
        <v>-0.12689655172491079</v>
      </c>
      <c r="C27">
        <f t="shared" si="1"/>
        <v>-0.7306551978948812</v>
      </c>
      <c r="D27">
        <f>_xlfn.NORM.S.INV(1-$D$1/2)*SQRT((1+2*SUMSQ(B$5:B26))/COUNT('ASTM 4430-00'!$F$8:$F$36))</f>
        <v>0.7306551978948812</v>
      </c>
    </row>
    <row r="28" spans="1:4" x14ac:dyDescent="0.3">
      <c r="A28">
        <f t="shared" si="0"/>
        <v>24</v>
      </c>
      <c r="B28">
        <f>[1]!ACF('ASTM 4430-00'!$F$8:$F$36,A28)</f>
        <v>-0.13241379310431209</v>
      </c>
      <c r="C28">
        <f t="shared" si="1"/>
        <v>-0.73568015654816432</v>
      </c>
      <c r="D28">
        <f>_xlfn.NORM.S.INV(1-$D$1/2)*SQRT((1+2*SUMSQ(B$5:B27))/COUNT('ASTM 4430-00'!$F$8:$F$36))</f>
        <v>0.73568015654816432</v>
      </c>
    </row>
    <row r="29" spans="1:4" x14ac:dyDescent="0.3">
      <c r="A29">
        <f t="shared" si="0"/>
        <v>25</v>
      </c>
      <c r="B29">
        <f>[1]!ACF('ASTM 4430-00'!$F$8:$F$36,A29)</f>
        <v>-9.793103448338375E-2</v>
      </c>
      <c r="C29">
        <f t="shared" si="1"/>
        <v>-0.74111282236656617</v>
      </c>
      <c r="D29">
        <f>_xlfn.NORM.S.INV(1-$D$1/2)*SQRT((1+2*SUMSQ(B$5:B28))/COUNT('ASTM 4430-00'!$F$8:$F$36))</f>
        <v>0.74111282236656617</v>
      </c>
    </row>
    <row r="30" spans="1:4" x14ac:dyDescent="0.3">
      <c r="A30">
        <f t="shared" si="0"/>
        <v>26</v>
      </c>
      <c r="B30">
        <f>[1]!ACF('ASTM 4430-00'!$F$8:$F$36,A30)</f>
        <v>-0.10344827586278503</v>
      </c>
      <c r="C30">
        <f t="shared" si="1"/>
        <v>-0.74406761916574937</v>
      </c>
      <c r="D30">
        <f>_xlfn.NORM.S.INV(1-$D$1/2)*SQRT((1+2*SUMSQ(B$5:B29))/COUNT('ASTM 4430-00'!$F$8:$F$36))</f>
        <v>0.74406761916574937</v>
      </c>
    </row>
    <row r="31" spans="1:4" x14ac:dyDescent="0.3">
      <c r="A31">
        <f t="shared" si="0"/>
        <v>27</v>
      </c>
      <c r="B31">
        <f>[1]!ACF('ASTM 4430-00'!$F$8:$F$36,A31)</f>
        <v>-6.8965517241856691E-2</v>
      </c>
      <c r="C31">
        <f t="shared" si="1"/>
        <v>-0.74735093852860246</v>
      </c>
      <c r="D31">
        <f>_xlfn.NORM.S.INV(1-$D$1/2)*SQRT((1+2*SUMSQ(B$5:B30))/COUNT('ASTM 4430-00'!$F$8:$F$36))</f>
        <v>0.74735093852860246</v>
      </c>
    </row>
    <row r="32" spans="1:4" x14ac:dyDescent="0.3">
      <c r="A32" s="39">
        <f t="shared" si="0"/>
        <v>28</v>
      </c>
      <c r="B32" s="39">
        <f>[1]!ACF('ASTM 4430-00'!$F$8:$F$36,A32)</f>
        <v>-3.4482758620928346E-2</v>
      </c>
      <c r="C32" s="39">
        <f t="shared" si="1"/>
        <v>-0.74880557049140528</v>
      </c>
      <c r="D32" s="39">
        <f>_xlfn.NORM.S.INV(1-$D$1/2)*SQRT((1+2*SUMSQ(B$5:B31))/COUNT('ASTM 4430-00'!$F$8:$F$36))</f>
        <v>0.74880557049140528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Q l M j T 8 s 0 f s K o A A A A + A A A A B I A H A B D b 2 5 m a W c v U G F j a 2 F n Z S 5 4 b W w g o h g A K K A U A A A A A A A A A A A A A A A A A A A A A A A A A A A A h Y / R C o I w G I V f R X b v N p d W y O + E u k 2 I g u h 2 2 N K R T n G z + W 5 d 9 E i 9 Q k J Z 3 X V 5 D t + B 7 z x u d 0 i H u v K u s j O q 0 Q k K M E W e 1 H l z U r p I U G / P / h K l H L Y i v 4 h C e i O s T T w Y l a D S 2 j Y m x D m H 3 Q w 3 X U E Y p Q E 5 Z p t 9 X s p a + E o b K 3 Q u 0 W d 1 + r 9 C H A 4 v G c 7 w g u E o i u Y 4 D A M g U w 2 Z 0 l + E j c a Y A v k p Y d 1 X t u 8 k b 6 2 / 2 g G Z I p D 3 C / 4 E U E s D B B Q A A g A I A E J T I 0 8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C U y N P K I p H u A 4 A A A A R A A A A E w A c A E Z v c m 1 1 b G F z L 1 N l Y 3 R p b 2 4 x L m 0 g o h g A K K A U A A A A A A A A A A A A A A A A A A A A A A A A A A A A K 0 5 N L s n M z 1 M I h t C G 1 g B Q S w E C L Q A U A A I A C A B C U y N P y z R + w q g A A A D 4 A A A A E g A A A A A A A A A A A A A A A A A A A A A A Q 2 9 u Z m l n L 1 B h Y 2 t h Z 2 U u e G 1 s U E s B A i 0 A F A A C A A g A Q l M j T w / K 6 a u k A A A A 6 Q A A A B M A A A A A A A A A A A A A A A A A 9 A A A A F t D b 2 5 0 Z W 5 0 X 1 R 5 c G V z X S 5 4 b W x Q S w E C L Q A U A A I A C A B C U y N P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7 Y p l X 0 X d o k + S W D g I H S z 4 n g A A A A A C A A A A A A A Q Z g A A A A E A A C A A A A A K z q 2 O 5 7 s V U q 7 d Y 3 w z a 7 d k 9 5 m d H T c T D x 5 d 3 7 W b 7 h A 4 x g A A A A A O g A A A A A I A A C A A A A A N z M 3 W T 3 N 9 h J c l Z j u k 5 r + s p t 1 h l O B a K r 8 F M T J K S Y M k Z 1 A A A A D V 7 u S 9 8 i A J J Z S K x p S j i / X D C i H F A k f m a J 5 d / T 3 k S d z J P / j C A C p 7 Q j S i r x b h R x P y W 3 7 5 y o 5 1 v e / A w E 3 6 8 2 c s 5 k V k X J m u p V R G X g L 5 I P e A I J N K 2 k A A A A A e L U Y l D W P H s + 6 Z 4 b Q 2 I 2 3 j 5 U S B A 5 h r 9 W C M t 7 N X Q R 8 Q S G V b 7 r 1 H b a a P C L k O g H E y k e 4 P O G P h S v h C m N r V k n m k q j 7 U < / D a t a M a s h u p > 
</file>

<file path=customXml/itemProps1.xml><?xml version="1.0" encoding="utf-8"?>
<ds:datastoreItem xmlns:ds="http://schemas.openxmlformats.org/officeDocument/2006/customXml" ds:itemID="{E6029264-4DAA-4938-991E-03E472AB677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11</vt:i4>
      </vt:variant>
    </vt:vector>
  </HeadingPairs>
  <TitlesOfParts>
    <vt:vector size="15" baseType="lpstr">
      <vt:lpstr>Datos</vt:lpstr>
      <vt:lpstr>ASTM 4430-00</vt:lpstr>
      <vt:lpstr>Auto correlación patrón</vt:lpstr>
      <vt:lpstr>Auto correlación objeto</vt:lpstr>
      <vt:lpstr>C_</vt:lpstr>
      <vt:lpstr>'ASTM 4430-00'!d</vt:lpstr>
      <vt:lpstr>'ASTM 4430-00'!di</vt:lpstr>
      <vt:lpstr>'ASTM 4430-00'!Ki</vt:lpstr>
      <vt:lpstr>'ASTM 4430-00'!Mi</vt:lpstr>
      <vt:lpstr>'ASTM 4430-00'!N</vt:lpstr>
      <vt:lpstr>'ASTM 4430-00'!r_</vt:lpstr>
      <vt:lpstr>s</vt:lpstr>
      <vt:lpstr>'ASTM 4430-00'!u</vt:lpstr>
      <vt:lpstr>'ASTM 4430-00'!Xai</vt:lpstr>
      <vt:lpstr>'ASTM 4430-00'!Xbi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Usuario;ricardo.kalid@gmail.com;kalid@ufsb.edu.br</dc:creator>
  <cp:lastModifiedBy>Ricardo de Araújo Kalid</cp:lastModifiedBy>
  <dcterms:created xsi:type="dcterms:W3CDTF">2015-06-05T18:19:34Z</dcterms:created>
  <dcterms:modified xsi:type="dcterms:W3CDTF">2019-11-06T15:18:20Z</dcterms:modified>
</cp:coreProperties>
</file>