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vin\Desktop\"/>
    </mc:Choice>
  </mc:AlternateContent>
  <xr:revisionPtr revIDLastSave="0" documentId="13_ncr:1_{AF4A7439-94FB-45AB-A5BD-ABF386EA2DE1}" xr6:coauthVersionLast="45" xr6:coauthVersionMax="45" xr10:uidLastSave="{00000000-0000-0000-0000-000000000000}"/>
  <bookViews>
    <workbookView xWindow="-120" yWindow="-120" windowWidth="20730" windowHeight="11160" tabRatio="761" activeTab="6" xr2:uid="{C72BEFC2-EB9D-435A-B9E6-20EF57C3942E}"/>
  </bookViews>
  <sheets>
    <sheet name="D.fari" sheetId="4" r:id="rId1"/>
    <sheet name="D.gnoma" sheetId="5" r:id="rId2"/>
    <sheet name="D.pach" sheetId="2" r:id="rId3"/>
    <sheet name="D.stol" sheetId="3" r:id="rId4"/>
    <sheet name="D. trask" sheetId="1" r:id="rId5"/>
    <sheet name="IV vs EV Seed" sheetId="6" r:id="rId6"/>
    <sheet name="Survival.v.Mortality" sheetId="9" r:id="rId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4" l="1"/>
  <c r="F32" i="3" l="1"/>
  <c r="M75" i="3" l="1"/>
  <c r="M43" i="3"/>
  <c r="M15" i="3"/>
  <c r="M2" i="3"/>
  <c r="Y107" i="2"/>
  <c r="Y60" i="2"/>
  <c r="Y18" i="2"/>
  <c r="Y2" i="2"/>
  <c r="M107" i="2"/>
  <c r="S107" i="2"/>
  <c r="S60" i="2"/>
  <c r="S18" i="2"/>
  <c r="S2" i="2"/>
  <c r="M60" i="2"/>
  <c r="M18" i="2"/>
  <c r="M2" i="2"/>
  <c r="G38" i="2"/>
  <c r="G28" i="2"/>
  <c r="G18" i="2"/>
  <c r="G2" i="2"/>
  <c r="M113" i="5"/>
  <c r="M91" i="5"/>
  <c r="M70" i="5"/>
  <c r="M52" i="5"/>
  <c r="M37" i="5"/>
  <c r="M12" i="5"/>
  <c r="M2" i="5"/>
  <c r="F35" i="5"/>
  <c r="G52" i="5"/>
  <c r="F52" i="5"/>
  <c r="G35" i="5"/>
  <c r="G16" i="5"/>
  <c r="G2" i="5"/>
  <c r="M19" i="5"/>
  <c r="V2" i="4"/>
  <c r="K76" i="4"/>
  <c r="K103" i="4"/>
  <c r="K101" i="4"/>
  <c r="K96" i="4"/>
  <c r="K67" i="4"/>
  <c r="K65" i="4"/>
  <c r="K85" i="4"/>
  <c r="K87" i="4"/>
  <c r="K97" i="4"/>
  <c r="K95" i="4"/>
  <c r="K91" i="4"/>
  <c r="K54" i="4"/>
  <c r="K53" i="4"/>
  <c r="K50" i="4"/>
  <c r="K48" i="4"/>
  <c r="K77" i="4"/>
  <c r="K75" i="4"/>
  <c r="K74" i="4"/>
  <c r="O47" i="4" l="1"/>
  <c r="M47" i="4"/>
  <c r="D12" i="9" l="1"/>
  <c r="D38" i="2"/>
  <c r="C38" i="2" l="1"/>
  <c r="C28" i="2"/>
  <c r="C18" i="2"/>
  <c r="C2" i="2"/>
  <c r="D14" i="9" l="1"/>
  <c r="D52" i="5"/>
  <c r="D129" i="4"/>
  <c r="AC132" i="4"/>
  <c r="AB132" i="4"/>
  <c r="AC89" i="4"/>
  <c r="AB89" i="4"/>
  <c r="AC47" i="4"/>
  <c r="AB47" i="4"/>
  <c r="AC2" i="4"/>
  <c r="AB2" i="4"/>
  <c r="U2" i="4"/>
  <c r="V47" i="4"/>
  <c r="U47" i="4"/>
  <c r="V89" i="4"/>
  <c r="U89" i="4"/>
  <c r="V132" i="4"/>
  <c r="U132" i="4"/>
  <c r="O132" i="4"/>
  <c r="N132" i="4"/>
  <c r="O89" i="4"/>
  <c r="N89" i="4"/>
  <c r="N47" i="4"/>
  <c r="N2" i="4"/>
  <c r="O2" i="4"/>
  <c r="G47" i="4"/>
  <c r="H47" i="4"/>
  <c r="G89" i="4"/>
  <c r="H89" i="4"/>
  <c r="G129" i="4"/>
  <c r="H129" i="4"/>
  <c r="G2" i="4"/>
  <c r="H2" i="4"/>
  <c r="AD26" i="1" l="1"/>
  <c r="AE26" i="1"/>
  <c r="AE44" i="1"/>
  <c r="AE11" i="1"/>
  <c r="W44" i="1"/>
  <c r="W26" i="1"/>
  <c r="W11" i="1"/>
  <c r="O44" i="1"/>
  <c r="O26" i="1"/>
  <c r="H59" i="1"/>
  <c r="H44" i="1"/>
  <c r="H26" i="1"/>
  <c r="O11" i="1"/>
  <c r="O2" i="1"/>
  <c r="H2" i="1"/>
  <c r="Q60" i="2"/>
  <c r="E13" i="9" l="1"/>
  <c r="E9" i="9"/>
  <c r="E6" i="9"/>
  <c r="E2" i="9"/>
  <c r="K113" i="5" l="1"/>
  <c r="K91" i="5"/>
  <c r="K70" i="5"/>
  <c r="K52" i="5"/>
  <c r="K37" i="5"/>
  <c r="K19" i="5"/>
  <c r="K12" i="5"/>
  <c r="K2" i="5"/>
  <c r="L2" i="2"/>
  <c r="F44" i="1" l="1"/>
  <c r="F59" i="1"/>
  <c r="D59" i="1"/>
  <c r="D44" i="1"/>
  <c r="D26" i="1"/>
  <c r="D30" i="3"/>
  <c r="D22" i="3"/>
  <c r="D11" i="3"/>
  <c r="D9" i="6"/>
  <c r="D2" i="6"/>
  <c r="D8" i="6"/>
  <c r="E52" i="5"/>
  <c r="E35" i="5"/>
  <c r="E5" i="6"/>
  <c r="F5" i="6" s="1"/>
  <c r="D5" i="6"/>
  <c r="C89" i="4"/>
  <c r="E129" i="4"/>
  <c r="C129" i="4"/>
  <c r="C47" i="4"/>
  <c r="C52" i="5" l="1"/>
  <c r="C35" i="5"/>
  <c r="C16" i="5"/>
  <c r="W107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Q107" i="2"/>
  <c r="P128" i="2"/>
  <c r="P126" i="2"/>
  <c r="P127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K107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Y159" i="4"/>
  <c r="Y158" i="4"/>
  <c r="Y157" i="4"/>
  <c r="Y155" i="4"/>
  <c r="Y153" i="4"/>
  <c r="Y151" i="4"/>
  <c r="Y150" i="4"/>
  <c r="Y148" i="4"/>
  <c r="Y147" i="4"/>
  <c r="Y146" i="4"/>
  <c r="Y145" i="4"/>
  <c r="Y141" i="4"/>
  <c r="Y139" i="4"/>
  <c r="Y135" i="4"/>
  <c r="Y134" i="4"/>
  <c r="Y143" i="4"/>
  <c r="Y160" i="4"/>
  <c r="Z132" i="4"/>
  <c r="Y161" i="4"/>
  <c r="Y156" i="4"/>
  <c r="Y154" i="4"/>
  <c r="Y152" i="4"/>
  <c r="Y149" i="4"/>
  <c r="Y144" i="4"/>
  <c r="Y142" i="4"/>
  <c r="Y140" i="4"/>
  <c r="Y138" i="4"/>
  <c r="Y137" i="4"/>
  <c r="Y136" i="4"/>
  <c r="Y133" i="4"/>
  <c r="S132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3" i="4"/>
  <c r="R134" i="4"/>
  <c r="L132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X107" i="2" l="1"/>
  <c r="L107" i="2"/>
  <c r="R107" i="2"/>
  <c r="T132" i="4"/>
  <c r="M132" i="4"/>
  <c r="AA132" i="4"/>
  <c r="AA54" i="1"/>
  <c r="AD44" i="1"/>
  <c r="AC44" i="1"/>
  <c r="AA53" i="1"/>
  <c r="AA52" i="1"/>
  <c r="AA51" i="1"/>
  <c r="AA50" i="1"/>
  <c r="AA49" i="1"/>
  <c r="AA48" i="1"/>
  <c r="AA47" i="1"/>
  <c r="AA46" i="1"/>
  <c r="AA45" i="1"/>
  <c r="U44" i="1"/>
  <c r="S58" i="1"/>
  <c r="S57" i="1"/>
  <c r="S56" i="1"/>
  <c r="S55" i="1"/>
  <c r="S54" i="1"/>
  <c r="S53" i="1"/>
  <c r="V44" i="1" s="1"/>
  <c r="S52" i="1"/>
  <c r="S51" i="1"/>
  <c r="S50" i="1"/>
  <c r="S49" i="1"/>
  <c r="S48" i="1"/>
  <c r="S47" i="1"/>
  <c r="S46" i="1"/>
  <c r="S45" i="1"/>
  <c r="N44" i="1"/>
  <c r="M44" i="1"/>
  <c r="K54" i="1"/>
  <c r="K53" i="1"/>
  <c r="K52" i="1"/>
  <c r="K51" i="1"/>
  <c r="K50" i="1"/>
  <c r="K49" i="1"/>
  <c r="K48" i="1"/>
  <c r="K47" i="1"/>
  <c r="K46" i="1"/>
  <c r="K45" i="1"/>
  <c r="K75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J136" i="5"/>
  <c r="J128" i="5"/>
  <c r="J125" i="5"/>
  <c r="J122" i="5"/>
  <c r="J124" i="5"/>
  <c r="J82" i="5"/>
  <c r="J83" i="5"/>
  <c r="J89" i="5"/>
  <c r="J81" i="5"/>
  <c r="J123" i="5"/>
  <c r="J121" i="5"/>
  <c r="J116" i="5"/>
  <c r="J114" i="5"/>
  <c r="J71" i="5"/>
  <c r="J73" i="5"/>
  <c r="J76" i="5"/>
  <c r="J57" i="5"/>
  <c r="J61" i="5"/>
  <c r="J65" i="5"/>
  <c r="J58" i="5"/>
  <c r="J54" i="5"/>
  <c r="J53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138" i="5"/>
  <c r="J137" i="5"/>
  <c r="J135" i="5"/>
  <c r="J134" i="5"/>
  <c r="J133" i="5"/>
  <c r="J132" i="5"/>
  <c r="J131" i="5"/>
  <c r="J130" i="5"/>
  <c r="J129" i="5"/>
  <c r="J127" i="5"/>
  <c r="J126" i="5"/>
  <c r="J120" i="5"/>
  <c r="J119" i="5"/>
  <c r="J118" i="5"/>
  <c r="J117" i="5"/>
  <c r="J115" i="5"/>
  <c r="V30" i="2"/>
  <c r="V26" i="2"/>
  <c r="V78" i="2"/>
  <c r="V27" i="2"/>
  <c r="V54" i="2"/>
  <c r="V55" i="2"/>
  <c r="V51" i="2"/>
  <c r="V56" i="2"/>
  <c r="V46" i="2"/>
  <c r="V45" i="2"/>
  <c r="V48" i="2"/>
  <c r="V42" i="2"/>
  <c r="V25" i="2"/>
  <c r="V20" i="2"/>
  <c r="V19" i="2"/>
  <c r="V44" i="2"/>
  <c r="V41" i="2"/>
  <c r="V40" i="2"/>
  <c r="N26" i="1"/>
  <c r="M26" i="1"/>
  <c r="AC26" i="1"/>
  <c r="V26" i="1"/>
  <c r="U26" i="1"/>
  <c r="V3" i="1"/>
  <c r="U3" i="1"/>
  <c r="V2" i="1"/>
  <c r="U2" i="1"/>
  <c r="AA32" i="1"/>
  <c r="AA31" i="1"/>
  <c r="AA30" i="1"/>
  <c r="AA29" i="1"/>
  <c r="AA28" i="1"/>
  <c r="AA27" i="1"/>
  <c r="K35" i="1"/>
  <c r="K34" i="1"/>
  <c r="K33" i="1"/>
  <c r="K32" i="1"/>
  <c r="K31" i="1"/>
  <c r="K30" i="1"/>
  <c r="K29" i="1"/>
  <c r="K28" i="1"/>
  <c r="K27" i="1"/>
  <c r="S36" i="1"/>
  <c r="S35" i="1"/>
  <c r="S34" i="1"/>
  <c r="S33" i="1"/>
  <c r="S32" i="1"/>
  <c r="S31" i="1"/>
  <c r="S30" i="1"/>
  <c r="S29" i="1"/>
  <c r="S28" i="1"/>
  <c r="S27" i="1"/>
  <c r="W60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P74" i="2"/>
  <c r="P31" i="2"/>
  <c r="P28" i="2"/>
  <c r="P25" i="2"/>
  <c r="P22" i="2"/>
  <c r="P73" i="2"/>
  <c r="P72" i="2"/>
  <c r="P71" i="2"/>
  <c r="P70" i="2"/>
  <c r="P68" i="2"/>
  <c r="P67" i="2"/>
  <c r="P66" i="2"/>
  <c r="P65" i="2"/>
  <c r="P64" i="2"/>
  <c r="P63" i="2"/>
  <c r="P62" i="2"/>
  <c r="P61" i="2"/>
  <c r="P21" i="2"/>
  <c r="K60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K43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Z89" i="4"/>
  <c r="S89" i="4"/>
  <c r="L89" i="4"/>
  <c r="Y118" i="4"/>
  <c r="Y117" i="4"/>
  <c r="Y116" i="4"/>
  <c r="Y115" i="4"/>
  <c r="Y114" i="4"/>
  <c r="Y113" i="4"/>
  <c r="Y112" i="4"/>
  <c r="Y111" i="4"/>
  <c r="Y110" i="4"/>
  <c r="Y109" i="4"/>
  <c r="Y108" i="4"/>
  <c r="Y107" i="4"/>
  <c r="Y106" i="4"/>
  <c r="Y105" i="4"/>
  <c r="Y104" i="4"/>
  <c r="Y103" i="4"/>
  <c r="Y102" i="4"/>
  <c r="Y101" i="4"/>
  <c r="Y100" i="4"/>
  <c r="Y99" i="4"/>
  <c r="Y98" i="4"/>
  <c r="Y96" i="4"/>
  <c r="Y97" i="4"/>
  <c r="Y95" i="4"/>
  <c r="Y94" i="4"/>
  <c r="Y93" i="4"/>
  <c r="Y92" i="4"/>
  <c r="Y91" i="4"/>
  <c r="Y90" i="4"/>
  <c r="L43" i="3" l="1"/>
  <c r="L75" i="3"/>
  <c r="X60" i="2"/>
  <c r="L60" i="2"/>
  <c r="R60" i="2"/>
  <c r="L91" i="5"/>
  <c r="AA89" i="4"/>
  <c r="L113" i="5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K129" i="4"/>
  <c r="K128" i="4"/>
  <c r="K93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2" i="4"/>
  <c r="K100" i="4"/>
  <c r="K99" i="4"/>
  <c r="K98" i="4"/>
  <c r="K94" i="4"/>
  <c r="K92" i="4"/>
  <c r="K90" i="4"/>
  <c r="T89" i="4" l="1"/>
  <c r="M89" i="4"/>
  <c r="J69" i="5"/>
  <c r="J68" i="5"/>
  <c r="J67" i="5"/>
  <c r="J66" i="5"/>
  <c r="J64" i="5"/>
  <c r="J63" i="5"/>
  <c r="J62" i="5"/>
  <c r="J60" i="5"/>
  <c r="J59" i="5"/>
  <c r="J56" i="5"/>
  <c r="J55" i="5"/>
  <c r="J88" i="5"/>
  <c r="J87" i="5"/>
  <c r="J86" i="5"/>
  <c r="J85" i="5"/>
  <c r="J84" i="5"/>
  <c r="J80" i="5"/>
  <c r="J79" i="5"/>
  <c r="J78" i="5"/>
  <c r="J77" i="5"/>
  <c r="J75" i="5"/>
  <c r="J74" i="5"/>
  <c r="J72" i="5"/>
  <c r="L70" i="5" l="1"/>
  <c r="L52" i="5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K15" i="3"/>
  <c r="J48" i="5"/>
  <c r="J47" i="5"/>
  <c r="J46" i="5"/>
  <c r="J45" i="5"/>
  <c r="J44" i="5"/>
  <c r="J43" i="5"/>
  <c r="J42" i="5"/>
  <c r="J41" i="5"/>
  <c r="J40" i="5"/>
  <c r="J39" i="5"/>
  <c r="J38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Y53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2" i="4"/>
  <c r="Y51" i="4"/>
  <c r="Y50" i="4"/>
  <c r="Y49" i="4"/>
  <c r="Y48" i="4"/>
  <c r="AA47" i="4" s="1"/>
  <c r="Z47" i="4"/>
  <c r="S47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E89" i="4"/>
  <c r="L47" i="4"/>
  <c r="K86" i="4"/>
  <c r="K84" i="4"/>
  <c r="K83" i="4"/>
  <c r="K82" i="4"/>
  <c r="K81" i="4"/>
  <c r="K80" i="4"/>
  <c r="K79" i="4"/>
  <c r="K78" i="4"/>
  <c r="K73" i="4"/>
  <c r="K72" i="4"/>
  <c r="K71" i="4"/>
  <c r="K70" i="4"/>
  <c r="K69" i="4"/>
  <c r="K68" i="4"/>
  <c r="K64" i="4"/>
  <c r="K63" i="4"/>
  <c r="K66" i="4"/>
  <c r="K62" i="4"/>
  <c r="K61" i="4"/>
  <c r="K60" i="4"/>
  <c r="K59" i="4"/>
  <c r="K58" i="4"/>
  <c r="K57" i="4"/>
  <c r="K56" i="4"/>
  <c r="K55" i="4"/>
  <c r="K52" i="4"/>
  <c r="K51" i="4"/>
  <c r="K49" i="4"/>
  <c r="L2" i="4"/>
  <c r="W18" i="2"/>
  <c r="V57" i="2"/>
  <c r="V53" i="2"/>
  <c r="V52" i="2"/>
  <c r="V50" i="2"/>
  <c r="V49" i="2"/>
  <c r="V47" i="2"/>
  <c r="V43" i="2"/>
  <c r="V39" i="2"/>
  <c r="V38" i="2"/>
  <c r="V37" i="2"/>
  <c r="V36" i="2"/>
  <c r="V35" i="2"/>
  <c r="V34" i="2"/>
  <c r="V33" i="2"/>
  <c r="V32" i="2"/>
  <c r="V31" i="2"/>
  <c r="V29" i="2"/>
  <c r="V28" i="2"/>
  <c r="V24" i="2"/>
  <c r="V23" i="2"/>
  <c r="V22" i="2"/>
  <c r="V21" i="2"/>
  <c r="P30" i="2"/>
  <c r="P29" i="2"/>
  <c r="P27" i="2"/>
  <c r="P26" i="2"/>
  <c r="P24" i="2"/>
  <c r="P23" i="2"/>
  <c r="P20" i="2"/>
  <c r="P19" i="2"/>
  <c r="Q18" i="2"/>
  <c r="K18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P6" i="2"/>
  <c r="P5" i="2"/>
  <c r="P4" i="2"/>
  <c r="P3" i="2"/>
  <c r="Q2" i="2"/>
  <c r="AD11" i="1"/>
  <c r="AC11" i="1"/>
  <c r="AA17" i="1"/>
  <c r="AA16" i="1"/>
  <c r="AA15" i="1"/>
  <c r="AA14" i="1"/>
  <c r="AA13" i="1"/>
  <c r="AA12" i="1"/>
  <c r="V11" i="1"/>
  <c r="U11" i="1"/>
  <c r="S20" i="1"/>
  <c r="S19" i="1"/>
  <c r="S18" i="1"/>
  <c r="S17" i="1"/>
  <c r="S16" i="1"/>
  <c r="S15" i="1"/>
  <c r="S14" i="1"/>
  <c r="S13" i="1"/>
  <c r="S12" i="1"/>
  <c r="M11" i="1"/>
  <c r="K19" i="1"/>
  <c r="K18" i="1"/>
  <c r="K17" i="1"/>
  <c r="K16" i="1"/>
  <c r="K15" i="1"/>
  <c r="K14" i="1"/>
  <c r="K13" i="1"/>
  <c r="K12" i="1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Y5" i="4"/>
  <c r="Y4" i="4"/>
  <c r="Y3" i="4"/>
  <c r="Z2" i="4"/>
  <c r="S2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R3" i="4"/>
  <c r="K21" i="4"/>
  <c r="K32" i="4"/>
  <c r="K31" i="4"/>
  <c r="K30" i="4"/>
  <c r="K29" i="4"/>
  <c r="K28" i="4"/>
  <c r="K27" i="4"/>
  <c r="K26" i="4"/>
  <c r="K25" i="4"/>
  <c r="K24" i="4"/>
  <c r="K23" i="4"/>
  <c r="K22" i="4"/>
  <c r="K20" i="4"/>
  <c r="I7" i="3"/>
  <c r="K2" i="3"/>
  <c r="I11" i="3"/>
  <c r="I12" i="3"/>
  <c r="I10" i="3"/>
  <c r="I9" i="3"/>
  <c r="I8" i="3"/>
  <c r="I6" i="3"/>
  <c r="I5" i="3"/>
  <c r="I4" i="3"/>
  <c r="I3" i="3"/>
  <c r="J16" i="5"/>
  <c r="J15" i="5"/>
  <c r="J14" i="5"/>
  <c r="J13" i="5"/>
  <c r="J10" i="5"/>
  <c r="J9" i="5"/>
  <c r="J8" i="5"/>
  <c r="J7" i="5"/>
  <c r="J6" i="5"/>
  <c r="J5" i="5"/>
  <c r="J4" i="5"/>
  <c r="J3" i="5"/>
  <c r="W2" i="2"/>
  <c r="V14" i="2"/>
  <c r="V13" i="2"/>
  <c r="V12" i="2"/>
  <c r="V11" i="2"/>
  <c r="V10" i="2"/>
  <c r="V9" i="2"/>
  <c r="V8" i="2"/>
  <c r="V7" i="2"/>
  <c r="V6" i="2"/>
  <c r="V5" i="2"/>
  <c r="V4" i="2"/>
  <c r="V3" i="2"/>
  <c r="K2" i="2"/>
  <c r="J9" i="2"/>
  <c r="J8" i="2"/>
  <c r="J7" i="2"/>
  <c r="J6" i="2"/>
  <c r="J5" i="2"/>
  <c r="J4" i="2"/>
  <c r="J3" i="2"/>
  <c r="N8" i="1"/>
  <c r="M8" i="1"/>
  <c r="N6" i="1"/>
  <c r="M6" i="1"/>
  <c r="L15" i="3" l="1"/>
  <c r="L2" i="3"/>
  <c r="R18" i="2"/>
  <c r="X2" i="2"/>
  <c r="L18" i="2"/>
  <c r="R2" i="2"/>
  <c r="T47" i="4"/>
  <c r="T2" i="4"/>
  <c r="AA2" i="4"/>
  <c r="L37" i="5"/>
  <c r="L12" i="5"/>
  <c r="L19" i="5"/>
  <c r="L2" i="5"/>
  <c r="N11" i="1"/>
  <c r="B165" i="4" l="1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F129" i="4" l="1"/>
  <c r="B68" i="1"/>
  <c r="B67" i="1"/>
  <c r="B66" i="1"/>
  <c r="B65" i="1"/>
  <c r="B64" i="1"/>
  <c r="B63" i="1"/>
  <c r="B62" i="1"/>
  <c r="B61" i="1"/>
  <c r="B60" i="1"/>
  <c r="B43" i="2"/>
  <c r="B42" i="2"/>
  <c r="B41" i="2"/>
  <c r="B40" i="2"/>
  <c r="B39" i="2"/>
  <c r="E38" i="2"/>
  <c r="B34" i="3"/>
  <c r="B33" i="3"/>
  <c r="B32" i="3"/>
  <c r="B31" i="3"/>
  <c r="B64" i="5"/>
  <c r="B63" i="5"/>
  <c r="B61" i="5"/>
  <c r="B60" i="5"/>
  <c r="B59" i="5"/>
  <c r="B62" i="5"/>
  <c r="B58" i="5"/>
  <c r="B57" i="5"/>
  <c r="B56" i="5"/>
  <c r="B55" i="5"/>
  <c r="B54" i="5"/>
  <c r="B53" i="5"/>
  <c r="E30" i="3" l="1"/>
  <c r="F30" i="3"/>
  <c r="F38" i="2"/>
  <c r="G59" i="1"/>
  <c r="K4" i="1"/>
  <c r="K3" i="1"/>
  <c r="N2" i="1" s="1"/>
  <c r="M2" i="1"/>
  <c r="K19" i="4" l="1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B125" i="4"/>
  <c r="B126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56" i="1"/>
  <c r="B55" i="1"/>
  <c r="B54" i="1"/>
  <c r="B53" i="1"/>
  <c r="B52" i="1"/>
  <c r="B51" i="1"/>
  <c r="B50" i="1"/>
  <c r="B49" i="1"/>
  <c r="B48" i="1"/>
  <c r="B47" i="1"/>
  <c r="B46" i="1"/>
  <c r="B45" i="1"/>
  <c r="B35" i="2"/>
  <c r="B34" i="2"/>
  <c r="B33" i="2"/>
  <c r="B32" i="2"/>
  <c r="B31" i="2"/>
  <c r="B30" i="2"/>
  <c r="B29" i="2"/>
  <c r="E28" i="2"/>
  <c r="B27" i="3"/>
  <c r="B26" i="3"/>
  <c r="B25" i="3"/>
  <c r="B24" i="3"/>
  <c r="B23" i="3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E47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19" i="3"/>
  <c r="B18" i="3"/>
  <c r="B17" i="3"/>
  <c r="B16" i="3"/>
  <c r="B15" i="3"/>
  <c r="B14" i="3"/>
  <c r="B13" i="3"/>
  <c r="B12" i="3"/>
  <c r="E18" i="2"/>
  <c r="B25" i="2"/>
  <c r="B24" i="2"/>
  <c r="B23" i="2"/>
  <c r="B22" i="2"/>
  <c r="B21" i="2"/>
  <c r="B20" i="2"/>
  <c r="B19" i="2"/>
  <c r="F26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C2" i="5"/>
  <c r="B13" i="5"/>
  <c r="B12" i="5"/>
  <c r="B11" i="5"/>
  <c r="B10" i="5"/>
  <c r="B6" i="5"/>
  <c r="B9" i="5"/>
  <c r="B8" i="5"/>
  <c r="B7" i="5"/>
  <c r="B5" i="5"/>
  <c r="B4" i="5"/>
  <c r="B3" i="5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3" i="4"/>
  <c r="B14" i="4"/>
  <c r="B12" i="4"/>
  <c r="B11" i="4"/>
  <c r="B10" i="4"/>
  <c r="B9" i="4"/>
  <c r="B8" i="4"/>
  <c r="B7" i="4"/>
  <c r="B6" i="4"/>
  <c r="B5" i="4"/>
  <c r="B4" i="4"/>
  <c r="B3" i="4"/>
  <c r="B8" i="3"/>
  <c r="B7" i="3"/>
  <c r="B6" i="3"/>
  <c r="B5" i="3"/>
  <c r="B4" i="3"/>
  <c r="B3" i="3"/>
  <c r="D2" i="3"/>
  <c r="B15" i="2"/>
  <c r="B14" i="2"/>
  <c r="B13" i="2"/>
  <c r="B12" i="2"/>
  <c r="B11" i="2"/>
  <c r="B10" i="2"/>
  <c r="B9" i="2"/>
  <c r="B8" i="2"/>
  <c r="B7" i="2"/>
  <c r="B6" i="2"/>
  <c r="B5" i="2"/>
  <c r="B4" i="2"/>
  <c r="B3" i="2"/>
  <c r="E11" i="3" l="1"/>
  <c r="E2" i="3"/>
  <c r="E22" i="3"/>
  <c r="F22" i="3"/>
  <c r="F11" i="3"/>
  <c r="F2" i="3"/>
  <c r="F18" i="2"/>
  <c r="F28" i="2"/>
  <c r="F2" i="2"/>
  <c r="F2" i="5"/>
  <c r="F16" i="5"/>
  <c r="F2" i="4"/>
  <c r="M2" i="4"/>
  <c r="G44" i="1"/>
  <c r="G26" i="1"/>
  <c r="F47" i="4"/>
  <c r="F89" i="4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D2" i="1"/>
  <c r="G2" i="1" l="1"/>
  <c r="X18" i="2"/>
</calcChain>
</file>

<file path=xl/sharedStrings.xml><?xml version="1.0" encoding="utf-8"?>
<sst xmlns="http://schemas.openxmlformats.org/spreadsheetml/2006/main" count="535" uniqueCount="65">
  <si>
    <t>Ex-vitro Month 1</t>
  </si>
  <si>
    <t>Size (mm2)</t>
  </si>
  <si>
    <t>Germination %</t>
  </si>
  <si>
    <t># Leaves</t>
  </si>
  <si>
    <t>Dudleya traskiae</t>
  </si>
  <si>
    <t>Average size (mm2)</t>
  </si>
  <si>
    <r>
      <t>Size (mm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</si>
  <si>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Average size (mm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</si>
  <si>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Dudleya pachyphytum</t>
  </si>
  <si>
    <t>Dudleya stolonifera</t>
  </si>
  <si>
    <t>Dudleya farinosa</t>
  </si>
  <si>
    <t>Dudleya gnoma</t>
  </si>
  <si>
    <t>Ex-vitro Month 2</t>
  </si>
  <si>
    <t>Survival %</t>
  </si>
  <si>
    <t>Ex-vitro Month 3</t>
  </si>
  <si>
    <t>In-vitro Month 1</t>
  </si>
  <si>
    <t>D. farinosa 1/4MS</t>
  </si>
  <si>
    <t>D. traskiae 1/4MS</t>
  </si>
  <si>
    <t>Contamination</t>
  </si>
  <si>
    <t>No</t>
  </si>
  <si>
    <t>Ex-vitro Month 4</t>
  </si>
  <si>
    <t>date 2/20/20</t>
  </si>
  <si>
    <t>Ex-vitro Month 4 (2/23/20)</t>
  </si>
  <si>
    <t>D. traskiae 1/2MS</t>
  </si>
  <si>
    <t>D. traskiae Full MS</t>
  </si>
  <si>
    <t>D. pachyphytum 1/4MS</t>
  </si>
  <si>
    <t>D. pachyphytum 1/2MS</t>
  </si>
  <si>
    <t>D. pachyphytum FSMS</t>
  </si>
  <si>
    <t>Dudleya gnoma 1/2MS</t>
  </si>
  <si>
    <t>Dudleya gnoma FSMS</t>
  </si>
  <si>
    <t>D. stolonifera 1/2MS</t>
  </si>
  <si>
    <t>D. farinosa 1/2MS</t>
  </si>
  <si>
    <t>D. farinosa FSMS</t>
  </si>
  <si>
    <t>In-vitro Month 2</t>
  </si>
  <si>
    <t>In-vitro Month 3</t>
  </si>
  <si>
    <t xml:space="preserve">In-vitro Month 4 </t>
  </si>
  <si>
    <t>In-vitro Month 4</t>
  </si>
  <si>
    <t>Standard Deviation (SD)</t>
  </si>
  <si>
    <t>Survival</t>
  </si>
  <si>
    <t>NA</t>
  </si>
  <si>
    <t>Survival (%)</t>
  </si>
  <si>
    <t>N/A</t>
  </si>
  <si>
    <t>Germination (%)</t>
  </si>
  <si>
    <t>Treatment</t>
  </si>
  <si>
    <t xml:space="preserve">Dudleya farinosa </t>
  </si>
  <si>
    <t>Species</t>
  </si>
  <si>
    <t>Ex vitro</t>
  </si>
  <si>
    <t>In vitro  - 1/4 MS</t>
  </si>
  <si>
    <t>In vitro  - 1/2 MS</t>
  </si>
  <si>
    <t>In vitro  -Full MS</t>
  </si>
  <si>
    <t>Mortality (%)</t>
  </si>
  <si>
    <r>
      <t>Average Size (mm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</si>
  <si>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D. farinosa</t>
  </si>
  <si>
    <t>D. gnoma</t>
  </si>
  <si>
    <t>D. pachyphytum</t>
  </si>
  <si>
    <t>D. stolonifera</t>
  </si>
  <si>
    <t>D. traskiae</t>
  </si>
  <si>
    <t>SD</t>
  </si>
  <si>
    <t>Ex-vitro</t>
  </si>
  <si>
    <t>QSMS</t>
  </si>
  <si>
    <t>HSMS</t>
  </si>
  <si>
    <t>FSMS</t>
  </si>
  <si>
    <t>Standard Error (SE)</t>
  </si>
  <si>
    <t>Mortality %</t>
  </si>
  <si>
    <t>Mortality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</si>
</sst>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9" fontId="0" fillId="0" borderId="0" xfId="1" applyFont="1"/>
    <xf numFmtId="164" fontId="0" fillId="0" borderId="0" xfId="0" applyNumberFormat="1"/>
    <xf numFmtId="0" fontId="0" fillId="0" borderId="0" xfId="0" applyAlignment="1">
      <alignment wrapText="1"/>
    </xf>
    <xf numFmtId="9" fontId="0" fillId="0" borderId="0" xfId="1" applyFont="1" applyAlignment="1">
      <alignment wrapText="1"/>
    </xf>
    <xf numFmtId="164" fontId="0" fillId="0" borderId="0" xfId="0" applyNumberFormat="1" applyAlignment="1">
      <alignment wrapText="1"/>
    </xf>
    <xf numFmtId="165" fontId="0" fillId="0" borderId="0" xfId="0" applyNumberFormat="1"/>
    <xf numFmtId="9" fontId="0" fillId="0" borderId="0" xfId="0" applyNumberFormat="1"/>
    <xf numFmtId="1" fontId="0" fillId="0" borderId="0" xfId="0" applyNumberFormat="1" applyAlignment="1">
      <alignment wrapText="1"/>
    </xf>
    <xf numFmtId="0" fontId="0" fillId="2" borderId="0" xfId="0" applyFill="1"/>
    <xf numFmtId="0" fontId="0" fillId="3" borderId="0" xfId="0" applyFill="1"/>
    <xf numFmtId="14" fontId="0" fillId="0" borderId="0" xfId="0" applyNumberFormat="1" applyAlignment="1">
      <alignment wrapText="1"/>
    </xf>
    <xf numFmtId="0" fontId="0" fillId="4" borderId="0" xfId="0" applyFill="1" applyAlignment="1">
      <alignment wrapText="1"/>
    </xf>
    <xf numFmtId="0" fontId="0" fillId="5" borderId="0" xfId="0" applyFill="1" applyAlignment="1">
      <alignment wrapText="1"/>
    </xf>
    <xf numFmtId="0" fontId="0" fillId="6" borderId="0" xfId="0" applyFill="1"/>
    <xf numFmtId="14" fontId="0" fillId="6" borderId="0" xfId="0" applyNumberFormat="1" applyFill="1"/>
    <xf numFmtId="0" fontId="0" fillId="6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8" borderId="0" xfId="0" applyFill="1" applyAlignment="1">
      <alignment wrapText="1"/>
    </xf>
    <xf numFmtId="0" fontId="0" fillId="9" borderId="0" xfId="0" applyFill="1"/>
    <xf numFmtId="164" fontId="0" fillId="0" borderId="0" xfId="2" applyNumberFormat="1" applyFont="1"/>
    <xf numFmtId="1" fontId="0" fillId="0" borderId="0" xfId="0" applyNumberFormat="1"/>
    <xf numFmtId="0" fontId="0" fillId="0" borderId="0" xfId="0" applyAlignment="1"/>
    <xf numFmtId="9" fontId="0" fillId="0" borderId="0" xfId="1" applyNumberFormat="1" applyFont="1"/>
    <xf numFmtId="0" fontId="0" fillId="0" borderId="0" xfId="0" applyFont="1"/>
    <xf numFmtId="165" fontId="0" fillId="0" borderId="0" xfId="1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i="1"/>
              <a:t>In-vitro vs</a:t>
            </a:r>
            <a:r>
              <a:rPr lang="en-US" b="1" i="1" baseline="0"/>
              <a:t>. Ex-vitro </a:t>
            </a:r>
            <a:r>
              <a:rPr lang="en-US" b="1"/>
              <a:t>Germination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'Survival.v.Mortality'!$C$1</c:f>
              <c:strCache>
                <c:ptCount val="1"/>
                <c:pt idx="0">
                  <c:v>Survival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55F-4997-943F-21BF1E7BB586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55F-4997-943F-21BF1E7BB586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55F-4997-943F-21BF1E7BB586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D55F-4997-943F-21BF1E7BB586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55F-4997-943F-21BF1E7BB58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'Survival.v.Mortality'!$A$2:$B$18</c:f>
              <c:multiLvlStrCache>
                <c:ptCount val="17"/>
                <c:lvl>
                  <c:pt idx="0">
                    <c:v>QSMS</c:v>
                  </c:pt>
                  <c:pt idx="1">
                    <c:v>HSMS</c:v>
                  </c:pt>
                  <c:pt idx="2">
                    <c:v>FSMS</c:v>
                  </c:pt>
                  <c:pt idx="3">
                    <c:v>Ex-vitro</c:v>
                  </c:pt>
                  <c:pt idx="4">
                    <c:v>HSMS</c:v>
                  </c:pt>
                  <c:pt idx="5">
                    <c:v>FSMS</c:v>
                  </c:pt>
                  <c:pt idx="6">
                    <c:v>Ex-vitro</c:v>
                  </c:pt>
                  <c:pt idx="7">
                    <c:v>QSMS</c:v>
                  </c:pt>
                  <c:pt idx="8">
                    <c:v>HSMS</c:v>
                  </c:pt>
                  <c:pt idx="9">
                    <c:v>FSMS</c:v>
                  </c:pt>
                  <c:pt idx="10">
                    <c:v>Ex-vitro</c:v>
                  </c:pt>
                  <c:pt idx="11">
                    <c:v>HSMS</c:v>
                  </c:pt>
                  <c:pt idx="12">
                    <c:v>Ex-vitro</c:v>
                  </c:pt>
                  <c:pt idx="13">
                    <c:v>QSMS</c:v>
                  </c:pt>
                  <c:pt idx="14">
                    <c:v>HSMS</c:v>
                  </c:pt>
                  <c:pt idx="15">
                    <c:v>FSMS</c:v>
                  </c:pt>
                  <c:pt idx="16">
                    <c:v>Ex-vitro</c:v>
                  </c:pt>
                </c:lvl>
                <c:lvl>
                  <c:pt idx="0">
                    <c:v>D. farinosa</c:v>
                  </c:pt>
                  <c:pt idx="4">
                    <c:v>D. gnoma</c:v>
                  </c:pt>
                  <c:pt idx="7">
                    <c:v>D. pachyphytum</c:v>
                  </c:pt>
                  <c:pt idx="11">
                    <c:v>D. stolonifera</c:v>
                  </c:pt>
                  <c:pt idx="13">
                    <c:v>D. traskiae</c:v>
                  </c:pt>
                </c:lvl>
              </c:multiLvlStrCache>
            </c:multiLvlStrRef>
          </c:cat>
          <c:val>
            <c:numRef>
              <c:f>'Survival.v.Mortality'!$C$2:$C$18</c:f>
              <c:numCache>
                <c:formatCode>0%</c:formatCode>
                <c:ptCount val="17"/>
                <c:pt idx="0">
                  <c:v>0.8</c:v>
                </c:pt>
                <c:pt idx="1">
                  <c:v>0.36</c:v>
                </c:pt>
                <c:pt idx="2">
                  <c:v>0.57999999999999996</c:v>
                </c:pt>
                <c:pt idx="3">
                  <c:v>0.72</c:v>
                </c:pt>
                <c:pt idx="4">
                  <c:v>0.5</c:v>
                </c:pt>
                <c:pt idx="5">
                  <c:v>0.625</c:v>
                </c:pt>
                <c:pt idx="6">
                  <c:v>0.3</c:v>
                </c:pt>
                <c:pt idx="7">
                  <c:v>0.52</c:v>
                </c:pt>
                <c:pt idx="8">
                  <c:v>0.42</c:v>
                </c:pt>
                <c:pt idx="9">
                  <c:v>0.86</c:v>
                </c:pt>
                <c:pt idx="10">
                  <c:v>0.1</c:v>
                </c:pt>
                <c:pt idx="11">
                  <c:v>0.72</c:v>
                </c:pt>
                <c:pt idx="12">
                  <c:v>0.08</c:v>
                </c:pt>
                <c:pt idx="13">
                  <c:v>0.2</c:v>
                </c:pt>
                <c:pt idx="14">
                  <c:v>0.28000000000000003</c:v>
                </c:pt>
                <c:pt idx="15">
                  <c:v>0.2</c:v>
                </c:pt>
                <c:pt idx="16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5F-4997-943F-21BF1E7BB5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1004808704"/>
        <c:axId val="1004807392"/>
      </c:barChart>
      <c:catAx>
        <c:axId val="100480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807392"/>
        <c:crosses val="autoZero"/>
        <c:auto val="1"/>
        <c:lblAlgn val="ctr"/>
        <c:lblOffset val="100"/>
        <c:noMultiLvlLbl val="0"/>
      </c:catAx>
      <c:valAx>
        <c:axId val="100480739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80870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baseline="0">
                <a:latin typeface="Arial" panose="020B0604020202020204" pitchFamily="34" charset="0"/>
                <a:cs typeface="Arial" panose="020B0604020202020204" pitchFamily="34" charset="0"/>
              </a:rPr>
              <a:t>Germination, Survival, and Mortality of </a:t>
            </a:r>
            <a:r>
              <a:rPr lang="en-US" sz="1400" b="1" i="1" baseline="0">
                <a:latin typeface="Arial" panose="020B0604020202020204" pitchFamily="34" charset="0"/>
                <a:cs typeface="Arial" panose="020B0604020202020204" pitchFamily="34" charset="0"/>
              </a:rPr>
              <a:t>Dudleya</a:t>
            </a:r>
            <a:r>
              <a:rPr lang="en-US" sz="1400" b="1" baseline="0">
                <a:latin typeface="Arial" panose="020B0604020202020204" pitchFamily="34" charset="0"/>
                <a:cs typeface="Arial" panose="020B0604020202020204" pitchFamily="34" charset="0"/>
              </a:rPr>
              <a:t> Seedlings </a:t>
            </a:r>
            <a:endParaRPr lang="en-US" sz="14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233814523184596E-2"/>
          <c:y val="0.37071813939924175"/>
          <c:w val="0.87232174103237092"/>
          <c:h val="0.388579396325459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'Survival.v.Mortality'!$C$1</c:f>
              <c:strCache>
                <c:ptCount val="1"/>
                <c:pt idx="0">
                  <c:v>Survival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'Survival.v.Mortality'!$A$2:$B$18</c:f>
              <c:multiLvlStrCache>
                <c:ptCount val="17"/>
                <c:lvl>
                  <c:pt idx="0">
                    <c:v>QSMS</c:v>
                  </c:pt>
                  <c:pt idx="1">
                    <c:v>HSMS</c:v>
                  </c:pt>
                  <c:pt idx="2">
                    <c:v>FSMS</c:v>
                  </c:pt>
                  <c:pt idx="3">
                    <c:v>Ex-vitro</c:v>
                  </c:pt>
                  <c:pt idx="4">
                    <c:v>HSMS</c:v>
                  </c:pt>
                  <c:pt idx="5">
                    <c:v>FSMS</c:v>
                  </c:pt>
                  <c:pt idx="6">
                    <c:v>Ex-vitro</c:v>
                  </c:pt>
                  <c:pt idx="7">
                    <c:v>QSMS</c:v>
                  </c:pt>
                  <c:pt idx="8">
                    <c:v>HSMS</c:v>
                  </c:pt>
                  <c:pt idx="9">
                    <c:v>FSMS</c:v>
                  </c:pt>
                  <c:pt idx="10">
                    <c:v>Ex-vitro</c:v>
                  </c:pt>
                  <c:pt idx="11">
                    <c:v>HSMS</c:v>
                  </c:pt>
                  <c:pt idx="12">
                    <c:v>Ex-vitro</c:v>
                  </c:pt>
                  <c:pt idx="13">
                    <c:v>QSMS</c:v>
                  </c:pt>
                  <c:pt idx="14">
                    <c:v>HSMS</c:v>
                  </c:pt>
                  <c:pt idx="15">
                    <c:v>FSMS</c:v>
                  </c:pt>
                  <c:pt idx="16">
                    <c:v>Ex-vitro</c:v>
                  </c:pt>
                </c:lvl>
                <c:lvl>
                  <c:pt idx="0">
                    <c:v>D. farinosa</c:v>
                  </c:pt>
                  <c:pt idx="4">
                    <c:v>D. gnoma</c:v>
                  </c:pt>
                  <c:pt idx="7">
                    <c:v>D. pachyphytum</c:v>
                  </c:pt>
                  <c:pt idx="11">
                    <c:v>D. stolonifera</c:v>
                  </c:pt>
                  <c:pt idx="13">
                    <c:v>D. traskiae</c:v>
                  </c:pt>
                </c:lvl>
              </c:multiLvlStrCache>
            </c:multiLvlStrRef>
          </c:cat>
          <c:val>
            <c:numRef>
              <c:f>'Survival.v.Mortality'!$C$2:$C$18</c:f>
              <c:numCache>
                <c:formatCode>0%</c:formatCode>
                <c:ptCount val="17"/>
                <c:pt idx="0">
                  <c:v>0.8</c:v>
                </c:pt>
                <c:pt idx="1">
                  <c:v>0.36</c:v>
                </c:pt>
                <c:pt idx="2">
                  <c:v>0.57999999999999996</c:v>
                </c:pt>
                <c:pt idx="3">
                  <c:v>0.72</c:v>
                </c:pt>
                <c:pt idx="4">
                  <c:v>0.5</c:v>
                </c:pt>
                <c:pt idx="5">
                  <c:v>0.625</c:v>
                </c:pt>
                <c:pt idx="6">
                  <c:v>0.3</c:v>
                </c:pt>
                <c:pt idx="7">
                  <c:v>0.52</c:v>
                </c:pt>
                <c:pt idx="8">
                  <c:v>0.42</c:v>
                </c:pt>
                <c:pt idx="9">
                  <c:v>0.86</c:v>
                </c:pt>
                <c:pt idx="10">
                  <c:v>0.1</c:v>
                </c:pt>
                <c:pt idx="11">
                  <c:v>0.72</c:v>
                </c:pt>
                <c:pt idx="12">
                  <c:v>0.08</c:v>
                </c:pt>
                <c:pt idx="13">
                  <c:v>0.2</c:v>
                </c:pt>
                <c:pt idx="14">
                  <c:v>0.28000000000000003</c:v>
                </c:pt>
                <c:pt idx="15">
                  <c:v>0.2</c:v>
                </c:pt>
                <c:pt idx="16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21-496C-8B3D-7B568C8B8E2D}"/>
            </c:ext>
          </c:extLst>
        </c:ser>
        <c:ser>
          <c:idx val="1"/>
          <c:order val="1"/>
          <c:tx>
            <c:strRef>
              <c:f>'Survival.v.Mortality'!$D$1</c:f>
              <c:strCache>
                <c:ptCount val="1"/>
                <c:pt idx="0">
                  <c:v>Mortality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'Survival.v.Mortality'!$A$2:$B$18</c:f>
              <c:multiLvlStrCache>
                <c:ptCount val="17"/>
                <c:lvl>
                  <c:pt idx="0">
                    <c:v>QSMS</c:v>
                  </c:pt>
                  <c:pt idx="1">
                    <c:v>HSMS</c:v>
                  </c:pt>
                  <c:pt idx="2">
                    <c:v>FSMS</c:v>
                  </c:pt>
                  <c:pt idx="3">
                    <c:v>Ex-vitro</c:v>
                  </c:pt>
                  <c:pt idx="4">
                    <c:v>HSMS</c:v>
                  </c:pt>
                  <c:pt idx="5">
                    <c:v>FSMS</c:v>
                  </c:pt>
                  <c:pt idx="6">
                    <c:v>Ex-vitro</c:v>
                  </c:pt>
                  <c:pt idx="7">
                    <c:v>QSMS</c:v>
                  </c:pt>
                  <c:pt idx="8">
                    <c:v>HSMS</c:v>
                  </c:pt>
                  <c:pt idx="9">
                    <c:v>FSMS</c:v>
                  </c:pt>
                  <c:pt idx="10">
                    <c:v>Ex-vitro</c:v>
                  </c:pt>
                  <c:pt idx="11">
                    <c:v>HSMS</c:v>
                  </c:pt>
                  <c:pt idx="12">
                    <c:v>Ex-vitro</c:v>
                  </c:pt>
                  <c:pt idx="13">
                    <c:v>QSMS</c:v>
                  </c:pt>
                  <c:pt idx="14">
                    <c:v>HSMS</c:v>
                  </c:pt>
                  <c:pt idx="15">
                    <c:v>FSMS</c:v>
                  </c:pt>
                  <c:pt idx="16">
                    <c:v>Ex-vitro</c:v>
                  </c:pt>
                </c:lvl>
                <c:lvl>
                  <c:pt idx="0">
                    <c:v>D. farinosa</c:v>
                  </c:pt>
                  <c:pt idx="4">
                    <c:v>D. gnoma</c:v>
                  </c:pt>
                  <c:pt idx="7">
                    <c:v>D. pachyphytum</c:v>
                  </c:pt>
                  <c:pt idx="11">
                    <c:v>D. stolonifera</c:v>
                  </c:pt>
                  <c:pt idx="13">
                    <c:v>D. traskiae</c:v>
                  </c:pt>
                </c:lvl>
              </c:multiLvlStrCache>
            </c:multiLvlStrRef>
          </c:cat>
          <c:val>
            <c:numRef>
              <c:f>'Survival.v.Mortality'!$D$2:$D$18</c:f>
              <c:numCache>
                <c:formatCode>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0.16</c:v>
                </c:pt>
                <c:pt idx="11">
                  <c:v>0</c:v>
                </c:pt>
                <c:pt idx="12">
                  <c:v>0.08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21-496C-8B3D-7B568C8B8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9464904"/>
        <c:axId val="469465888"/>
      </c:barChart>
      <c:catAx>
        <c:axId val="469464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465888"/>
        <c:crosses val="autoZero"/>
        <c:auto val="1"/>
        <c:lblAlgn val="ctr"/>
        <c:lblOffset val="100"/>
        <c:noMultiLvlLbl val="0"/>
      </c:catAx>
      <c:valAx>
        <c:axId val="4694658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464904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9523</xdr:colOff>
      <xdr:row>19</xdr:row>
      <xdr:rowOff>14286</xdr:rowOff>
    </xdr:from>
    <xdr:to>
      <xdr:col>16</xdr:col>
      <xdr:colOff>356990</xdr:colOff>
      <xdr:row>37</xdr:row>
      <xdr:rowOff>114299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546EDC8-1383-4F4C-9457-D3F6E1523B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20</xdr:row>
      <xdr:rowOff>4762</xdr:rowOff>
    </xdr:from>
    <xdr:to>
      <xdr:col>3</xdr:col>
      <xdr:colOff>1171575</xdr:colOff>
      <xdr:row>34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DD0945-729E-494E-B330-EEF4D08520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840B0-DE71-47D5-8FCA-4597D1E869D9}">
  <dimension ref="A1:AC172"/>
  <sheetViews>
    <sheetView workbookViewId="0">
      <selection activeCell="C2" sqref="C2"/>
    </sheetView>
  </sheetViews>
  <sheetFormatPr defaultRowHeight="15" x14ac:dyDescent="0.25"/>
  <cols>
    <col min="1" max="1" width="16.5703125" customWidth="1"/>
    <col min="2" max="2" width="11.42578125" customWidth="1"/>
    <col min="3" max="4" width="15.85546875" customWidth="1"/>
    <col min="5" max="5" width="14.28515625" customWidth="1"/>
    <col min="6" max="7" width="12" customWidth="1"/>
    <col min="8" max="8" width="14" customWidth="1"/>
    <col min="9" max="9" width="1.5703125" style="9" customWidth="1"/>
    <col min="10" max="10" width="17.42578125" customWidth="1"/>
    <col min="11" max="11" width="11.28515625" customWidth="1"/>
    <col min="12" max="12" width="15.5703125" customWidth="1"/>
    <col min="13" max="14" width="15.7109375" customWidth="1"/>
    <col min="15" max="15" width="13.85546875" customWidth="1"/>
    <col min="16" max="16" width="2.140625" style="10" customWidth="1"/>
    <col min="17" max="17" width="16.85546875" customWidth="1"/>
    <col min="19" max="19" width="18.140625" customWidth="1"/>
    <col min="20" max="21" width="15.5703125" customWidth="1"/>
    <col min="22" max="22" width="14.42578125" customWidth="1"/>
    <col min="23" max="23" width="2.140625" style="10" customWidth="1"/>
    <col min="24" max="24" width="17.5703125" customWidth="1"/>
    <col min="26" max="26" width="15.5703125" customWidth="1"/>
    <col min="27" max="27" width="14.42578125" customWidth="1"/>
    <col min="28" max="28" width="13.42578125" customWidth="1"/>
    <col min="29" max="29" width="9.140625" customWidth="1"/>
  </cols>
  <sheetData>
    <row r="1" spans="1:29" ht="45" x14ac:dyDescent="0.25">
      <c r="A1" s="17" t="s">
        <v>0</v>
      </c>
      <c r="B1" s="17" t="s">
        <v>6</v>
      </c>
      <c r="C1" s="17" t="s">
        <v>2</v>
      </c>
      <c r="D1" s="17" t="s">
        <v>50</v>
      </c>
      <c r="E1" s="17" t="s">
        <v>40</v>
      </c>
      <c r="F1" s="17" t="s">
        <v>7</v>
      </c>
      <c r="G1" s="17" t="s">
        <v>37</v>
      </c>
      <c r="H1" s="17" t="s">
        <v>62</v>
      </c>
      <c r="J1" s="18" t="s">
        <v>15</v>
      </c>
      <c r="K1" s="18" t="s">
        <v>6</v>
      </c>
      <c r="L1" s="18" t="s">
        <v>2</v>
      </c>
      <c r="M1" s="18" t="s">
        <v>7</v>
      </c>
      <c r="N1" s="18" t="s">
        <v>37</v>
      </c>
      <c r="O1" s="18" t="s">
        <v>62</v>
      </c>
      <c r="Q1" s="18" t="s">
        <v>15</v>
      </c>
      <c r="R1" s="18" t="s">
        <v>6</v>
      </c>
      <c r="S1" s="18" t="s">
        <v>2</v>
      </c>
      <c r="T1" s="18" t="s">
        <v>7</v>
      </c>
      <c r="U1" s="18" t="s">
        <v>37</v>
      </c>
      <c r="V1" s="18" t="s">
        <v>62</v>
      </c>
      <c r="X1" s="18" t="s">
        <v>15</v>
      </c>
      <c r="Y1" s="18" t="s">
        <v>6</v>
      </c>
      <c r="Z1" s="18" t="s">
        <v>2</v>
      </c>
      <c r="AA1" s="18" t="s">
        <v>7</v>
      </c>
      <c r="AB1" s="18" t="s">
        <v>37</v>
      </c>
      <c r="AC1" s="18" t="s">
        <v>62</v>
      </c>
    </row>
    <row r="2" spans="1:29" x14ac:dyDescent="0.25">
      <c r="A2" t="s">
        <v>10</v>
      </c>
      <c r="C2" s="7">
        <f>42/50</f>
        <v>0.84</v>
      </c>
      <c r="D2" s="7"/>
      <c r="E2" t="s">
        <v>41</v>
      </c>
      <c r="F2" s="2">
        <f>AVERAGE(B3:B44)</f>
        <v>17.166666666666668</v>
      </c>
      <c r="G2" s="2">
        <f>STDEV(B3:B44)</f>
        <v>8.7964215747271464</v>
      </c>
      <c r="H2" s="2">
        <f>STDEV(B3:B44)/SQRT(42)</f>
        <v>1.3573173166592185</v>
      </c>
      <c r="J2" t="s">
        <v>16</v>
      </c>
      <c r="L2" s="7">
        <f>30/52</f>
        <v>0.57692307692307687</v>
      </c>
      <c r="M2" s="2">
        <f>AVERAGE(K3:K32)</f>
        <v>2.3833333333333333</v>
      </c>
      <c r="N2" s="2">
        <f>STDEV(K3:K32)</f>
        <v>2.0050940872813365</v>
      </c>
      <c r="O2" s="2">
        <f>STDEV(K3:K32)/SQRT(30)</f>
        <v>0.36607842050807349</v>
      </c>
      <c r="Q2" t="s">
        <v>31</v>
      </c>
      <c r="S2" s="7">
        <f>14/52</f>
        <v>0.26923076923076922</v>
      </c>
      <c r="T2" s="2">
        <f>AVERAGE(R3:R16)</f>
        <v>1.625</v>
      </c>
      <c r="U2" s="2">
        <f>STDEV(R3:R16)</f>
        <v>1.4602094159611279</v>
      </c>
      <c r="V2" s="2">
        <f>STDEV(R3:R16)/SQRT(14)</f>
        <v>0.39025738196198695</v>
      </c>
      <c r="X2" t="s">
        <v>32</v>
      </c>
      <c r="Z2" s="7">
        <f>19/50</f>
        <v>0.38</v>
      </c>
      <c r="AA2" s="2">
        <f>AVERAGE(Y3:Y21)</f>
        <v>1.9671052631578947</v>
      </c>
      <c r="AB2" s="2">
        <f>STDEV(Y3:Y21)</f>
        <v>1.2526652871527282</v>
      </c>
      <c r="AC2">
        <f>STDEV(Y3:Y21)/SQRT(19)</f>
        <v>0.28738112614632111</v>
      </c>
    </row>
    <row r="3" spans="1:29" x14ac:dyDescent="0.25">
      <c r="A3">
        <v>1</v>
      </c>
      <c r="B3">
        <f>5*3.5</f>
        <v>17.5</v>
      </c>
      <c r="J3">
        <v>1</v>
      </c>
      <c r="K3">
        <f>1*1</f>
        <v>1</v>
      </c>
      <c r="Q3">
        <v>1</v>
      </c>
      <c r="R3">
        <f>1*1</f>
        <v>1</v>
      </c>
      <c r="X3">
        <v>1</v>
      </c>
      <c r="Y3">
        <f>1.5*1</f>
        <v>1.5</v>
      </c>
    </row>
    <row r="4" spans="1:29" x14ac:dyDescent="0.25">
      <c r="A4">
        <v>2</v>
      </c>
      <c r="B4">
        <f>5*3</f>
        <v>15</v>
      </c>
      <c r="J4">
        <v>2</v>
      </c>
      <c r="K4">
        <f>2*1</f>
        <v>2</v>
      </c>
      <c r="Q4">
        <v>2</v>
      </c>
      <c r="R4">
        <f>1*1</f>
        <v>1</v>
      </c>
      <c r="X4">
        <v>2</v>
      </c>
      <c r="Y4">
        <f>2*1</f>
        <v>2</v>
      </c>
    </row>
    <row r="5" spans="1:29" x14ac:dyDescent="0.25">
      <c r="A5">
        <v>3</v>
      </c>
      <c r="B5">
        <f>5*3.5</f>
        <v>17.5</v>
      </c>
      <c r="J5">
        <v>3</v>
      </c>
      <c r="K5">
        <f>2.5*2</f>
        <v>5</v>
      </c>
      <c r="Q5">
        <v>3</v>
      </c>
      <c r="R5">
        <f>1*1</f>
        <v>1</v>
      </c>
      <c r="X5">
        <v>3</v>
      </c>
      <c r="Y5">
        <f>1.5*1</f>
        <v>1.5</v>
      </c>
    </row>
    <row r="6" spans="1:29" x14ac:dyDescent="0.25">
      <c r="A6">
        <v>4</v>
      </c>
      <c r="B6">
        <f>4*2.5</f>
        <v>10</v>
      </c>
      <c r="J6">
        <v>4</v>
      </c>
      <c r="K6">
        <f>1.5*1.5</f>
        <v>2.25</v>
      </c>
      <c r="Q6">
        <v>4</v>
      </c>
      <c r="R6">
        <f>2.5*2</f>
        <v>5</v>
      </c>
      <c r="X6">
        <v>4</v>
      </c>
      <c r="Y6">
        <f>1.5*1</f>
        <v>1.5</v>
      </c>
    </row>
    <row r="7" spans="1:29" x14ac:dyDescent="0.25">
      <c r="A7">
        <v>5</v>
      </c>
      <c r="B7">
        <f>1*1</f>
        <v>1</v>
      </c>
      <c r="J7">
        <v>5</v>
      </c>
      <c r="K7">
        <f>1*1</f>
        <v>1</v>
      </c>
      <c r="Q7">
        <v>5</v>
      </c>
      <c r="R7">
        <f>2*1</f>
        <v>2</v>
      </c>
      <c r="X7">
        <v>5</v>
      </c>
      <c r="Y7">
        <f>1*1</f>
        <v>1</v>
      </c>
    </row>
    <row r="8" spans="1:29" x14ac:dyDescent="0.25">
      <c r="A8">
        <v>6</v>
      </c>
      <c r="B8">
        <f>1.5*1</f>
        <v>1.5</v>
      </c>
      <c r="J8">
        <v>6</v>
      </c>
      <c r="K8">
        <f>1*1</f>
        <v>1</v>
      </c>
      <c r="Q8">
        <v>6</v>
      </c>
      <c r="R8">
        <f>1*1</f>
        <v>1</v>
      </c>
      <c r="X8">
        <v>6</v>
      </c>
      <c r="Y8">
        <f>2*1</f>
        <v>2</v>
      </c>
    </row>
    <row r="9" spans="1:29" x14ac:dyDescent="0.25">
      <c r="A9">
        <v>7</v>
      </c>
      <c r="B9">
        <f>7.5*4.5</f>
        <v>33.75</v>
      </c>
      <c r="J9">
        <v>7</v>
      </c>
      <c r="K9">
        <f>2*1.5</f>
        <v>3</v>
      </c>
      <c r="Q9">
        <v>7</v>
      </c>
      <c r="R9">
        <f>0.5*0.5</f>
        <v>0.25</v>
      </c>
      <c r="X9">
        <v>7</v>
      </c>
      <c r="Y9">
        <f>1*1</f>
        <v>1</v>
      </c>
    </row>
    <row r="10" spans="1:29" x14ac:dyDescent="0.25">
      <c r="A10">
        <v>8</v>
      </c>
      <c r="B10">
        <f>5*3.5</f>
        <v>17.5</v>
      </c>
      <c r="J10">
        <v>8</v>
      </c>
      <c r="K10">
        <f>4*2.5</f>
        <v>10</v>
      </c>
      <c r="Q10">
        <v>8</v>
      </c>
      <c r="R10">
        <f>0.5*0.5</f>
        <v>0.25</v>
      </c>
      <c r="X10">
        <v>8</v>
      </c>
      <c r="Y10">
        <f>2.5*2</f>
        <v>5</v>
      </c>
    </row>
    <row r="11" spans="1:29" x14ac:dyDescent="0.25">
      <c r="A11">
        <v>9</v>
      </c>
      <c r="B11">
        <f>5.5*4</f>
        <v>22</v>
      </c>
      <c r="J11">
        <v>9</v>
      </c>
      <c r="K11">
        <f>1*1</f>
        <v>1</v>
      </c>
      <c r="Q11">
        <v>9</v>
      </c>
      <c r="R11">
        <f>1.5*1</f>
        <v>1.5</v>
      </c>
      <c r="X11">
        <v>9</v>
      </c>
      <c r="Y11">
        <f>1.5*1</f>
        <v>1.5</v>
      </c>
    </row>
    <row r="12" spans="1:29" x14ac:dyDescent="0.25">
      <c r="A12">
        <v>10</v>
      </c>
      <c r="B12">
        <f>6*4</f>
        <v>24</v>
      </c>
      <c r="J12">
        <v>10</v>
      </c>
      <c r="K12">
        <f>2*2</f>
        <v>4</v>
      </c>
      <c r="Q12">
        <v>10</v>
      </c>
      <c r="R12">
        <f>3*1.5</f>
        <v>4.5</v>
      </c>
      <c r="X12">
        <v>10</v>
      </c>
      <c r="Y12">
        <f>1*1</f>
        <v>1</v>
      </c>
    </row>
    <row r="13" spans="1:29" x14ac:dyDescent="0.25">
      <c r="A13">
        <v>11</v>
      </c>
      <c r="B13">
        <f>5.5*3.5</f>
        <v>19.25</v>
      </c>
      <c r="J13">
        <v>11</v>
      </c>
      <c r="K13">
        <f>2.5*2</f>
        <v>5</v>
      </c>
      <c r="Q13">
        <v>11</v>
      </c>
      <c r="R13">
        <f>2*1</f>
        <v>2</v>
      </c>
      <c r="X13">
        <v>11</v>
      </c>
      <c r="Y13">
        <f>1.75*1</f>
        <v>1.75</v>
      </c>
    </row>
    <row r="14" spans="1:29" x14ac:dyDescent="0.25">
      <c r="A14">
        <v>12</v>
      </c>
      <c r="B14">
        <f>5*3</f>
        <v>15</v>
      </c>
      <c r="J14">
        <v>12</v>
      </c>
      <c r="K14">
        <f>1.5*1.5</f>
        <v>2.25</v>
      </c>
      <c r="Q14">
        <v>12</v>
      </c>
      <c r="R14">
        <f>0.5*0.5</f>
        <v>0.25</v>
      </c>
      <c r="X14">
        <v>12</v>
      </c>
      <c r="Y14">
        <f>0.75*0.5</f>
        <v>0.375</v>
      </c>
    </row>
    <row r="15" spans="1:29" x14ac:dyDescent="0.25">
      <c r="A15">
        <v>13</v>
      </c>
      <c r="B15">
        <f>4*2</f>
        <v>8</v>
      </c>
      <c r="J15">
        <v>13</v>
      </c>
      <c r="K15">
        <f>2*1.5</f>
        <v>3</v>
      </c>
      <c r="Q15">
        <v>13</v>
      </c>
      <c r="R15">
        <f>2*1</f>
        <v>2</v>
      </c>
      <c r="X15">
        <v>13</v>
      </c>
      <c r="Y15">
        <f>2*1</f>
        <v>2</v>
      </c>
    </row>
    <row r="16" spans="1:29" x14ac:dyDescent="0.25">
      <c r="A16">
        <v>14</v>
      </c>
      <c r="B16">
        <f>4*2</f>
        <v>8</v>
      </c>
      <c r="J16">
        <v>14</v>
      </c>
      <c r="K16">
        <f>2*2</f>
        <v>4</v>
      </c>
      <c r="Q16">
        <v>14</v>
      </c>
      <c r="R16">
        <f>1*1</f>
        <v>1</v>
      </c>
      <c r="X16">
        <v>14</v>
      </c>
      <c r="Y16">
        <f>2.5*2</f>
        <v>5</v>
      </c>
    </row>
    <row r="17" spans="1:25" x14ac:dyDescent="0.25">
      <c r="A17">
        <v>15</v>
      </c>
      <c r="B17">
        <f>5*3</f>
        <v>15</v>
      </c>
      <c r="J17">
        <v>15</v>
      </c>
      <c r="K17">
        <f>1*1</f>
        <v>1</v>
      </c>
      <c r="X17">
        <v>15</v>
      </c>
      <c r="Y17">
        <f>2*1.5</f>
        <v>3</v>
      </c>
    </row>
    <row r="18" spans="1:25" x14ac:dyDescent="0.25">
      <c r="A18">
        <v>16</v>
      </c>
      <c r="B18">
        <f>8.5*5</f>
        <v>42.5</v>
      </c>
      <c r="J18">
        <v>16</v>
      </c>
      <c r="K18">
        <f>1*1</f>
        <v>1</v>
      </c>
      <c r="X18">
        <v>16</v>
      </c>
      <c r="Y18">
        <f>2*1</f>
        <v>2</v>
      </c>
    </row>
    <row r="19" spans="1:25" x14ac:dyDescent="0.25">
      <c r="A19">
        <v>17</v>
      </c>
      <c r="B19">
        <f>5.5*3</f>
        <v>16.5</v>
      </c>
      <c r="J19">
        <v>17</v>
      </c>
      <c r="K19">
        <f>1.5*1.5</f>
        <v>2.25</v>
      </c>
      <c r="X19">
        <v>17</v>
      </c>
      <c r="Y19">
        <f>2*1.5</f>
        <v>3</v>
      </c>
    </row>
    <row r="20" spans="1:25" x14ac:dyDescent="0.25">
      <c r="A20">
        <v>18</v>
      </c>
      <c r="B20">
        <f>5.5*3</f>
        <v>16.5</v>
      </c>
      <c r="J20">
        <v>18</v>
      </c>
      <c r="K20">
        <f>1*1</f>
        <v>1</v>
      </c>
      <c r="X20">
        <v>18</v>
      </c>
      <c r="Y20">
        <f>1*1</f>
        <v>1</v>
      </c>
    </row>
    <row r="21" spans="1:25" x14ac:dyDescent="0.25">
      <c r="A21">
        <v>19</v>
      </c>
      <c r="B21">
        <f>4.5*3</f>
        <v>13.5</v>
      </c>
      <c r="J21">
        <v>19</v>
      </c>
      <c r="K21">
        <f>1*1</f>
        <v>1</v>
      </c>
      <c r="X21">
        <v>19</v>
      </c>
      <c r="Y21">
        <f>1.25*1</f>
        <v>1.25</v>
      </c>
    </row>
    <row r="22" spans="1:25" x14ac:dyDescent="0.25">
      <c r="A22">
        <v>20</v>
      </c>
      <c r="B22">
        <f>5*3</f>
        <v>15</v>
      </c>
      <c r="J22">
        <v>20</v>
      </c>
      <c r="K22">
        <f>2*1</f>
        <v>2</v>
      </c>
    </row>
    <row r="23" spans="1:25" x14ac:dyDescent="0.25">
      <c r="A23">
        <v>21</v>
      </c>
      <c r="B23">
        <f>3.5*2</f>
        <v>7</v>
      </c>
      <c r="J23">
        <v>21</v>
      </c>
      <c r="K23">
        <f>1*1</f>
        <v>1</v>
      </c>
    </row>
    <row r="24" spans="1:25" x14ac:dyDescent="0.25">
      <c r="A24">
        <v>22</v>
      </c>
      <c r="B24">
        <f>7*5</f>
        <v>35</v>
      </c>
      <c r="J24">
        <v>22</v>
      </c>
      <c r="K24">
        <f>1.5*1</f>
        <v>1.5</v>
      </c>
    </row>
    <row r="25" spans="1:25" x14ac:dyDescent="0.25">
      <c r="A25">
        <v>23</v>
      </c>
      <c r="B25">
        <f>4*2</f>
        <v>8</v>
      </c>
      <c r="J25">
        <v>23</v>
      </c>
      <c r="K25">
        <f>1.5*1</f>
        <v>1.5</v>
      </c>
    </row>
    <row r="26" spans="1:25" x14ac:dyDescent="0.25">
      <c r="A26">
        <v>24</v>
      </c>
      <c r="B26">
        <f>7*4</f>
        <v>28</v>
      </c>
      <c r="J26">
        <v>24</v>
      </c>
      <c r="K26">
        <f>1*1</f>
        <v>1</v>
      </c>
    </row>
    <row r="27" spans="1:25" x14ac:dyDescent="0.25">
      <c r="A27">
        <v>25</v>
      </c>
      <c r="B27">
        <f>4*3</f>
        <v>12</v>
      </c>
      <c r="J27">
        <v>25</v>
      </c>
      <c r="K27">
        <f>1*1</f>
        <v>1</v>
      </c>
    </row>
    <row r="28" spans="1:25" x14ac:dyDescent="0.25">
      <c r="A28">
        <v>26</v>
      </c>
      <c r="B28">
        <f>7*3.5</f>
        <v>24.5</v>
      </c>
      <c r="J28">
        <v>26</v>
      </c>
      <c r="K28">
        <f>1.5*1.5</f>
        <v>2.25</v>
      </c>
    </row>
    <row r="29" spans="1:25" x14ac:dyDescent="0.25">
      <c r="A29">
        <v>27</v>
      </c>
      <c r="B29">
        <f>6*4</f>
        <v>24</v>
      </c>
      <c r="J29">
        <v>27</v>
      </c>
      <c r="K29">
        <f>1*1</f>
        <v>1</v>
      </c>
    </row>
    <row r="30" spans="1:25" x14ac:dyDescent="0.25">
      <c r="A30">
        <v>28</v>
      </c>
      <c r="B30">
        <f>5.5*3</f>
        <v>16.5</v>
      </c>
      <c r="J30">
        <v>28</v>
      </c>
      <c r="K30">
        <f>2*1</f>
        <v>2</v>
      </c>
    </row>
    <row r="31" spans="1:25" x14ac:dyDescent="0.25">
      <c r="A31">
        <v>29</v>
      </c>
      <c r="B31">
        <f>5*3</f>
        <v>15</v>
      </c>
      <c r="J31">
        <v>29</v>
      </c>
      <c r="K31">
        <f>3*2</f>
        <v>6</v>
      </c>
    </row>
    <row r="32" spans="1:25" x14ac:dyDescent="0.25">
      <c r="A32">
        <v>30</v>
      </c>
      <c r="B32">
        <f>2.5*2</f>
        <v>5</v>
      </c>
      <c r="J32">
        <v>30</v>
      </c>
      <c r="K32">
        <f>1.5</f>
        <v>1.5</v>
      </c>
    </row>
    <row r="33" spans="1:29" x14ac:dyDescent="0.25">
      <c r="A33">
        <v>31</v>
      </c>
      <c r="B33">
        <f>5.5*3</f>
        <v>16.5</v>
      </c>
    </row>
    <row r="34" spans="1:29" x14ac:dyDescent="0.25">
      <c r="A34">
        <v>32</v>
      </c>
      <c r="B34">
        <f>5*3</f>
        <v>15</v>
      </c>
    </row>
    <row r="35" spans="1:29" x14ac:dyDescent="0.25">
      <c r="A35">
        <v>33</v>
      </c>
      <c r="B35">
        <f>6*4</f>
        <v>24</v>
      </c>
    </row>
    <row r="36" spans="1:29" x14ac:dyDescent="0.25">
      <c r="A36">
        <v>34</v>
      </c>
      <c r="B36">
        <f>6.5*4</f>
        <v>26</v>
      </c>
    </row>
    <row r="37" spans="1:29" x14ac:dyDescent="0.25">
      <c r="A37">
        <v>35</v>
      </c>
      <c r="B37">
        <f>5*3</f>
        <v>15</v>
      </c>
    </row>
    <row r="38" spans="1:29" x14ac:dyDescent="0.25">
      <c r="A38">
        <v>36</v>
      </c>
      <c r="B38">
        <f>3.5*2</f>
        <v>7</v>
      </c>
    </row>
    <row r="39" spans="1:29" x14ac:dyDescent="0.25">
      <c r="A39">
        <v>37</v>
      </c>
      <c r="B39">
        <f>4*2.5</f>
        <v>10</v>
      </c>
    </row>
    <row r="40" spans="1:29" x14ac:dyDescent="0.25">
      <c r="A40">
        <v>38</v>
      </c>
      <c r="B40">
        <f>5*3</f>
        <v>15</v>
      </c>
    </row>
    <row r="41" spans="1:29" x14ac:dyDescent="0.25">
      <c r="A41">
        <v>39</v>
      </c>
      <c r="B41">
        <f>6*4</f>
        <v>24</v>
      </c>
    </row>
    <row r="42" spans="1:29" x14ac:dyDescent="0.25">
      <c r="A42">
        <v>40</v>
      </c>
      <c r="B42">
        <f>6.5*4</f>
        <v>26</v>
      </c>
    </row>
    <row r="43" spans="1:29" x14ac:dyDescent="0.25">
      <c r="A43">
        <v>41</v>
      </c>
      <c r="B43">
        <f>5*2.5</f>
        <v>12.5</v>
      </c>
    </row>
    <row r="44" spans="1:29" x14ac:dyDescent="0.25">
      <c r="A44">
        <v>42</v>
      </c>
      <c r="B44">
        <f>6.5*4</f>
        <v>26</v>
      </c>
    </row>
    <row r="45" spans="1:29" s="9" customFormat="1" ht="4.5" customHeight="1" x14ac:dyDescent="0.25"/>
    <row r="46" spans="1:29" ht="45" x14ac:dyDescent="0.25">
      <c r="A46" s="17" t="s">
        <v>12</v>
      </c>
      <c r="B46" s="17" t="s">
        <v>6</v>
      </c>
      <c r="C46" s="17" t="s">
        <v>2</v>
      </c>
      <c r="D46" s="17" t="s">
        <v>50</v>
      </c>
      <c r="E46" s="17" t="s">
        <v>13</v>
      </c>
      <c r="F46" s="17" t="s">
        <v>7</v>
      </c>
      <c r="G46" s="17" t="s">
        <v>37</v>
      </c>
      <c r="H46" s="17" t="s">
        <v>62</v>
      </c>
      <c r="J46" s="18" t="s">
        <v>33</v>
      </c>
      <c r="K46" s="18" t="s">
        <v>6</v>
      </c>
      <c r="L46" s="18" t="s">
        <v>2</v>
      </c>
      <c r="M46" s="18" t="s">
        <v>7</v>
      </c>
      <c r="N46" s="18" t="s">
        <v>37</v>
      </c>
      <c r="O46" s="18" t="s">
        <v>62</v>
      </c>
      <c r="Q46" s="18" t="s">
        <v>33</v>
      </c>
      <c r="R46" s="18" t="s">
        <v>6</v>
      </c>
      <c r="S46" s="18" t="s">
        <v>2</v>
      </c>
      <c r="T46" s="18" t="s">
        <v>7</v>
      </c>
      <c r="U46" s="18" t="s">
        <v>37</v>
      </c>
      <c r="V46" s="18" t="s">
        <v>62</v>
      </c>
      <c r="X46" s="18" t="s">
        <v>33</v>
      </c>
      <c r="Y46" s="18" t="s">
        <v>6</v>
      </c>
      <c r="Z46" s="18" t="s">
        <v>2</v>
      </c>
      <c r="AA46" s="18" t="s">
        <v>7</v>
      </c>
      <c r="AB46" s="18" t="s">
        <v>37</v>
      </c>
      <c r="AC46" s="18" t="s">
        <v>62</v>
      </c>
    </row>
    <row r="47" spans="1:29" x14ac:dyDescent="0.25">
      <c r="A47" t="s">
        <v>10</v>
      </c>
      <c r="C47" s="1">
        <f>38/50</f>
        <v>0.76</v>
      </c>
      <c r="D47" s="1"/>
      <c r="E47" s="6">
        <f>38/42</f>
        <v>0.90476190476190477</v>
      </c>
      <c r="F47" s="2">
        <f>AVERAGE(B48:B85)</f>
        <v>67.013157894736835</v>
      </c>
      <c r="G47" s="2">
        <f>STDEV(B48:B85)</f>
        <v>70.067871231737655</v>
      </c>
      <c r="H47" s="2">
        <f>STDEV(B48:B85)/SQRT(38)</f>
        <v>11.366509646819756</v>
      </c>
      <c r="J47" t="s">
        <v>16</v>
      </c>
      <c r="L47" s="7">
        <f>40/50</f>
        <v>0.8</v>
      </c>
      <c r="M47" s="2">
        <f>AVERAGE(K48:K87)</f>
        <v>4.5406250000000004</v>
      </c>
      <c r="N47" s="2">
        <f>STDEV(K48:K87)</f>
        <v>2.7480161113204784</v>
      </c>
      <c r="O47" s="2">
        <f>STDEV(K48:K87)/SQRT(40)</f>
        <v>0.43449949793057652</v>
      </c>
      <c r="Q47" t="s">
        <v>31</v>
      </c>
      <c r="S47" s="7">
        <f>18/50</f>
        <v>0.36</v>
      </c>
      <c r="T47" s="2">
        <f>AVERAGE(R48:R65)</f>
        <v>3.7222222222222223</v>
      </c>
      <c r="U47" s="2">
        <f>STDEV(R48:R65)</f>
        <v>2.9641099359535064</v>
      </c>
      <c r="V47" s="2">
        <f>STDEV(R48:R65)</f>
        <v>2.9641099359535064</v>
      </c>
      <c r="X47" t="s">
        <v>32</v>
      </c>
      <c r="Z47" s="7">
        <f>27/50</f>
        <v>0.54</v>
      </c>
      <c r="AA47" s="2">
        <f>AVERAGE(Y48:Y74)</f>
        <v>4.6574074074074074</v>
      </c>
      <c r="AB47" s="2">
        <f>STDEV(Y48:Y74)</f>
        <v>3.7237208362197163</v>
      </c>
      <c r="AC47">
        <f>STDEV(Y48:Y74)/SQRT(27)</f>
        <v>0.71663040905949049</v>
      </c>
    </row>
    <row r="48" spans="1:29" x14ac:dyDescent="0.25">
      <c r="A48">
        <v>1</v>
      </c>
      <c r="B48">
        <f>5.5*4</f>
        <v>22</v>
      </c>
      <c r="J48">
        <v>1</v>
      </c>
      <c r="K48">
        <f>2*1.5</f>
        <v>3</v>
      </c>
      <c r="Q48">
        <v>1</v>
      </c>
      <c r="R48">
        <f>1*1.5</f>
        <v>1.5</v>
      </c>
      <c r="X48">
        <v>1</v>
      </c>
      <c r="Y48">
        <f>2*2</f>
        <v>4</v>
      </c>
    </row>
    <row r="49" spans="1:25" x14ac:dyDescent="0.25">
      <c r="A49">
        <v>2</v>
      </c>
      <c r="B49">
        <f>7*5</f>
        <v>35</v>
      </c>
      <c r="J49">
        <v>2</v>
      </c>
      <c r="K49">
        <f>1*1</f>
        <v>1</v>
      </c>
      <c r="Q49">
        <v>2</v>
      </c>
      <c r="R49">
        <f>0.5*1</f>
        <v>0.5</v>
      </c>
      <c r="X49">
        <v>2</v>
      </c>
      <c r="Y49">
        <f>1.5*1.5</f>
        <v>2.25</v>
      </c>
    </row>
    <row r="50" spans="1:25" x14ac:dyDescent="0.25">
      <c r="A50">
        <v>3</v>
      </c>
      <c r="B50">
        <f>12*12</f>
        <v>144</v>
      </c>
      <c r="J50">
        <v>3</v>
      </c>
      <c r="K50">
        <f>1.5*1</f>
        <v>1.5</v>
      </c>
      <c r="Q50">
        <v>3</v>
      </c>
      <c r="R50">
        <f>2.5*3.5</f>
        <v>8.75</v>
      </c>
      <c r="X50">
        <v>3</v>
      </c>
      <c r="Y50">
        <f>1.5*2</f>
        <v>3</v>
      </c>
    </row>
    <row r="51" spans="1:25" x14ac:dyDescent="0.25">
      <c r="A51">
        <v>4</v>
      </c>
      <c r="B51">
        <f>9*5</f>
        <v>45</v>
      </c>
      <c r="J51">
        <v>4</v>
      </c>
      <c r="K51">
        <f>2*1.5</f>
        <v>3</v>
      </c>
      <c r="Q51">
        <v>4</v>
      </c>
      <c r="R51">
        <f>3.5*2.5</f>
        <v>8.75</v>
      </c>
      <c r="X51">
        <v>4</v>
      </c>
      <c r="Y51">
        <f>1*0.5</f>
        <v>0.5</v>
      </c>
    </row>
    <row r="52" spans="1:25" x14ac:dyDescent="0.25">
      <c r="A52">
        <v>5</v>
      </c>
      <c r="B52">
        <f>15*10</f>
        <v>150</v>
      </c>
      <c r="J52">
        <v>5</v>
      </c>
      <c r="K52">
        <f>2*2.5</f>
        <v>5</v>
      </c>
      <c r="Q52">
        <v>5</v>
      </c>
      <c r="R52">
        <f>2.5*2</f>
        <v>5</v>
      </c>
      <c r="X52">
        <v>5</v>
      </c>
      <c r="Y52">
        <f>2*1.5</f>
        <v>3</v>
      </c>
    </row>
    <row r="53" spans="1:25" x14ac:dyDescent="0.25">
      <c r="A53">
        <v>6</v>
      </c>
      <c r="B53">
        <f>10*6</f>
        <v>60</v>
      </c>
      <c r="J53">
        <v>6</v>
      </c>
      <c r="K53">
        <f>1.25*1.5</f>
        <v>1.875</v>
      </c>
      <c r="Q53">
        <v>6</v>
      </c>
      <c r="R53">
        <f>3.5*2</f>
        <v>7</v>
      </c>
      <c r="X53">
        <v>6</v>
      </c>
      <c r="Y53">
        <f>2.5*1</f>
        <v>2.5</v>
      </c>
    </row>
    <row r="54" spans="1:25" x14ac:dyDescent="0.25">
      <c r="A54">
        <v>7</v>
      </c>
      <c r="B54">
        <f>10*6</f>
        <v>60</v>
      </c>
      <c r="J54">
        <v>7</v>
      </c>
      <c r="K54">
        <f>1.5*1</f>
        <v>1.5</v>
      </c>
      <c r="Q54">
        <v>7</v>
      </c>
      <c r="R54">
        <f>1*1</f>
        <v>1</v>
      </c>
      <c r="X54">
        <v>7</v>
      </c>
      <c r="Y54">
        <f>2*2</f>
        <v>4</v>
      </c>
    </row>
    <row r="55" spans="1:25" x14ac:dyDescent="0.25">
      <c r="A55">
        <v>8</v>
      </c>
      <c r="B55">
        <f>8.5*5</f>
        <v>42.5</v>
      </c>
      <c r="J55">
        <v>8</v>
      </c>
      <c r="K55">
        <f>1.5*1.5</f>
        <v>2.25</v>
      </c>
      <c r="Q55">
        <v>8</v>
      </c>
      <c r="R55">
        <f>1*1.5</f>
        <v>1.5</v>
      </c>
      <c r="X55">
        <v>8</v>
      </c>
      <c r="Y55">
        <f>2*2</f>
        <v>4</v>
      </c>
    </row>
    <row r="56" spans="1:25" x14ac:dyDescent="0.25">
      <c r="A56">
        <v>9</v>
      </c>
      <c r="B56">
        <f>8*5</f>
        <v>40</v>
      </c>
      <c r="J56">
        <v>9</v>
      </c>
      <c r="K56">
        <f>1.5*1.5</f>
        <v>2.25</v>
      </c>
      <c r="Q56">
        <v>9</v>
      </c>
      <c r="R56">
        <f>3*2.5</f>
        <v>7.5</v>
      </c>
      <c r="X56">
        <v>9</v>
      </c>
      <c r="Y56">
        <f>2.5*3</f>
        <v>7.5</v>
      </c>
    </row>
    <row r="57" spans="1:25" x14ac:dyDescent="0.25">
      <c r="A57">
        <v>10</v>
      </c>
      <c r="B57">
        <f>12*5</f>
        <v>60</v>
      </c>
      <c r="J57">
        <v>10</v>
      </c>
      <c r="K57">
        <f>1*1</f>
        <v>1</v>
      </c>
      <c r="Q57">
        <v>10</v>
      </c>
      <c r="R57">
        <f>0.5*1</f>
        <v>0.5</v>
      </c>
      <c r="X57">
        <v>10</v>
      </c>
      <c r="Y57">
        <f>5*3</f>
        <v>15</v>
      </c>
    </row>
    <row r="58" spans="1:25" x14ac:dyDescent="0.25">
      <c r="A58">
        <v>11</v>
      </c>
      <c r="B58">
        <f>11*8</f>
        <v>88</v>
      </c>
      <c r="J58">
        <v>11</v>
      </c>
      <c r="K58">
        <f>2*2.5</f>
        <v>5</v>
      </c>
      <c r="Q58">
        <v>11</v>
      </c>
      <c r="R58">
        <f>2*2.5</f>
        <v>5</v>
      </c>
      <c r="X58">
        <v>11</v>
      </c>
      <c r="Y58">
        <f>5*3</f>
        <v>15</v>
      </c>
    </row>
    <row r="59" spans="1:25" x14ac:dyDescent="0.25">
      <c r="A59">
        <v>12</v>
      </c>
      <c r="B59">
        <f>11.5*7</f>
        <v>80.5</v>
      </c>
      <c r="J59">
        <v>12</v>
      </c>
      <c r="K59">
        <f>2*2.5</f>
        <v>5</v>
      </c>
      <c r="Q59">
        <v>12</v>
      </c>
      <c r="R59">
        <f>1*1</f>
        <v>1</v>
      </c>
      <c r="X59">
        <v>12</v>
      </c>
      <c r="Y59">
        <f>3*1.5</f>
        <v>4.5</v>
      </c>
    </row>
    <row r="60" spans="1:25" x14ac:dyDescent="0.25">
      <c r="A60">
        <v>13</v>
      </c>
      <c r="B60">
        <f>18*20</f>
        <v>360</v>
      </c>
      <c r="J60">
        <v>13</v>
      </c>
      <c r="K60">
        <f>1.5*2</f>
        <v>3</v>
      </c>
      <c r="Q60">
        <v>13</v>
      </c>
      <c r="R60">
        <f>2*2</f>
        <v>4</v>
      </c>
      <c r="X60">
        <v>13</v>
      </c>
      <c r="Y60">
        <f>2.5*2</f>
        <v>5</v>
      </c>
    </row>
    <row r="61" spans="1:25" x14ac:dyDescent="0.25">
      <c r="A61">
        <v>14</v>
      </c>
      <c r="B61">
        <f>5*3.5</f>
        <v>17.5</v>
      </c>
      <c r="J61">
        <v>14</v>
      </c>
      <c r="K61">
        <f>2*1.5</f>
        <v>3</v>
      </c>
      <c r="Q61">
        <v>14</v>
      </c>
      <c r="R61">
        <f>0.5*0.5</f>
        <v>0.25</v>
      </c>
      <c r="X61">
        <v>14</v>
      </c>
      <c r="Y61">
        <f>1*1</f>
        <v>1</v>
      </c>
    </row>
    <row r="62" spans="1:25" x14ac:dyDescent="0.25">
      <c r="A62">
        <v>15</v>
      </c>
      <c r="B62">
        <f>12.5*6</f>
        <v>75</v>
      </c>
      <c r="J62">
        <v>15</v>
      </c>
      <c r="K62">
        <f>2*2.5</f>
        <v>5</v>
      </c>
      <c r="Q62">
        <v>15</v>
      </c>
      <c r="R62">
        <f>1*2</f>
        <v>2</v>
      </c>
      <c r="X62">
        <v>15</v>
      </c>
      <c r="Y62">
        <f>2*2.5</f>
        <v>5</v>
      </c>
    </row>
    <row r="63" spans="1:25" x14ac:dyDescent="0.25">
      <c r="A63">
        <v>16</v>
      </c>
      <c r="B63">
        <f>6*4</f>
        <v>24</v>
      </c>
      <c r="J63">
        <v>16</v>
      </c>
      <c r="K63">
        <f>3.5*2</f>
        <v>7</v>
      </c>
      <c r="Q63">
        <v>16</v>
      </c>
      <c r="R63">
        <f>2*1</f>
        <v>2</v>
      </c>
      <c r="X63">
        <v>16</v>
      </c>
      <c r="Y63">
        <f>1.5*2</f>
        <v>3</v>
      </c>
    </row>
    <row r="64" spans="1:25" x14ac:dyDescent="0.25">
      <c r="A64">
        <v>17</v>
      </c>
      <c r="B64">
        <f>4*3</f>
        <v>12</v>
      </c>
      <c r="J64">
        <v>17</v>
      </c>
      <c r="K64">
        <f>2*2</f>
        <v>4</v>
      </c>
      <c r="Q64">
        <v>17</v>
      </c>
      <c r="R64">
        <f>2.5*2.5</f>
        <v>6.25</v>
      </c>
      <c r="X64">
        <v>17</v>
      </c>
      <c r="Y64">
        <f>3*3</f>
        <v>9</v>
      </c>
    </row>
    <row r="65" spans="1:25" x14ac:dyDescent="0.25">
      <c r="A65">
        <v>18</v>
      </c>
      <c r="B65">
        <f>6*3</f>
        <v>18</v>
      </c>
      <c r="J65">
        <v>18</v>
      </c>
      <c r="K65">
        <f>2.5*2</f>
        <v>5</v>
      </c>
      <c r="Q65">
        <v>18</v>
      </c>
      <c r="R65">
        <f>2*2.25</f>
        <v>4.5</v>
      </c>
      <c r="X65">
        <v>18</v>
      </c>
      <c r="Y65">
        <f>1*1</f>
        <v>1</v>
      </c>
    </row>
    <row r="66" spans="1:25" x14ac:dyDescent="0.25">
      <c r="A66">
        <v>19</v>
      </c>
      <c r="B66">
        <f>1.5*2</f>
        <v>3</v>
      </c>
      <c r="J66">
        <v>19</v>
      </c>
      <c r="K66">
        <f>2.5*2</f>
        <v>5</v>
      </c>
      <c r="X66">
        <v>19</v>
      </c>
      <c r="Y66">
        <f>3*0.25</f>
        <v>0.75</v>
      </c>
    </row>
    <row r="67" spans="1:25" x14ac:dyDescent="0.25">
      <c r="A67">
        <v>20</v>
      </c>
      <c r="B67">
        <f>6*4</f>
        <v>24</v>
      </c>
      <c r="J67">
        <v>20</v>
      </c>
      <c r="K67">
        <f>3.25*2</f>
        <v>6.5</v>
      </c>
      <c r="X67">
        <v>20</v>
      </c>
      <c r="Y67">
        <f>2.5*2</f>
        <v>5</v>
      </c>
    </row>
    <row r="68" spans="1:25" x14ac:dyDescent="0.25">
      <c r="A68">
        <v>21</v>
      </c>
      <c r="B68">
        <f>10*5</f>
        <v>50</v>
      </c>
      <c r="J68">
        <v>21</v>
      </c>
      <c r="K68">
        <f>2.5*2.5</f>
        <v>6.25</v>
      </c>
      <c r="X68">
        <v>21</v>
      </c>
      <c r="Y68">
        <f>3*2</f>
        <v>6</v>
      </c>
    </row>
    <row r="69" spans="1:25" x14ac:dyDescent="0.25">
      <c r="A69">
        <v>22</v>
      </c>
      <c r="B69">
        <f>14-19</f>
        <v>-5</v>
      </c>
      <c r="J69">
        <v>22</v>
      </c>
      <c r="K69">
        <f>1*1</f>
        <v>1</v>
      </c>
      <c r="X69">
        <v>22</v>
      </c>
      <c r="Y69">
        <f>2*1</f>
        <v>2</v>
      </c>
    </row>
    <row r="70" spans="1:25" x14ac:dyDescent="0.25">
      <c r="A70">
        <v>23</v>
      </c>
      <c r="B70">
        <f>6*3</f>
        <v>18</v>
      </c>
      <c r="J70">
        <v>23</v>
      </c>
      <c r="K70">
        <f>3*2</f>
        <v>6</v>
      </c>
      <c r="X70">
        <v>23</v>
      </c>
      <c r="Y70">
        <f>2.5*2</f>
        <v>5</v>
      </c>
    </row>
    <row r="71" spans="1:25" x14ac:dyDescent="0.25">
      <c r="A71">
        <v>24</v>
      </c>
      <c r="B71">
        <f>19*8</f>
        <v>152</v>
      </c>
      <c r="J71">
        <v>24</v>
      </c>
      <c r="K71">
        <f>2*2.5</f>
        <v>5</v>
      </c>
      <c r="X71">
        <v>24</v>
      </c>
      <c r="Y71">
        <f>2*2</f>
        <v>4</v>
      </c>
    </row>
    <row r="72" spans="1:25" x14ac:dyDescent="0.25">
      <c r="A72">
        <v>25</v>
      </c>
      <c r="B72">
        <f>17*15</f>
        <v>255</v>
      </c>
      <c r="J72">
        <v>25</v>
      </c>
      <c r="K72">
        <f>2.5*1.5</f>
        <v>3.75</v>
      </c>
      <c r="X72">
        <v>25</v>
      </c>
      <c r="Y72">
        <f>2*2</f>
        <v>4</v>
      </c>
    </row>
    <row r="73" spans="1:25" x14ac:dyDescent="0.25">
      <c r="A73">
        <v>26</v>
      </c>
      <c r="B73">
        <f>13*7</f>
        <v>91</v>
      </c>
      <c r="J73">
        <v>26</v>
      </c>
      <c r="K73">
        <f>1.5*2</f>
        <v>3</v>
      </c>
      <c r="X73">
        <v>26</v>
      </c>
      <c r="Y73">
        <f>1*1</f>
        <v>1</v>
      </c>
    </row>
    <row r="74" spans="1:25" x14ac:dyDescent="0.25">
      <c r="A74">
        <v>27</v>
      </c>
      <c r="B74">
        <f>10*7</f>
        <v>70</v>
      </c>
      <c r="J74">
        <v>27</v>
      </c>
      <c r="K74">
        <f>2.5*1.5</f>
        <v>3.75</v>
      </c>
      <c r="X74">
        <v>27</v>
      </c>
      <c r="Y74">
        <f>2.5*3.5</f>
        <v>8.75</v>
      </c>
    </row>
    <row r="75" spans="1:25" x14ac:dyDescent="0.25">
      <c r="A75">
        <v>28</v>
      </c>
      <c r="B75">
        <f>12*7</f>
        <v>84</v>
      </c>
      <c r="J75">
        <v>28</v>
      </c>
      <c r="K75">
        <f>5*3</f>
        <v>15</v>
      </c>
    </row>
    <row r="76" spans="1:25" x14ac:dyDescent="0.25">
      <c r="A76">
        <v>29</v>
      </c>
      <c r="B76">
        <f>8*6</f>
        <v>48</v>
      </c>
      <c r="J76">
        <v>29</v>
      </c>
      <c r="K76">
        <f>4.25*2</f>
        <v>8.5</v>
      </c>
    </row>
    <row r="77" spans="1:25" x14ac:dyDescent="0.25">
      <c r="A77">
        <v>30</v>
      </c>
      <c r="B77">
        <f>9*5</f>
        <v>45</v>
      </c>
      <c r="J77">
        <v>30</v>
      </c>
      <c r="K77">
        <f>3*1.5</f>
        <v>4.5</v>
      </c>
    </row>
    <row r="78" spans="1:25" x14ac:dyDescent="0.25">
      <c r="A78">
        <v>31</v>
      </c>
      <c r="B78">
        <f>10*6</f>
        <v>60</v>
      </c>
      <c r="J78">
        <v>31</v>
      </c>
      <c r="K78">
        <f>2*1</f>
        <v>2</v>
      </c>
    </row>
    <row r="79" spans="1:25" x14ac:dyDescent="0.25">
      <c r="A79">
        <v>32</v>
      </c>
      <c r="B79">
        <f>12.5*8</f>
        <v>100</v>
      </c>
      <c r="J79">
        <v>32</v>
      </c>
      <c r="K79">
        <f>1*1.5</f>
        <v>1.5</v>
      </c>
    </row>
    <row r="80" spans="1:25" x14ac:dyDescent="0.25">
      <c r="A80">
        <v>33</v>
      </c>
      <c r="B80">
        <f>5*4</f>
        <v>20</v>
      </c>
      <c r="J80">
        <v>33</v>
      </c>
      <c r="K80">
        <f>2.5*2.5</f>
        <v>6.25</v>
      </c>
    </row>
    <row r="81" spans="1:29" x14ac:dyDescent="0.25">
      <c r="A81">
        <v>34</v>
      </c>
      <c r="B81">
        <f>11*6</f>
        <v>66</v>
      </c>
      <c r="J81">
        <v>34</v>
      </c>
      <c r="K81">
        <f>2.5*3</f>
        <v>7.5</v>
      </c>
    </row>
    <row r="82" spans="1:29" x14ac:dyDescent="0.25">
      <c r="A82">
        <v>35</v>
      </c>
      <c r="B82">
        <f>6*4</f>
        <v>24</v>
      </c>
      <c r="J82">
        <v>35</v>
      </c>
      <c r="K82">
        <f>2*2.5</f>
        <v>5</v>
      </c>
    </row>
    <row r="83" spans="1:29" x14ac:dyDescent="0.25">
      <c r="A83">
        <v>36</v>
      </c>
      <c r="B83">
        <f>10*6</f>
        <v>60</v>
      </c>
      <c r="J83">
        <v>36</v>
      </c>
      <c r="K83">
        <f>2*2</f>
        <v>4</v>
      </c>
    </row>
    <row r="84" spans="1:29" x14ac:dyDescent="0.25">
      <c r="A84">
        <v>37</v>
      </c>
      <c r="B84">
        <f>8*5</f>
        <v>40</v>
      </c>
      <c r="J84">
        <v>37</v>
      </c>
      <c r="K84">
        <f>2.5*1.5</f>
        <v>3.75</v>
      </c>
    </row>
    <row r="85" spans="1:29" x14ac:dyDescent="0.25">
      <c r="A85">
        <v>38</v>
      </c>
      <c r="B85">
        <f>4*2</f>
        <v>8</v>
      </c>
      <c r="J85">
        <v>38</v>
      </c>
      <c r="K85">
        <f>3*2.5</f>
        <v>7.5</v>
      </c>
    </row>
    <row r="86" spans="1:29" x14ac:dyDescent="0.25">
      <c r="J86">
        <v>39</v>
      </c>
      <c r="K86">
        <f>3*3</f>
        <v>9</v>
      </c>
    </row>
    <row r="87" spans="1:29" x14ac:dyDescent="0.25">
      <c r="J87">
        <v>40</v>
      </c>
      <c r="K87">
        <f>2.5*3</f>
        <v>7.5</v>
      </c>
    </row>
    <row r="88" spans="1:29" ht="45" x14ac:dyDescent="0.25">
      <c r="A88" s="17" t="s">
        <v>14</v>
      </c>
      <c r="B88" s="17" t="s">
        <v>6</v>
      </c>
      <c r="C88" s="17" t="s">
        <v>2</v>
      </c>
      <c r="D88" s="17" t="s">
        <v>50</v>
      </c>
      <c r="E88" s="17" t="s">
        <v>13</v>
      </c>
      <c r="F88" s="17" t="s">
        <v>7</v>
      </c>
      <c r="G88" s="17" t="s">
        <v>37</v>
      </c>
      <c r="H88" s="17" t="s">
        <v>62</v>
      </c>
      <c r="J88" s="18" t="s">
        <v>34</v>
      </c>
      <c r="K88" s="18" t="s">
        <v>6</v>
      </c>
      <c r="L88" s="18" t="s">
        <v>2</v>
      </c>
      <c r="M88" s="18" t="s">
        <v>7</v>
      </c>
      <c r="N88" s="18" t="s">
        <v>37</v>
      </c>
      <c r="O88" s="18" t="s">
        <v>62</v>
      </c>
      <c r="Q88" s="18" t="s">
        <v>34</v>
      </c>
      <c r="R88" s="18" t="s">
        <v>6</v>
      </c>
      <c r="S88" s="18" t="s">
        <v>2</v>
      </c>
      <c r="T88" s="18" t="s">
        <v>7</v>
      </c>
      <c r="U88" s="18" t="s">
        <v>37</v>
      </c>
      <c r="V88" s="18" t="s">
        <v>62</v>
      </c>
      <c r="X88" s="18" t="s">
        <v>34</v>
      </c>
      <c r="Y88" s="18" t="s">
        <v>6</v>
      </c>
      <c r="Z88" s="18" t="s">
        <v>2</v>
      </c>
      <c r="AA88" s="18" t="s">
        <v>7</v>
      </c>
      <c r="AB88" s="18" t="s">
        <v>37</v>
      </c>
      <c r="AC88" s="18" t="s">
        <v>62</v>
      </c>
    </row>
    <row r="89" spans="1:29" x14ac:dyDescent="0.25">
      <c r="A89" t="s">
        <v>10</v>
      </c>
      <c r="C89" s="1">
        <f>37/50</f>
        <v>0.74</v>
      </c>
      <c r="D89" s="1"/>
      <c r="E89" s="6">
        <f>37/42</f>
        <v>0.88095238095238093</v>
      </c>
      <c r="F89" s="2">
        <f>AVERAGE(B90:B126)</f>
        <v>235.08378378378379</v>
      </c>
      <c r="G89" s="2">
        <f>STDEV(B90:B126)</f>
        <v>395.32945649695034</v>
      </c>
      <c r="H89" s="2">
        <f>STDEV(B90:B126)/SQRT(37)</f>
        <v>64.991762300075933</v>
      </c>
      <c r="J89" t="s">
        <v>16</v>
      </c>
      <c r="L89" s="7">
        <f>40/50</f>
        <v>0.8</v>
      </c>
      <c r="M89" s="2">
        <f>AVERAGE(K90:K129)</f>
        <v>4.7</v>
      </c>
      <c r="N89" s="2">
        <f>STDEV(K90:K129)</f>
        <v>3.1669365606982369</v>
      </c>
      <c r="O89" s="2">
        <f>STDEV(K90:K129)/SQRT(40)</f>
        <v>0.5007366368533257</v>
      </c>
      <c r="Q89" t="s">
        <v>31</v>
      </c>
      <c r="S89" s="7">
        <f>18/50</f>
        <v>0.36</v>
      </c>
      <c r="T89" s="2">
        <f>AVERAGE(R90:R107)</f>
        <v>4.09375</v>
      </c>
      <c r="U89" s="2">
        <f>STDEV(R90:R107)</f>
        <v>5.4438244997265963</v>
      </c>
      <c r="V89" s="2">
        <f>STDEV(R90:R107)/SQRT(18)</f>
        <v>1.2831217397820471</v>
      </c>
      <c r="X89" t="s">
        <v>32</v>
      </c>
      <c r="Z89" s="7">
        <f>29/50</f>
        <v>0.57999999999999996</v>
      </c>
      <c r="AA89" s="2">
        <f>AVERAGE(Y90:Y118)</f>
        <v>4.6637931034482758</v>
      </c>
      <c r="AB89" s="2">
        <f>STDEV(Y90:Y118)</f>
        <v>4.0257407604005921</v>
      </c>
      <c r="AC89">
        <f>STDEV(Y90:Y118)/SQRT(29)</f>
        <v>0.74756129191572995</v>
      </c>
    </row>
    <row r="90" spans="1:29" x14ac:dyDescent="0.25">
      <c r="A90">
        <v>1</v>
      </c>
      <c r="B90">
        <f>20*10</f>
        <v>200</v>
      </c>
      <c r="J90">
        <v>1</v>
      </c>
      <c r="K90">
        <f>2*2</f>
        <v>4</v>
      </c>
      <c r="Q90">
        <v>1</v>
      </c>
      <c r="R90">
        <f>1.25*1.25</f>
        <v>1.5625</v>
      </c>
      <c r="X90">
        <v>1</v>
      </c>
      <c r="Y90">
        <f>2*2</f>
        <v>4</v>
      </c>
    </row>
    <row r="91" spans="1:29" x14ac:dyDescent="0.25">
      <c r="A91">
        <v>2</v>
      </c>
      <c r="B91">
        <f>10*5</f>
        <v>50</v>
      </c>
      <c r="J91">
        <v>2</v>
      </c>
      <c r="K91">
        <f>3.5*3.5</f>
        <v>12.25</v>
      </c>
      <c r="Q91">
        <v>2</v>
      </c>
      <c r="R91">
        <f>0.5*0.5</f>
        <v>0.25</v>
      </c>
      <c r="X91">
        <v>2</v>
      </c>
      <c r="Y91">
        <f>2*2</f>
        <v>4</v>
      </c>
    </row>
    <row r="92" spans="1:29" x14ac:dyDescent="0.25">
      <c r="A92">
        <v>3</v>
      </c>
      <c r="B92">
        <f>6*3</f>
        <v>18</v>
      </c>
      <c r="J92">
        <v>3</v>
      </c>
      <c r="K92">
        <f>1.5*2.5</f>
        <v>3.75</v>
      </c>
      <c r="Q92">
        <v>3</v>
      </c>
      <c r="R92">
        <f>2*1.5</f>
        <v>3</v>
      </c>
      <c r="X92">
        <v>3</v>
      </c>
      <c r="Y92">
        <f>2.25*1</f>
        <v>2.25</v>
      </c>
    </row>
    <row r="93" spans="1:29" x14ac:dyDescent="0.25">
      <c r="A93">
        <v>4</v>
      </c>
      <c r="B93">
        <f>10*6</f>
        <v>60</v>
      </c>
      <c r="J93">
        <v>4</v>
      </c>
      <c r="K93">
        <f>2.5*2.5</f>
        <v>6.25</v>
      </c>
      <c r="Q93">
        <v>4</v>
      </c>
      <c r="R93">
        <f>2.5*3.25</f>
        <v>8.125</v>
      </c>
      <c r="X93">
        <v>4</v>
      </c>
      <c r="Y93">
        <f>2*1</f>
        <v>2</v>
      </c>
    </row>
    <row r="94" spans="1:29" x14ac:dyDescent="0.25">
      <c r="A94">
        <v>5</v>
      </c>
      <c r="B94">
        <f>15*10</f>
        <v>150</v>
      </c>
      <c r="J94">
        <v>5</v>
      </c>
      <c r="K94">
        <f>2.5*2</f>
        <v>5</v>
      </c>
      <c r="Q94">
        <v>5</v>
      </c>
      <c r="R94">
        <f>2.5*4</f>
        <v>10</v>
      </c>
      <c r="X94">
        <v>5</v>
      </c>
      <c r="Y94">
        <f>1.5*1</f>
        <v>1.5</v>
      </c>
    </row>
    <row r="95" spans="1:29" x14ac:dyDescent="0.25">
      <c r="A95">
        <v>6</v>
      </c>
      <c r="B95">
        <f>58*36</f>
        <v>2088</v>
      </c>
      <c r="J95">
        <v>6</v>
      </c>
      <c r="K95">
        <f>2.5*2.5</f>
        <v>6.25</v>
      </c>
      <c r="Q95">
        <v>6</v>
      </c>
      <c r="R95">
        <f>5.5*4</f>
        <v>22</v>
      </c>
      <c r="X95">
        <v>6</v>
      </c>
      <c r="Y95">
        <f>2*1.5</f>
        <v>3</v>
      </c>
    </row>
    <row r="96" spans="1:29" x14ac:dyDescent="0.25">
      <c r="A96">
        <v>7</v>
      </c>
      <c r="B96">
        <f>22*22</f>
        <v>484</v>
      </c>
      <c r="J96">
        <v>7</v>
      </c>
      <c r="K96">
        <f>1.5*1</f>
        <v>1.5</v>
      </c>
      <c r="Q96">
        <v>7</v>
      </c>
      <c r="R96">
        <f>1*0.5</f>
        <v>0.5</v>
      </c>
      <c r="X96">
        <v>7</v>
      </c>
      <c r="Y96">
        <f>0.5*0.5</f>
        <v>0.25</v>
      </c>
    </row>
    <row r="97" spans="1:25" x14ac:dyDescent="0.25">
      <c r="A97">
        <v>8</v>
      </c>
      <c r="B97">
        <f>22.5*16</f>
        <v>360</v>
      </c>
      <c r="J97">
        <v>8</v>
      </c>
      <c r="K97">
        <f>3.5*3.5</f>
        <v>12.25</v>
      </c>
      <c r="Q97">
        <v>8</v>
      </c>
      <c r="R97">
        <f>3*3</f>
        <v>9</v>
      </c>
      <c r="X97">
        <v>8</v>
      </c>
      <c r="Y97">
        <f>2.5*3</f>
        <v>7.5</v>
      </c>
    </row>
    <row r="98" spans="1:25" x14ac:dyDescent="0.25">
      <c r="A98">
        <v>9</v>
      </c>
      <c r="B98">
        <f>22*16</f>
        <v>352</v>
      </c>
      <c r="J98">
        <v>9</v>
      </c>
      <c r="K98">
        <f>1*1.5</f>
        <v>1.5</v>
      </c>
      <c r="Q98">
        <v>9</v>
      </c>
      <c r="R98">
        <f>2.5*2</f>
        <v>5</v>
      </c>
      <c r="X98">
        <v>9</v>
      </c>
      <c r="Y98">
        <f>5*3</f>
        <v>15</v>
      </c>
    </row>
    <row r="99" spans="1:25" x14ac:dyDescent="0.25">
      <c r="A99">
        <v>10</v>
      </c>
      <c r="B99">
        <f>36*35</f>
        <v>1260</v>
      </c>
      <c r="J99">
        <v>10</v>
      </c>
      <c r="K99">
        <f>2.5*3.5</f>
        <v>8.75</v>
      </c>
      <c r="Q99">
        <v>10</v>
      </c>
      <c r="R99">
        <f>0.5*0.5</f>
        <v>0.25</v>
      </c>
      <c r="X99">
        <v>10</v>
      </c>
      <c r="Y99">
        <f>5.5*3</f>
        <v>16.5</v>
      </c>
    </row>
    <row r="100" spans="1:25" x14ac:dyDescent="0.25">
      <c r="A100">
        <v>11</v>
      </c>
      <c r="B100">
        <f>29*15</f>
        <v>435</v>
      </c>
      <c r="J100">
        <v>11</v>
      </c>
      <c r="K100">
        <f>3*4</f>
        <v>12</v>
      </c>
      <c r="Q100">
        <v>11</v>
      </c>
      <c r="R100">
        <f>1.5*1</f>
        <v>1.5</v>
      </c>
      <c r="X100">
        <v>11</v>
      </c>
      <c r="Y100">
        <f>2.5*2.5</f>
        <v>6.25</v>
      </c>
    </row>
    <row r="101" spans="1:25" x14ac:dyDescent="0.25">
      <c r="A101">
        <v>12</v>
      </c>
      <c r="B101">
        <f>6*3</f>
        <v>18</v>
      </c>
      <c r="J101">
        <v>12</v>
      </c>
      <c r="K101">
        <f>3.5*2.5</f>
        <v>8.75</v>
      </c>
      <c r="Q101">
        <v>12</v>
      </c>
      <c r="R101">
        <f>2.5*1.5</f>
        <v>3.75</v>
      </c>
      <c r="X101">
        <v>12</v>
      </c>
      <c r="Y101">
        <f>2*2</f>
        <v>4</v>
      </c>
    </row>
    <row r="102" spans="1:25" x14ac:dyDescent="0.25">
      <c r="A102">
        <v>13</v>
      </c>
      <c r="B102">
        <f>10*4</f>
        <v>40</v>
      </c>
      <c r="J102">
        <v>13</v>
      </c>
      <c r="K102">
        <f>1*1.5</f>
        <v>1.5</v>
      </c>
      <c r="Q102">
        <v>13</v>
      </c>
      <c r="R102">
        <f>0.5*0.5</f>
        <v>0.25</v>
      </c>
      <c r="X102">
        <v>13</v>
      </c>
      <c r="Y102">
        <f>1.5*1</f>
        <v>1.5</v>
      </c>
    </row>
    <row r="103" spans="1:25" x14ac:dyDescent="0.25">
      <c r="A103">
        <v>14</v>
      </c>
      <c r="B103">
        <f>12*6</f>
        <v>72</v>
      </c>
      <c r="J103">
        <v>14</v>
      </c>
      <c r="K103">
        <f>1.5*2.5</f>
        <v>3.75</v>
      </c>
      <c r="Q103">
        <v>14</v>
      </c>
      <c r="R103">
        <f>1*0.75</f>
        <v>0.75</v>
      </c>
      <c r="X103">
        <v>14</v>
      </c>
      <c r="Y103">
        <f>3*3.5</f>
        <v>10.5</v>
      </c>
    </row>
    <row r="104" spans="1:25" x14ac:dyDescent="0.25">
      <c r="A104">
        <v>15</v>
      </c>
      <c r="B104">
        <f>12*7</f>
        <v>84</v>
      </c>
      <c r="J104">
        <v>15</v>
      </c>
      <c r="K104">
        <v>2</v>
      </c>
      <c r="Q104">
        <v>15</v>
      </c>
      <c r="R104">
        <f>2.5*1.5</f>
        <v>3.75</v>
      </c>
      <c r="X104">
        <v>15</v>
      </c>
      <c r="Y104">
        <f>2.5*1.5</f>
        <v>3.75</v>
      </c>
    </row>
    <row r="105" spans="1:25" x14ac:dyDescent="0.25">
      <c r="A105">
        <v>16</v>
      </c>
      <c r="B105">
        <f>12*6</f>
        <v>72</v>
      </c>
      <c r="J105">
        <v>16</v>
      </c>
      <c r="K105">
        <f>1*1.5</f>
        <v>1.5</v>
      </c>
      <c r="Q105">
        <v>16</v>
      </c>
      <c r="R105">
        <f>1.5*1.5</f>
        <v>2.25</v>
      </c>
      <c r="X105">
        <v>16</v>
      </c>
      <c r="Y105">
        <f>2.25*1</f>
        <v>2.25</v>
      </c>
    </row>
    <row r="106" spans="1:25" x14ac:dyDescent="0.25">
      <c r="A106">
        <v>17</v>
      </c>
      <c r="B106">
        <f>26*21</f>
        <v>546</v>
      </c>
      <c r="J106">
        <v>17</v>
      </c>
      <c r="K106">
        <f>2.5*2.5</f>
        <v>6.25</v>
      </c>
      <c r="Q106">
        <v>17</v>
      </c>
      <c r="R106">
        <f>1*1</f>
        <v>1</v>
      </c>
      <c r="X106">
        <v>17</v>
      </c>
      <c r="Y106">
        <f>2.25*1</f>
        <v>2.25</v>
      </c>
    </row>
    <row r="107" spans="1:25" x14ac:dyDescent="0.25">
      <c r="A107">
        <v>18</v>
      </c>
      <c r="B107">
        <f>27*21</f>
        <v>567</v>
      </c>
      <c r="J107">
        <v>18</v>
      </c>
      <c r="K107">
        <f>3.5*2</f>
        <v>7</v>
      </c>
      <c r="Q107">
        <v>18</v>
      </c>
      <c r="R107">
        <f>1*0.75</f>
        <v>0.75</v>
      </c>
      <c r="X107">
        <v>18</v>
      </c>
      <c r="Y107">
        <f>2*2.5</f>
        <v>5</v>
      </c>
    </row>
    <row r="108" spans="1:25" x14ac:dyDescent="0.25">
      <c r="A108">
        <v>19</v>
      </c>
      <c r="B108">
        <f>18*12</f>
        <v>216</v>
      </c>
      <c r="J108">
        <v>19</v>
      </c>
      <c r="K108">
        <f>2*2</f>
        <v>4</v>
      </c>
      <c r="X108">
        <v>19</v>
      </c>
      <c r="Y108">
        <f>2*1.5</f>
        <v>3</v>
      </c>
    </row>
    <row r="109" spans="1:25" x14ac:dyDescent="0.25">
      <c r="A109">
        <v>20</v>
      </c>
      <c r="B109">
        <f>20*13</f>
        <v>260</v>
      </c>
      <c r="J109">
        <v>20</v>
      </c>
      <c r="K109">
        <f>2.5*4</f>
        <v>10</v>
      </c>
      <c r="X109">
        <v>20</v>
      </c>
      <c r="Y109">
        <f>2.5*1.5</f>
        <v>3.75</v>
      </c>
    </row>
    <row r="110" spans="1:25" x14ac:dyDescent="0.25">
      <c r="A110">
        <v>21</v>
      </c>
      <c r="B110">
        <f>11*6</f>
        <v>66</v>
      </c>
      <c r="J110">
        <v>21</v>
      </c>
      <c r="K110">
        <f>0.5*1.5</f>
        <v>0.75</v>
      </c>
      <c r="X110">
        <v>21</v>
      </c>
      <c r="Y110">
        <f>4*3</f>
        <v>12</v>
      </c>
    </row>
    <row r="111" spans="1:25" x14ac:dyDescent="0.25">
      <c r="A111">
        <v>22</v>
      </c>
      <c r="B111">
        <f>18*8</f>
        <v>144</v>
      </c>
      <c r="J111">
        <v>22</v>
      </c>
      <c r="K111">
        <f>1*1</f>
        <v>1</v>
      </c>
      <c r="X111">
        <v>22</v>
      </c>
      <c r="Y111">
        <f>1.5*1</f>
        <v>1.5</v>
      </c>
    </row>
    <row r="112" spans="1:25" x14ac:dyDescent="0.25">
      <c r="A112">
        <v>23</v>
      </c>
      <c r="B112">
        <f>7*3.5</f>
        <v>24.5</v>
      </c>
      <c r="J112">
        <v>23</v>
      </c>
      <c r="K112">
        <f>2.5*2.5</f>
        <v>6.25</v>
      </c>
      <c r="X112">
        <v>23</v>
      </c>
      <c r="Y112">
        <f>1*1.75</f>
        <v>1.75</v>
      </c>
    </row>
    <row r="113" spans="1:25" x14ac:dyDescent="0.25">
      <c r="A113">
        <v>24</v>
      </c>
      <c r="B113">
        <f>3*2</f>
        <v>6</v>
      </c>
      <c r="J113">
        <v>24</v>
      </c>
      <c r="K113">
        <f>2.5*2</f>
        <v>5</v>
      </c>
      <c r="X113">
        <v>24</v>
      </c>
      <c r="Y113">
        <f>2*2.75</f>
        <v>5.5</v>
      </c>
    </row>
    <row r="114" spans="1:25" x14ac:dyDescent="0.25">
      <c r="A114">
        <v>25</v>
      </c>
      <c r="B114">
        <f>7*3.5</f>
        <v>24.5</v>
      </c>
      <c r="J114">
        <v>25</v>
      </c>
      <c r="K114">
        <f>2*1.5</f>
        <v>3</v>
      </c>
      <c r="X114">
        <v>25</v>
      </c>
      <c r="Y114">
        <f>1*1.5</f>
        <v>1.5</v>
      </c>
    </row>
    <row r="115" spans="1:25" x14ac:dyDescent="0.25">
      <c r="A115">
        <v>26</v>
      </c>
      <c r="B115">
        <f>7*4</f>
        <v>28</v>
      </c>
      <c r="J115">
        <v>26</v>
      </c>
      <c r="K115">
        <f>1.5</f>
        <v>1.5</v>
      </c>
      <c r="X115">
        <v>26</v>
      </c>
      <c r="Y115">
        <f>2*2.5</f>
        <v>5</v>
      </c>
    </row>
    <row r="116" spans="1:25" x14ac:dyDescent="0.25">
      <c r="A116">
        <v>27</v>
      </c>
      <c r="B116">
        <f>5*4</f>
        <v>20</v>
      </c>
      <c r="J116">
        <v>27</v>
      </c>
      <c r="K116">
        <f>1.5*1.5</f>
        <v>2.25</v>
      </c>
      <c r="X116">
        <v>27</v>
      </c>
      <c r="Y116">
        <f>2.5*1.5</f>
        <v>3.75</v>
      </c>
    </row>
    <row r="117" spans="1:25" x14ac:dyDescent="0.25">
      <c r="A117">
        <v>28</v>
      </c>
      <c r="B117">
        <f>14*7</f>
        <v>98</v>
      </c>
      <c r="J117">
        <v>28</v>
      </c>
      <c r="K117">
        <f>2.5*1</f>
        <v>2.5</v>
      </c>
      <c r="X117">
        <v>28</v>
      </c>
      <c r="Y117">
        <f>1.5*2</f>
        <v>3</v>
      </c>
    </row>
    <row r="118" spans="1:25" x14ac:dyDescent="0.25">
      <c r="A118">
        <v>29</v>
      </c>
      <c r="B118">
        <f>14*8</f>
        <v>112</v>
      </c>
      <c r="J118">
        <v>29</v>
      </c>
      <c r="K118">
        <f>2.5*1.5</f>
        <v>3.75</v>
      </c>
      <c r="X118">
        <v>29</v>
      </c>
      <c r="Y118">
        <f>3*1</f>
        <v>3</v>
      </c>
    </row>
    <row r="119" spans="1:25" x14ac:dyDescent="0.25">
      <c r="A119">
        <v>30</v>
      </c>
      <c r="B119">
        <f>8*5</f>
        <v>40</v>
      </c>
      <c r="J119">
        <v>30</v>
      </c>
      <c r="K119">
        <f>2.5*1.5</f>
        <v>3.75</v>
      </c>
    </row>
    <row r="120" spans="1:25" x14ac:dyDescent="0.25">
      <c r="A120">
        <v>31</v>
      </c>
      <c r="B120">
        <f>11*7</f>
        <v>77</v>
      </c>
      <c r="J120">
        <v>31</v>
      </c>
      <c r="K120">
        <f>2*2</f>
        <v>4</v>
      </c>
    </row>
    <row r="121" spans="1:25" x14ac:dyDescent="0.25">
      <c r="A121">
        <v>32</v>
      </c>
      <c r="B121">
        <f>26*12</f>
        <v>312</v>
      </c>
      <c r="J121">
        <v>32</v>
      </c>
      <c r="K121">
        <f>3.5*2.5</f>
        <v>8.75</v>
      </c>
    </row>
    <row r="122" spans="1:25" x14ac:dyDescent="0.25">
      <c r="A122">
        <v>33</v>
      </c>
      <c r="B122">
        <f>14*7</f>
        <v>98</v>
      </c>
      <c r="J122">
        <v>33</v>
      </c>
      <c r="K122">
        <f>2.5*2</f>
        <v>5</v>
      </c>
    </row>
    <row r="123" spans="1:25" x14ac:dyDescent="0.25">
      <c r="A123">
        <v>34</v>
      </c>
      <c r="B123">
        <f>7*4</f>
        <v>28</v>
      </c>
      <c r="J123">
        <v>34</v>
      </c>
      <c r="K123">
        <f>1.5</f>
        <v>1.5</v>
      </c>
    </row>
    <row r="124" spans="1:25" x14ac:dyDescent="0.25">
      <c r="A124">
        <v>35</v>
      </c>
      <c r="B124">
        <f>5.5*4</f>
        <v>22</v>
      </c>
      <c r="J124">
        <v>35</v>
      </c>
      <c r="K124">
        <f>2*1.5</f>
        <v>3</v>
      </c>
    </row>
    <row r="125" spans="1:25" x14ac:dyDescent="0.25">
      <c r="A125">
        <v>36</v>
      </c>
      <c r="B125">
        <f>26.9*9</f>
        <v>242.1</v>
      </c>
      <c r="J125">
        <v>36</v>
      </c>
      <c r="K125">
        <f>2.5*2</f>
        <v>5</v>
      </c>
    </row>
    <row r="126" spans="1:25" x14ac:dyDescent="0.25">
      <c r="A126">
        <v>37</v>
      </c>
      <c r="B126">
        <f>6*4</f>
        <v>24</v>
      </c>
      <c r="J126">
        <v>37</v>
      </c>
      <c r="K126">
        <f>2.5*1.5</f>
        <v>3.75</v>
      </c>
    </row>
    <row r="127" spans="1:25" x14ac:dyDescent="0.25">
      <c r="J127">
        <v>38</v>
      </c>
      <c r="K127">
        <f>2*1</f>
        <v>2</v>
      </c>
    </row>
    <row r="128" spans="1:25" ht="45" x14ac:dyDescent="0.25">
      <c r="A128" s="17" t="s">
        <v>22</v>
      </c>
      <c r="B128" s="17" t="s">
        <v>6</v>
      </c>
      <c r="C128" s="17" t="s">
        <v>42</v>
      </c>
      <c r="D128" s="17" t="s">
        <v>50</v>
      </c>
      <c r="E128" s="17" t="s">
        <v>13</v>
      </c>
      <c r="F128" s="17" t="s">
        <v>7</v>
      </c>
      <c r="G128" s="17" t="s">
        <v>37</v>
      </c>
      <c r="H128" s="17" t="s">
        <v>62</v>
      </c>
      <c r="J128">
        <v>39</v>
      </c>
      <c r="K128">
        <f>1.5*2</f>
        <v>3</v>
      </c>
    </row>
    <row r="129" spans="1:29" x14ac:dyDescent="0.25">
      <c r="A129" t="s">
        <v>10</v>
      </c>
      <c r="C129" s="1">
        <f>36/50</f>
        <v>0.72</v>
      </c>
      <c r="D129" s="25">
        <f>6/50</f>
        <v>0.12</v>
      </c>
      <c r="E129" s="6">
        <f>36/42</f>
        <v>0.8571428571428571</v>
      </c>
      <c r="F129" s="2">
        <f>AVERAGE(B130:B165)</f>
        <v>935.43055555555554</v>
      </c>
      <c r="G129" s="2">
        <f>STDEV(B130:B165)</f>
        <v>1246.6935306342921</v>
      </c>
      <c r="H129" s="2">
        <f>STDEV(B130:B165)/SQRT(36)</f>
        <v>207.78225510571534</v>
      </c>
      <c r="J129">
        <v>40</v>
      </c>
      <c r="K129">
        <f>2*2</f>
        <v>4</v>
      </c>
    </row>
    <row r="130" spans="1:29" x14ac:dyDescent="0.25">
      <c r="A130">
        <v>1</v>
      </c>
      <c r="B130" s="21">
        <f>43*43</f>
        <v>1849</v>
      </c>
    </row>
    <row r="131" spans="1:29" ht="45" x14ac:dyDescent="0.25">
      <c r="A131">
        <v>2</v>
      </c>
      <c r="B131" s="21">
        <f>21*12</f>
        <v>252</v>
      </c>
      <c r="J131" s="18" t="s">
        <v>36</v>
      </c>
      <c r="K131" s="18" t="s">
        <v>6</v>
      </c>
      <c r="L131" s="18" t="s">
        <v>2</v>
      </c>
      <c r="M131" s="18" t="s">
        <v>7</v>
      </c>
      <c r="N131" s="18" t="s">
        <v>37</v>
      </c>
      <c r="O131" s="18" t="s">
        <v>62</v>
      </c>
      <c r="Q131" s="18" t="s">
        <v>36</v>
      </c>
      <c r="R131" s="18" t="s">
        <v>6</v>
      </c>
      <c r="S131" s="18" t="s">
        <v>2</v>
      </c>
      <c r="T131" s="18" t="s">
        <v>7</v>
      </c>
      <c r="U131" s="18" t="s">
        <v>37</v>
      </c>
      <c r="V131" s="18" t="s">
        <v>62</v>
      </c>
      <c r="X131" s="18" t="s">
        <v>36</v>
      </c>
      <c r="Y131" s="18" t="s">
        <v>6</v>
      </c>
      <c r="Z131" s="18" t="s">
        <v>2</v>
      </c>
      <c r="AA131" s="18" t="s">
        <v>7</v>
      </c>
      <c r="AB131" s="18" t="s">
        <v>37</v>
      </c>
      <c r="AC131" s="18" t="s">
        <v>62</v>
      </c>
    </row>
    <row r="132" spans="1:29" x14ac:dyDescent="0.25">
      <c r="A132">
        <v>3</v>
      </c>
      <c r="B132" s="21">
        <f>72*60</f>
        <v>4320</v>
      </c>
      <c r="J132" t="s">
        <v>16</v>
      </c>
      <c r="L132" s="7">
        <f>40/50</f>
        <v>0.8</v>
      </c>
      <c r="M132" s="2">
        <f>AVERAGE(K133:K172)</f>
        <v>4.8637500000000005</v>
      </c>
      <c r="N132" s="2">
        <f>STDEV(K133:K172)</f>
        <v>3.3470696138562759</v>
      </c>
      <c r="O132" s="2">
        <f>STDEV(K133:K172)/SQRT(40)</f>
        <v>0.52921817334630517</v>
      </c>
      <c r="Q132" t="s">
        <v>31</v>
      </c>
      <c r="S132" s="7">
        <f>18/50</f>
        <v>0.36</v>
      </c>
      <c r="T132" s="2">
        <f>AVERAGE(R133:R150)</f>
        <v>4.2787499999999996</v>
      </c>
      <c r="U132" s="2">
        <f>STDEV(R133:R150)</f>
        <v>4.8291965330075097</v>
      </c>
      <c r="V132" s="2">
        <f>STDEV(R133:R150)/SQRT(18)</f>
        <v>1.1382525387240585</v>
      </c>
      <c r="X132" t="s">
        <v>32</v>
      </c>
      <c r="Z132" s="7">
        <f>29/50</f>
        <v>0.57999999999999996</v>
      </c>
      <c r="AA132" s="2">
        <f>AVERAGE(Y133:Y161)</f>
        <v>4.7659482758620682</v>
      </c>
      <c r="AB132" s="2">
        <f>STDEV(Y133:Y161)</f>
        <v>3.2715663170524194</v>
      </c>
      <c r="AC132">
        <f>STDEV(Y133:Y161)/SQRT(29)</f>
        <v>0.60751461361370118</v>
      </c>
    </row>
    <row r="133" spans="1:29" x14ac:dyDescent="0.25">
      <c r="A133">
        <v>4</v>
      </c>
      <c r="B133" s="21">
        <f>4*2</f>
        <v>8</v>
      </c>
      <c r="J133">
        <v>1</v>
      </c>
      <c r="K133" s="2">
        <f>2.5*1.5</f>
        <v>3.75</v>
      </c>
      <c r="Q133">
        <v>1</v>
      </c>
      <c r="R133" s="2">
        <f>1*2</f>
        <v>2</v>
      </c>
      <c r="X133">
        <v>1</v>
      </c>
      <c r="Y133">
        <f>2*1</f>
        <v>2</v>
      </c>
    </row>
    <row r="134" spans="1:29" x14ac:dyDescent="0.25">
      <c r="A134">
        <v>5</v>
      </c>
      <c r="B134" s="21">
        <f>60*50</f>
        <v>3000</v>
      </c>
      <c r="J134">
        <v>2</v>
      </c>
      <c r="K134" s="2">
        <f>3*2.5</f>
        <v>7.5</v>
      </c>
      <c r="Q134">
        <v>2</v>
      </c>
      <c r="R134" s="2">
        <f>1.3*1.8</f>
        <v>2.3400000000000003</v>
      </c>
      <c r="X134">
        <v>2</v>
      </c>
      <c r="Y134">
        <f>3*2</f>
        <v>6</v>
      </c>
    </row>
    <row r="135" spans="1:29" x14ac:dyDescent="0.25">
      <c r="A135">
        <v>6</v>
      </c>
      <c r="B135" s="21">
        <f>39*25</f>
        <v>975</v>
      </c>
      <c r="J135">
        <v>3</v>
      </c>
      <c r="K135" s="2">
        <f>3.5*3</f>
        <v>10.5</v>
      </c>
      <c r="Q135">
        <v>3</v>
      </c>
      <c r="R135" s="2">
        <f>2.25*2.25</f>
        <v>5.0625</v>
      </c>
      <c r="X135">
        <v>3</v>
      </c>
      <c r="Y135">
        <f>3.25*2.5</f>
        <v>8.125</v>
      </c>
    </row>
    <row r="136" spans="1:29" x14ac:dyDescent="0.25">
      <c r="A136">
        <v>7</v>
      </c>
      <c r="B136" s="21">
        <f>24*16</f>
        <v>384</v>
      </c>
      <c r="J136">
        <v>4</v>
      </c>
      <c r="K136" s="2">
        <f>3*4</f>
        <v>12</v>
      </c>
      <c r="Q136">
        <v>4</v>
      </c>
      <c r="R136" s="2">
        <f>1.8*1</f>
        <v>1.8</v>
      </c>
      <c r="X136">
        <v>4</v>
      </c>
      <c r="Y136">
        <f>1.75*1.8</f>
        <v>3.15</v>
      </c>
    </row>
    <row r="137" spans="1:29" x14ac:dyDescent="0.25">
      <c r="A137">
        <v>8</v>
      </c>
      <c r="B137" s="21">
        <f>25*16</f>
        <v>400</v>
      </c>
      <c r="J137">
        <v>5</v>
      </c>
      <c r="K137" s="2">
        <f>2*1</f>
        <v>2</v>
      </c>
      <c r="Q137">
        <v>5</v>
      </c>
      <c r="R137" s="2">
        <f>1.8*1.2</f>
        <v>2.16</v>
      </c>
      <c r="X137">
        <v>5</v>
      </c>
      <c r="Y137">
        <f>1.5*1.25</f>
        <v>1.875</v>
      </c>
    </row>
    <row r="138" spans="1:29" x14ac:dyDescent="0.25">
      <c r="A138">
        <v>9</v>
      </c>
      <c r="B138" s="21">
        <f>105*54</f>
        <v>5670</v>
      </c>
      <c r="J138">
        <v>6</v>
      </c>
      <c r="K138" s="2">
        <f>4*3</f>
        <v>12</v>
      </c>
      <c r="Q138">
        <v>6</v>
      </c>
      <c r="R138" s="2">
        <f>4.3*4.8</f>
        <v>20.639999999999997</v>
      </c>
      <c r="X138">
        <v>6</v>
      </c>
      <c r="Y138">
        <f>3.25*3.75</f>
        <v>12.1875</v>
      </c>
    </row>
    <row r="139" spans="1:29" x14ac:dyDescent="0.25">
      <c r="A139">
        <v>10</v>
      </c>
      <c r="B139" s="21">
        <f>36*29</f>
        <v>1044</v>
      </c>
      <c r="J139">
        <v>7</v>
      </c>
      <c r="K139" s="2">
        <f>2.5*1.75</f>
        <v>4.375</v>
      </c>
      <c r="Q139">
        <v>7</v>
      </c>
      <c r="R139" s="2">
        <f>1.8*0.8</f>
        <v>1.4400000000000002</v>
      </c>
      <c r="X139">
        <v>7</v>
      </c>
      <c r="Y139">
        <f>1.8*2.75</f>
        <v>4.95</v>
      </c>
    </row>
    <row r="140" spans="1:29" x14ac:dyDescent="0.25">
      <c r="A140">
        <v>11</v>
      </c>
      <c r="B140" s="21">
        <f>45*54</f>
        <v>2430</v>
      </c>
      <c r="J140">
        <v>8</v>
      </c>
      <c r="K140" s="2">
        <f>2.5*2</f>
        <v>5</v>
      </c>
      <c r="Q140">
        <v>8</v>
      </c>
      <c r="R140" s="2">
        <f>1*1</f>
        <v>1</v>
      </c>
      <c r="X140">
        <v>8</v>
      </c>
      <c r="Y140">
        <f>3.5*2.75</f>
        <v>9.625</v>
      </c>
    </row>
    <row r="141" spans="1:29" x14ac:dyDescent="0.25">
      <c r="A141">
        <v>12</v>
      </c>
      <c r="B141" s="21">
        <f>40*37</f>
        <v>1480</v>
      </c>
      <c r="J141">
        <v>9</v>
      </c>
      <c r="K141" s="2">
        <f>2.5*2.25</f>
        <v>5.625</v>
      </c>
      <c r="Q141">
        <v>9</v>
      </c>
      <c r="R141" s="2">
        <f>2.3*1.75</f>
        <v>4.0249999999999995</v>
      </c>
      <c r="X141">
        <v>9</v>
      </c>
      <c r="Y141">
        <f>1.5*1.25</f>
        <v>1.875</v>
      </c>
    </row>
    <row r="142" spans="1:29" x14ac:dyDescent="0.25">
      <c r="A142">
        <v>13</v>
      </c>
      <c r="B142" s="21">
        <f>36*39</f>
        <v>1404</v>
      </c>
      <c r="J142">
        <v>10</v>
      </c>
      <c r="K142" s="2">
        <f>1.5*1.25</f>
        <v>1.875</v>
      </c>
      <c r="Q142">
        <v>10</v>
      </c>
      <c r="R142" s="2">
        <f>1*1.75</f>
        <v>1.75</v>
      </c>
      <c r="X142">
        <v>10</v>
      </c>
      <c r="Y142">
        <f>2*2.25</f>
        <v>4.5</v>
      </c>
    </row>
    <row r="143" spans="1:29" x14ac:dyDescent="0.25">
      <c r="A143">
        <v>14</v>
      </c>
      <c r="B143" s="21">
        <f>11.5*9</f>
        <v>103.5</v>
      </c>
      <c r="J143">
        <v>11</v>
      </c>
      <c r="K143" s="2">
        <f>1*1.25</f>
        <v>1.25</v>
      </c>
      <c r="Q143">
        <v>11</v>
      </c>
      <c r="R143" s="2">
        <f>0.75*1.25</f>
        <v>0.9375</v>
      </c>
      <c r="X143">
        <v>11</v>
      </c>
      <c r="Y143">
        <f>2.75*2.5</f>
        <v>6.875</v>
      </c>
    </row>
    <row r="144" spans="1:29" x14ac:dyDescent="0.25">
      <c r="A144">
        <v>15</v>
      </c>
      <c r="B144" s="21">
        <f>20*18</f>
        <v>360</v>
      </c>
      <c r="J144">
        <v>12</v>
      </c>
      <c r="K144" s="2">
        <f>1*2</f>
        <v>2</v>
      </c>
      <c r="Q144">
        <v>12</v>
      </c>
      <c r="R144" s="2">
        <f>1.5*2.25</f>
        <v>3.375</v>
      </c>
      <c r="X144">
        <v>12</v>
      </c>
      <c r="Y144">
        <f>5.75*2.5</f>
        <v>14.375</v>
      </c>
    </row>
    <row r="145" spans="1:25" x14ac:dyDescent="0.25">
      <c r="A145">
        <v>16</v>
      </c>
      <c r="B145" s="21">
        <f>18.5*18</f>
        <v>333</v>
      </c>
      <c r="J145">
        <v>13</v>
      </c>
      <c r="K145" s="2">
        <f>1.8*1.25</f>
        <v>2.25</v>
      </c>
      <c r="Q145">
        <v>13</v>
      </c>
      <c r="R145" s="2">
        <f>3.5*2.75</f>
        <v>9.625</v>
      </c>
      <c r="X145">
        <v>13</v>
      </c>
      <c r="Y145">
        <f>1.75*1.75</f>
        <v>3.0625</v>
      </c>
    </row>
    <row r="146" spans="1:25" x14ac:dyDescent="0.25">
      <c r="A146">
        <v>17</v>
      </c>
      <c r="B146" s="21">
        <f>39*30</f>
        <v>1170</v>
      </c>
      <c r="J146">
        <v>14</v>
      </c>
      <c r="K146" s="2">
        <f>2.5*1.75</f>
        <v>4.375</v>
      </c>
      <c r="Q146">
        <v>14</v>
      </c>
      <c r="R146" s="2">
        <f>1.25*1.5</f>
        <v>1.875</v>
      </c>
      <c r="X146">
        <v>14</v>
      </c>
      <c r="Y146">
        <f>2.25*1.5</f>
        <v>3.375</v>
      </c>
    </row>
    <row r="147" spans="1:25" x14ac:dyDescent="0.25">
      <c r="A147">
        <v>18</v>
      </c>
      <c r="B147" s="21">
        <f>44*29</f>
        <v>1276</v>
      </c>
      <c r="J147">
        <v>15</v>
      </c>
      <c r="K147" s="2">
        <f>3.8*2.5</f>
        <v>9.5</v>
      </c>
      <c r="Q147">
        <v>15</v>
      </c>
      <c r="R147" s="2">
        <f>2.75*2.2</f>
        <v>6.0500000000000007</v>
      </c>
      <c r="X147">
        <v>15</v>
      </c>
      <c r="Y147">
        <f>1.5*2</f>
        <v>3</v>
      </c>
    </row>
    <row r="148" spans="1:25" x14ac:dyDescent="0.25">
      <c r="A148">
        <v>19</v>
      </c>
      <c r="B148" s="21">
        <f>20*18</f>
        <v>360</v>
      </c>
      <c r="J148">
        <v>16</v>
      </c>
      <c r="K148" s="2">
        <f>1.5*1.75</f>
        <v>2.625</v>
      </c>
      <c r="Q148">
        <v>16</v>
      </c>
      <c r="R148" s="2">
        <f>1.75*0.75</f>
        <v>1.3125</v>
      </c>
      <c r="X148">
        <v>16</v>
      </c>
      <c r="Y148">
        <f>1.5*0.5</f>
        <v>0.75</v>
      </c>
    </row>
    <row r="149" spans="1:25" x14ac:dyDescent="0.25">
      <c r="A149">
        <v>20</v>
      </c>
      <c r="B149" s="21">
        <f>16*16</f>
        <v>256</v>
      </c>
      <c r="J149">
        <v>17</v>
      </c>
      <c r="K149" s="2">
        <f>2*1.8</f>
        <v>3.6</v>
      </c>
      <c r="Q149">
        <v>17</v>
      </c>
      <c r="R149" s="2">
        <f>1.75*1.5</f>
        <v>2.625</v>
      </c>
      <c r="X149">
        <v>17</v>
      </c>
      <c r="Y149">
        <f>2.8*1</f>
        <v>2.8</v>
      </c>
    </row>
    <row r="150" spans="1:25" x14ac:dyDescent="0.25">
      <c r="A150">
        <v>21</v>
      </c>
      <c r="B150" s="21">
        <f>19*22</f>
        <v>418</v>
      </c>
      <c r="J150">
        <v>18</v>
      </c>
      <c r="K150" s="2">
        <f>2.25*1.5</f>
        <v>3.375</v>
      </c>
      <c r="Q150">
        <v>18</v>
      </c>
      <c r="R150" s="2">
        <f>2.25*4</f>
        <v>9</v>
      </c>
      <c r="X150">
        <v>18</v>
      </c>
      <c r="Y150">
        <f>1.75*2</f>
        <v>3.5</v>
      </c>
    </row>
    <row r="151" spans="1:25" x14ac:dyDescent="0.25">
      <c r="A151">
        <v>22</v>
      </c>
      <c r="B151" s="21">
        <f>29*25</f>
        <v>725</v>
      </c>
      <c r="J151">
        <v>19</v>
      </c>
      <c r="K151" s="2">
        <f>1*2.5</f>
        <v>2.5</v>
      </c>
      <c r="X151">
        <v>19</v>
      </c>
      <c r="Y151">
        <f>1.5*1</f>
        <v>1.5</v>
      </c>
    </row>
    <row r="152" spans="1:25" x14ac:dyDescent="0.25">
      <c r="A152">
        <v>23</v>
      </c>
      <c r="B152" s="21">
        <f>20*14</f>
        <v>280</v>
      </c>
      <c r="J152">
        <v>20</v>
      </c>
      <c r="K152" s="2">
        <f>1.75*2</f>
        <v>3.5</v>
      </c>
      <c r="X152">
        <v>20</v>
      </c>
      <c r="Y152">
        <f>2.75*1.75</f>
        <v>4.8125</v>
      </c>
    </row>
    <row r="153" spans="1:25" x14ac:dyDescent="0.25">
      <c r="A153">
        <v>24</v>
      </c>
      <c r="B153" s="21">
        <f>28*27.5</f>
        <v>770</v>
      </c>
      <c r="J153">
        <v>21</v>
      </c>
      <c r="K153" s="2">
        <f>1.25*1.5</f>
        <v>1.875</v>
      </c>
      <c r="X153">
        <v>21</v>
      </c>
      <c r="Y153">
        <f>2.5*1.5</f>
        <v>3.75</v>
      </c>
    </row>
    <row r="154" spans="1:25" x14ac:dyDescent="0.25">
      <c r="A154">
        <v>25</v>
      </c>
      <c r="B154" s="21">
        <f>28*23</f>
        <v>644</v>
      </c>
      <c r="J154">
        <v>22</v>
      </c>
      <c r="K154" s="2">
        <f>2*1.6</f>
        <v>3.2</v>
      </c>
      <c r="X154">
        <v>22</v>
      </c>
      <c r="Y154">
        <f>2.75*2</f>
        <v>5.5</v>
      </c>
    </row>
    <row r="155" spans="1:25" x14ac:dyDescent="0.25">
      <c r="A155">
        <v>26</v>
      </c>
      <c r="B155" s="21">
        <f>10*6</f>
        <v>60</v>
      </c>
      <c r="J155">
        <v>23</v>
      </c>
      <c r="K155" s="2">
        <f>2*2.1</f>
        <v>4.2</v>
      </c>
      <c r="X155">
        <v>23</v>
      </c>
      <c r="Y155">
        <f>2*1.5</f>
        <v>3</v>
      </c>
    </row>
    <row r="156" spans="1:25" x14ac:dyDescent="0.25">
      <c r="A156">
        <v>27</v>
      </c>
      <c r="B156" s="21">
        <f>50*36</f>
        <v>1800</v>
      </c>
      <c r="J156">
        <v>24</v>
      </c>
      <c r="K156" s="2">
        <f>2*1.8</f>
        <v>3.6</v>
      </c>
      <c r="X156">
        <v>24</v>
      </c>
      <c r="Y156">
        <f>1.5*1</f>
        <v>1.5</v>
      </c>
    </row>
    <row r="157" spans="1:25" x14ac:dyDescent="0.25">
      <c r="A157">
        <v>28</v>
      </c>
      <c r="B157" s="21">
        <f>28*13</f>
        <v>364</v>
      </c>
      <c r="J157">
        <v>25</v>
      </c>
      <c r="K157" s="2">
        <f>1*1.25</f>
        <v>1.25</v>
      </c>
      <c r="X157">
        <v>25</v>
      </c>
      <c r="Y157">
        <f>3.25*3</f>
        <v>9.75</v>
      </c>
    </row>
    <row r="158" spans="1:25" x14ac:dyDescent="0.25">
      <c r="A158">
        <v>29</v>
      </c>
      <c r="B158" s="21">
        <f>9*4</f>
        <v>36</v>
      </c>
      <c r="J158">
        <v>26</v>
      </c>
      <c r="K158" s="2">
        <f>1.5*2</f>
        <v>3</v>
      </c>
      <c r="X158">
        <v>26</v>
      </c>
      <c r="Y158">
        <f>2.5*1.75</f>
        <v>4.375</v>
      </c>
    </row>
    <row r="159" spans="1:25" x14ac:dyDescent="0.25">
      <c r="A159">
        <v>30</v>
      </c>
      <c r="B159" s="21">
        <f>7*3</f>
        <v>21</v>
      </c>
      <c r="J159">
        <v>27</v>
      </c>
      <c r="K159" s="2">
        <f>2.5*4.25</f>
        <v>10.625</v>
      </c>
      <c r="X159">
        <v>27</v>
      </c>
      <c r="Y159">
        <f>2*2</f>
        <v>4</v>
      </c>
    </row>
    <row r="160" spans="1:25" x14ac:dyDescent="0.25">
      <c r="A160">
        <v>31</v>
      </c>
      <c r="B160" s="21">
        <f>3*2</f>
        <v>6</v>
      </c>
      <c r="J160">
        <v>28</v>
      </c>
      <c r="K160" s="2">
        <f>3*2.5</f>
        <v>7.5</v>
      </c>
      <c r="X160">
        <v>28</v>
      </c>
      <c r="Y160">
        <f>2*1.5</f>
        <v>3</v>
      </c>
    </row>
    <row r="161" spans="1:25" x14ac:dyDescent="0.25">
      <c r="A161">
        <v>32</v>
      </c>
      <c r="B161" s="21">
        <f>15*9</f>
        <v>135</v>
      </c>
      <c r="J161">
        <v>29</v>
      </c>
      <c r="K161" s="2">
        <f>2.75*2</f>
        <v>5.5</v>
      </c>
      <c r="X161">
        <v>29</v>
      </c>
      <c r="Y161">
        <f>2*2.5</f>
        <v>5</v>
      </c>
    </row>
    <row r="162" spans="1:25" x14ac:dyDescent="0.25">
      <c r="A162">
        <v>33</v>
      </c>
      <c r="B162" s="21">
        <f>6*3</f>
        <v>18</v>
      </c>
      <c r="J162">
        <v>30</v>
      </c>
      <c r="K162" s="2">
        <f>2*2.4</f>
        <v>4.8</v>
      </c>
    </row>
    <row r="163" spans="1:25" x14ac:dyDescent="0.25">
      <c r="A163">
        <v>34</v>
      </c>
      <c r="B163" s="21">
        <f>9*4</f>
        <v>36</v>
      </c>
      <c r="J163">
        <v>31</v>
      </c>
      <c r="K163" s="2">
        <f>2*1.5</f>
        <v>3</v>
      </c>
    </row>
    <row r="164" spans="1:25" x14ac:dyDescent="0.25">
      <c r="A164">
        <v>35</v>
      </c>
      <c r="B164" s="21">
        <f>50*25</f>
        <v>1250</v>
      </c>
      <c r="J164">
        <v>32</v>
      </c>
      <c r="K164" s="2">
        <f>1.75*1.75</f>
        <v>3.0625</v>
      </c>
    </row>
    <row r="165" spans="1:25" x14ac:dyDescent="0.25">
      <c r="A165">
        <v>36</v>
      </c>
      <c r="B165" s="21">
        <f>9.5*4</f>
        <v>38</v>
      </c>
      <c r="J165">
        <v>33</v>
      </c>
      <c r="K165" s="2">
        <f>1*1</f>
        <v>1</v>
      </c>
    </row>
    <row r="166" spans="1:25" x14ac:dyDescent="0.25">
      <c r="J166">
        <v>34</v>
      </c>
      <c r="K166" s="2">
        <f>2*2</f>
        <v>4</v>
      </c>
    </row>
    <row r="167" spans="1:25" x14ac:dyDescent="0.25">
      <c r="J167">
        <v>35</v>
      </c>
      <c r="K167" s="2">
        <f>2.25*1.25</f>
        <v>2.8125</v>
      </c>
    </row>
    <row r="168" spans="1:25" x14ac:dyDescent="0.25">
      <c r="J168">
        <v>36</v>
      </c>
      <c r="K168" s="2">
        <f>1.6*1.5</f>
        <v>2.4000000000000004</v>
      </c>
    </row>
    <row r="169" spans="1:25" x14ac:dyDescent="0.25">
      <c r="J169">
        <v>37</v>
      </c>
      <c r="K169" s="2">
        <f>2.8*2.5</f>
        <v>7</v>
      </c>
    </row>
    <row r="170" spans="1:25" x14ac:dyDescent="0.25">
      <c r="J170">
        <v>38</v>
      </c>
      <c r="K170" s="2">
        <f>3.75*2.8</f>
        <v>10.5</v>
      </c>
    </row>
    <row r="171" spans="1:25" x14ac:dyDescent="0.25">
      <c r="J171">
        <v>39</v>
      </c>
      <c r="K171" s="2">
        <f>4*3.25</f>
        <v>13</v>
      </c>
    </row>
    <row r="172" spans="1:25" x14ac:dyDescent="0.25">
      <c r="J172">
        <v>40</v>
      </c>
      <c r="K172" s="2">
        <f>1.75*1.5</f>
        <v>2.625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CC215-02B0-45AA-9B5C-ADC910302C0E}">
  <dimension ref="A1:M138"/>
  <sheetViews>
    <sheetView topLeftCell="A8" workbookViewId="0">
      <selection activeCell="C16" sqref="C16"/>
    </sheetView>
  </sheetViews>
  <sheetFormatPr defaultRowHeight="15" x14ac:dyDescent="0.25"/>
  <cols>
    <col min="1" max="1" width="17.140625" customWidth="1"/>
    <col min="2" max="2" width="11.28515625" customWidth="1"/>
    <col min="3" max="6" width="14.85546875" customWidth="1"/>
    <col min="7" max="7" width="12.42578125" customWidth="1"/>
    <col min="8" max="8" width="2.42578125" style="14" customWidth="1"/>
    <col min="9" max="9" width="22.140625" customWidth="1"/>
    <col min="11" max="11" width="14.7109375" customWidth="1"/>
    <col min="12" max="12" width="12.42578125" customWidth="1"/>
    <col min="13" max="13" width="14.42578125" customWidth="1"/>
  </cols>
  <sheetData>
    <row r="1" spans="1:13" ht="32.25" x14ac:dyDescent="0.25">
      <c r="A1" s="12" t="s">
        <v>0</v>
      </c>
      <c r="B1" s="17" t="s">
        <v>6</v>
      </c>
      <c r="C1" s="17" t="s">
        <v>2</v>
      </c>
      <c r="D1" s="17"/>
      <c r="E1" s="17" t="s">
        <v>13</v>
      </c>
      <c r="F1" s="17" t="s">
        <v>7</v>
      </c>
      <c r="G1" s="17" t="s">
        <v>62</v>
      </c>
      <c r="I1" s="13" t="s">
        <v>15</v>
      </c>
      <c r="J1" s="13" t="s">
        <v>6</v>
      </c>
      <c r="K1" s="13" t="s">
        <v>2</v>
      </c>
      <c r="L1" s="13" t="s">
        <v>7</v>
      </c>
      <c r="M1" s="17" t="s">
        <v>62</v>
      </c>
    </row>
    <row r="2" spans="1:13" x14ac:dyDescent="0.25">
      <c r="A2" t="s">
        <v>11</v>
      </c>
      <c r="C2" s="7">
        <f>11/40</f>
        <v>0.27500000000000002</v>
      </c>
      <c r="D2" s="7"/>
      <c r="E2" s="7"/>
      <c r="F2" s="2">
        <f>AVERAGE(B3:B13)</f>
        <v>7.4545454545454541</v>
      </c>
      <c r="G2" s="2">
        <f>STDEV(B3:B13)/SQRT(11)</f>
        <v>1.0010325247975111</v>
      </c>
      <c r="I2" t="s">
        <v>28</v>
      </c>
      <c r="K2" s="1">
        <f>8/40</f>
        <v>0.2</v>
      </c>
      <c r="L2" s="2">
        <f>AVERAGE(J3:J10)</f>
        <v>1.484375</v>
      </c>
      <c r="M2" s="2">
        <f>STDEV(J3:J10)/SQRT(8)</f>
        <v>0.36476929781027345</v>
      </c>
    </row>
    <row r="3" spans="1:13" x14ac:dyDescent="0.25">
      <c r="A3">
        <v>1</v>
      </c>
      <c r="B3">
        <f>1.5*1</f>
        <v>1.5</v>
      </c>
      <c r="I3">
        <v>1</v>
      </c>
      <c r="J3">
        <f>0.5*0.5</f>
        <v>0.25</v>
      </c>
    </row>
    <row r="4" spans="1:13" x14ac:dyDescent="0.25">
      <c r="A4">
        <v>2</v>
      </c>
      <c r="B4">
        <f>2.5*2</f>
        <v>5</v>
      </c>
      <c r="I4">
        <v>2</v>
      </c>
      <c r="J4">
        <f>2*1</f>
        <v>2</v>
      </c>
    </row>
    <row r="5" spans="1:13" x14ac:dyDescent="0.25">
      <c r="A5">
        <v>3</v>
      </c>
      <c r="B5">
        <f>4.5*3</f>
        <v>13.5</v>
      </c>
      <c r="I5">
        <v>3</v>
      </c>
      <c r="J5">
        <f>0.5*0.5</f>
        <v>0.25</v>
      </c>
    </row>
    <row r="6" spans="1:13" x14ac:dyDescent="0.25">
      <c r="A6">
        <v>4</v>
      </c>
      <c r="B6">
        <f>3*2</f>
        <v>6</v>
      </c>
      <c r="I6">
        <v>4</v>
      </c>
      <c r="J6">
        <f>1*1</f>
        <v>1</v>
      </c>
    </row>
    <row r="7" spans="1:13" x14ac:dyDescent="0.25">
      <c r="A7">
        <v>5</v>
      </c>
      <c r="B7">
        <f>3.5*2</f>
        <v>7</v>
      </c>
      <c r="I7">
        <v>5</v>
      </c>
      <c r="J7">
        <f>1.75*1</f>
        <v>1.75</v>
      </c>
    </row>
    <row r="8" spans="1:13" x14ac:dyDescent="0.25">
      <c r="A8">
        <v>6</v>
      </c>
      <c r="B8">
        <f>3.5*2</f>
        <v>7</v>
      </c>
      <c r="I8">
        <v>6</v>
      </c>
      <c r="J8">
        <f>1*1</f>
        <v>1</v>
      </c>
    </row>
    <row r="9" spans="1:13" x14ac:dyDescent="0.25">
      <c r="A9">
        <v>7</v>
      </c>
      <c r="B9">
        <f>3.5*2</f>
        <v>7</v>
      </c>
      <c r="I9">
        <v>7</v>
      </c>
      <c r="J9">
        <f>1.75*1.5</f>
        <v>2.625</v>
      </c>
    </row>
    <row r="10" spans="1:13" x14ac:dyDescent="0.25">
      <c r="A10">
        <v>8</v>
      </c>
      <c r="B10">
        <f>3.5*2</f>
        <v>7</v>
      </c>
      <c r="I10">
        <v>8</v>
      </c>
      <c r="J10">
        <f>2*1.5</f>
        <v>3</v>
      </c>
    </row>
    <row r="11" spans="1:13" x14ac:dyDescent="0.25">
      <c r="A11">
        <v>9</v>
      </c>
      <c r="B11">
        <f>3*2</f>
        <v>6</v>
      </c>
    </row>
    <row r="12" spans="1:13" x14ac:dyDescent="0.25">
      <c r="A12">
        <v>10</v>
      </c>
      <c r="B12">
        <f>4*3</f>
        <v>12</v>
      </c>
      <c r="I12" t="s">
        <v>29</v>
      </c>
      <c r="K12" s="1">
        <f>4/40</f>
        <v>0.1</v>
      </c>
      <c r="L12" s="2">
        <f>AVERAGE(J13:J16)</f>
        <v>2.25</v>
      </c>
      <c r="M12" s="2">
        <f>STDEV(J13:J16)/SQRT(4)</f>
        <v>0.92421137553411803</v>
      </c>
    </row>
    <row r="13" spans="1:13" x14ac:dyDescent="0.25">
      <c r="A13">
        <v>11</v>
      </c>
      <c r="B13">
        <f>4*2.5</f>
        <v>10</v>
      </c>
      <c r="I13">
        <v>1</v>
      </c>
      <c r="J13">
        <f>1.5*1</f>
        <v>1.5</v>
      </c>
    </row>
    <row r="14" spans="1:13" x14ac:dyDescent="0.25">
      <c r="I14">
        <v>2</v>
      </c>
      <c r="J14">
        <f>1*1</f>
        <v>1</v>
      </c>
    </row>
    <row r="15" spans="1:13" ht="32.25" x14ac:dyDescent="0.25">
      <c r="A15" s="17" t="s">
        <v>12</v>
      </c>
      <c r="B15" s="17" t="s">
        <v>6</v>
      </c>
      <c r="C15" s="17" t="s">
        <v>2</v>
      </c>
      <c r="D15" s="17"/>
      <c r="E15" s="17" t="s">
        <v>13</v>
      </c>
      <c r="F15" s="17" t="s">
        <v>7</v>
      </c>
      <c r="G15" s="17" t="s">
        <v>62</v>
      </c>
      <c r="I15">
        <v>3</v>
      </c>
      <c r="J15">
        <f>1.5*1</f>
        <v>1.5</v>
      </c>
    </row>
    <row r="16" spans="1:13" x14ac:dyDescent="0.25">
      <c r="A16" t="s">
        <v>11</v>
      </c>
      <c r="C16" s="7">
        <f>16/40</f>
        <v>0.4</v>
      </c>
      <c r="D16" s="7"/>
      <c r="E16" s="7"/>
      <c r="F16" s="2">
        <f>AVERAGE(B17:B32)</f>
        <v>22.4375</v>
      </c>
      <c r="G16" s="2">
        <f>STDEV(B17:B32)/SQRT(16)</f>
        <v>3.119787319139987</v>
      </c>
      <c r="I16">
        <v>4</v>
      </c>
      <c r="J16">
        <f>2.5*2</f>
        <v>5</v>
      </c>
    </row>
    <row r="17" spans="1:13" x14ac:dyDescent="0.25">
      <c r="A17">
        <v>1</v>
      </c>
      <c r="B17">
        <f>4*2.5</f>
        <v>10</v>
      </c>
    </row>
    <row r="18" spans="1:13" ht="32.25" x14ac:dyDescent="0.25">
      <c r="A18">
        <v>2</v>
      </c>
      <c r="B18">
        <f>7*4</f>
        <v>28</v>
      </c>
      <c r="I18" s="13" t="s">
        <v>33</v>
      </c>
      <c r="J18" s="13" t="s">
        <v>6</v>
      </c>
      <c r="K18" s="13" t="s">
        <v>2</v>
      </c>
      <c r="L18" s="13" t="s">
        <v>7</v>
      </c>
      <c r="M18" s="17" t="s">
        <v>62</v>
      </c>
    </row>
    <row r="19" spans="1:13" x14ac:dyDescent="0.25">
      <c r="A19">
        <v>3</v>
      </c>
      <c r="B19">
        <f>3*2</f>
        <v>6</v>
      </c>
      <c r="I19" t="s">
        <v>28</v>
      </c>
      <c r="K19" s="1">
        <f>16/40</f>
        <v>0.4</v>
      </c>
      <c r="L19" s="2">
        <f>AVERAGE(J20:J35)</f>
        <v>2.765625</v>
      </c>
      <c r="M19" s="2">
        <f>STDEV(J20:J35)/SQRT(16)</f>
        <v>0.61933631732551686</v>
      </c>
    </row>
    <row r="20" spans="1:13" x14ac:dyDescent="0.25">
      <c r="A20">
        <v>4</v>
      </c>
      <c r="B20">
        <f>5*3</f>
        <v>15</v>
      </c>
      <c r="I20">
        <v>1</v>
      </c>
      <c r="J20">
        <f>3*2</f>
        <v>6</v>
      </c>
    </row>
    <row r="21" spans="1:13" x14ac:dyDescent="0.25">
      <c r="A21">
        <v>5</v>
      </c>
      <c r="B21">
        <f>5*3</f>
        <v>15</v>
      </c>
      <c r="I21">
        <v>2</v>
      </c>
      <c r="J21">
        <f>1*1</f>
        <v>1</v>
      </c>
    </row>
    <row r="22" spans="1:13" x14ac:dyDescent="0.25">
      <c r="A22">
        <v>6</v>
      </c>
      <c r="B22">
        <f>6*4</f>
        <v>24</v>
      </c>
      <c r="I22">
        <v>3</v>
      </c>
      <c r="J22">
        <f>0.5*0.5</f>
        <v>0.25</v>
      </c>
    </row>
    <row r="23" spans="1:13" x14ac:dyDescent="0.25">
      <c r="A23">
        <v>7</v>
      </c>
      <c r="B23">
        <f>6*3</f>
        <v>18</v>
      </c>
      <c r="I23">
        <v>4</v>
      </c>
      <c r="J23">
        <f>4*2</f>
        <v>8</v>
      </c>
    </row>
    <row r="24" spans="1:13" x14ac:dyDescent="0.25">
      <c r="A24">
        <v>8</v>
      </c>
      <c r="B24">
        <f>7*4</f>
        <v>28</v>
      </c>
      <c r="I24">
        <v>5</v>
      </c>
      <c r="J24">
        <f>1.5*1</f>
        <v>1.5</v>
      </c>
    </row>
    <row r="25" spans="1:13" x14ac:dyDescent="0.25">
      <c r="A25">
        <v>9</v>
      </c>
      <c r="B25">
        <f>8*4</f>
        <v>32</v>
      </c>
      <c r="I25">
        <v>6</v>
      </c>
      <c r="J25">
        <f>0.5*0.5</f>
        <v>0.25</v>
      </c>
    </row>
    <row r="26" spans="1:13" x14ac:dyDescent="0.25">
      <c r="A26">
        <v>10</v>
      </c>
      <c r="B26">
        <f>3.5*2</f>
        <v>7</v>
      </c>
      <c r="I26">
        <v>7</v>
      </c>
      <c r="J26">
        <f>0.5*0.5</f>
        <v>0.25</v>
      </c>
    </row>
    <row r="27" spans="1:13" x14ac:dyDescent="0.25">
      <c r="A27">
        <v>11</v>
      </c>
      <c r="B27">
        <f>7*4</f>
        <v>28</v>
      </c>
      <c r="I27">
        <v>8</v>
      </c>
      <c r="J27">
        <f>1*1</f>
        <v>1</v>
      </c>
    </row>
    <row r="28" spans="1:13" x14ac:dyDescent="0.25">
      <c r="A28">
        <v>12</v>
      </c>
      <c r="B28">
        <f>9*6</f>
        <v>54</v>
      </c>
      <c r="I28">
        <v>9</v>
      </c>
      <c r="J28">
        <f>2*1.5</f>
        <v>3</v>
      </c>
    </row>
    <row r="29" spans="1:13" x14ac:dyDescent="0.25">
      <c r="A29">
        <v>13</v>
      </c>
      <c r="B29">
        <f>8*3</f>
        <v>24</v>
      </c>
      <c r="I29">
        <v>10</v>
      </c>
      <c r="J29">
        <f>2*1.5</f>
        <v>3</v>
      </c>
    </row>
    <row r="30" spans="1:13" x14ac:dyDescent="0.25">
      <c r="A30">
        <v>14</v>
      </c>
      <c r="B30">
        <f>7.5*4</f>
        <v>30</v>
      </c>
      <c r="I30">
        <v>11</v>
      </c>
      <c r="J30">
        <f>2*1.5</f>
        <v>3</v>
      </c>
    </row>
    <row r="31" spans="1:13" x14ac:dyDescent="0.25">
      <c r="A31">
        <v>15</v>
      </c>
      <c r="B31">
        <f>8*4</f>
        <v>32</v>
      </c>
      <c r="I31">
        <v>12</v>
      </c>
      <c r="J31">
        <f>3*2</f>
        <v>6</v>
      </c>
    </row>
    <row r="32" spans="1:13" x14ac:dyDescent="0.25">
      <c r="A32">
        <v>16</v>
      </c>
      <c r="B32">
        <f>4*2</f>
        <v>8</v>
      </c>
      <c r="I32">
        <v>13</v>
      </c>
      <c r="J32">
        <f>2*1.5</f>
        <v>3</v>
      </c>
    </row>
    <row r="33" spans="1:13" x14ac:dyDescent="0.25">
      <c r="I33">
        <v>14</v>
      </c>
      <c r="J33">
        <f>3*2</f>
        <v>6</v>
      </c>
    </row>
    <row r="34" spans="1:13" ht="32.25" x14ac:dyDescent="0.25">
      <c r="A34" s="17" t="s">
        <v>14</v>
      </c>
      <c r="B34" s="17" t="s">
        <v>6</v>
      </c>
      <c r="C34" s="17" t="s">
        <v>2</v>
      </c>
      <c r="D34" s="17"/>
      <c r="E34" s="17" t="s">
        <v>13</v>
      </c>
      <c r="F34" s="17" t="s">
        <v>7</v>
      </c>
      <c r="G34" s="17" t="s">
        <v>62</v>
      </c>
      <c r="I34">
        <v>15</v>
      </c>
      <c r="J34">
        <f>1*1</f>
        <v>1</v>
      </c>
    </row>
    <row r="35" spans="1:13" x14ac:dyDescent="0.25">
      <c r="A35" t="s">
        <v>11</v>
      </c>
      <c r="C35" s="7">
        <f>14/40</f>
        <v>0.35</v>
      </c>
      <c r="D35" s="7"/>
      <c r="E35" s="7">
        <f>14/16</f>
        <v>0.875</v>
      </c>
      <c r="F35" s="2">
        <f>AVERAGE(B36:B49)</f>
        <v>32.964285714285715</v>
      </c>
      <c r="G35" s="2">
        <f>STDEV(B36:B49)/SQRT(14)</f>
        <v>6.3911456362041319</v>
      </c>
      <c r="I35">
        <v>16</v>
      </c>
      <c r="J35">
        <f>1*1</f>
        <v>1</v>
      </c>
    </row>
    <row r="36" spans="1:13" x14ac:dyDescent="0.25">
      <c r="A36">
        <v>1</v>
      </c>
      <c r="B36">
        <f>8*4</f>
        <v>32</v>
      </c>
    </row>
    <row r="37" spans="1:13" x14ac:dyDescent="0.25">
      <c r="A37">
        <v>2</v>
      </c>
      <c r="B37">
        <f>6*3</f>
        <v>18</v>
      </c>
      <c r="I37" t="s">
        <v>29</v>
      </c>
      <c r="K37" s="1">
        <f>11/40</f>
        <v>0.27500000000000002</v>
      </c>
      <c r="L37" s="2">
        <f>AVERAGE(J38:J48)</f>
        <v>4.2954545454545459</v>
      </c>
      <c r="M37">
        <f>STDEV(J38:J48)/SQRT(11)</f>
        <v>0.95870306677716111</v>
      </c>
    </row>
    <row r="38" spans="1:13" x14ac:dyDescent="0.25">
      <c r="A38">
        <v>3</v>
      </c>
      <c r="B38">
        <f>6.5*3</f>
        <v>19.5</v>
      </c>
      <c r="I38">
        <v>1</v>
      </c>
      <c r="J38">
        <f>2*1.5</f>
        <v>3</v>
      </c>
    </row>
    <row r="39" spans="1:13" x14ac:dyDescent="0.25">
      <c r="A39">
        <v>4</v>
      </c>
      <c r="B39">
        <f>4.5*3</f>
        <v>13.5</v>
      </c>
      <c r="I39">
        <v>2</v>
      </c>
      <c r="J39">
        <f>4*2</f>
        <v>8</v>
      </c>
    </row>
    <row r="40" spans="1:13" x14ac:dyDescent="0.25">
      <c r="A40">
        <v>5</v>
      </c>
      <c r="B40">
        <f>6*2.5</f>
        <v>15</v>
      </c>
      <c r="I40">
        <v>3</v>
      </c>
      <c r="J40">
        <f>2.5*2.5</f>
        <v>6.25</v>
      </c>
    </row>
    <row r="41" spans="1:13" x14ac:dyDescent="0.25">
      <c r="A41">
        <v>6</v>
      </c>
      <c r="B41">
        <f>5*2.5</f>
        <v>12.5</v>
      </c>
      <c r="I41">
        <v>4</v>
      </c>
      <c r="J41">
        <f>1*1.5</f>
        <v>1.5</v>
      </c>
    </row>
    <row r="42" spans="1:13" x14ac:dyDescent="0.25">
      <c r="A42">
        <v>7</v>
      </c>
      <c r="B42">
        <f>8.5*3.5</f>
        <v>29.75</v>
      </c>
      <c r="I42">
        <v>5</v>
      </c>
      <c r="J42">
        <f>1*1</f>
        <v>1</v>
      </c>
    </row>
    <row r="43" spans="1:13" x14ac:dyDescent="0.25">
      <c r="A43">
        <v>8</v>
      </c>
      <c r="B43">
        <f>10*5.5</f>
        <v>55</v>
      </c>
      <c r="I43">
        <v>6</v>
      </c>
      <c r="J43">
        <f>2*1.5</f>
        <v>3</v>
      </c>
    </row>
    <row r="44" spans="1:13" x14ac:dyDescent="0.25">
      <c r="A44">
        <v>9</v>
      </c>
      <c r="B44">
        <f>9*4</f>
        <v>36</v>
      </c>
      <c r="I44">
        <v>7</v>
      </c>
      <c r="J44">
        <f>3*2.5</f>
        <v>7.5</v>
      </c>
    </row>
    <row r="45" spans="1:13" x14ac:dyDescent="0.25">
      <c r="A45">
        <v>10</v>
      </c>
      <c r="B45">
        <f>8.5*4</f>
        <v>34</v>
      </c>
      <c r="I45">
        <v>8</v>
      </c>
      <c r="J45">
        <f>4*2.5</f>
        <v>10</v>
      </c>
    </row>
    <row r="46" spans="1:13" x14ac:dyDescent="0.25">
      <c r="A46">
        <v>11</v>
      </c>
      <c r="B46">
        <f>7*3.5</f>
        <v>24.5</v>
      </c>
      <c r="I46">
        <v>9</v>
      </c>
      <c r="J46">
        <f>1.5*1</f>
        <v>1.5</v>
      </c>
    </row>
    <row r="47" spans="1:13" x14ac:dyDescent="0.25">
      <c r="A47">
        <v>12</v>
      </c>
      <c r="B47">
        <f>5.5*2.5</f>
        <v>13.75</v>
      </c>
      <c r="I47">
        <v>10</v>
      </c>
      <c r="J47">
        <f>1*1</f>
        <v>1</v>
      </c>
    </row>
    <row r="48" spans="1:13" x14ac:dyDescent="0.25">
      <c r="A48">
        <v>13</v>
      </c>
      <c r="B48">
        <f>12*5</f>
        <v>60</v>
      </c>
      <c r="I48">
        <v>11</v>
      </c>
      <c r="J48">
        <f>3*1.5</f>
        <v>4.5</v>
      </c>
    </row>
    <row r="49" spans="1:13" x14ac:dyDescent="0.25">
      <c r="A49">
        <v>14</v>
      </c>
      <c r="B49">
        <f>14*7</f>
        <v>98</v>
      </c>
    </row>
    <row r="51" spans="1:13" ht="27" customHeight="1" x14ac:dyDescent="0.25">
      <c r="A51" s="17" t="s">
        <v>20</v>
      </c>
      <c r="B51" s="17" t="s">
        <v>6</v>
      </c>
      <c r="C51" s="17" t="s">
        <v>2</v>
      </c>
      <c r="D51" s="17" t="s">
        <v>63</v>
      </c>
      <c r="E51" s="17" t="s">
        <v>13</v>
      </c>
      <c r="F51" s="17" t="s">
        <v>7</v>
      </c>
      <c r="G51" s="17" t="s">
        <v>62</v>
      </c>
      <c r="H51" s="16"/>
      <c r="I51" s="13" t="s">
        <v>34</v>
      </c>
      <c r="J51" s="13" t="s">
        <v>6</v>
      </c>
      <c r="K51" s="13" t="s">
        <v>2</v>
      </c>
      <c r="L51" s="13" t="s">
        <v>7</v>
      </c>
      <c r="M51" s="17" t="s">
        <v>62</v>
      </c>
    </row>
    <row r="52" spans="1:13" x14ac:dyDescent="0.25">
      <c r="A52" t="s">
        <v>11</v>
      </c>
      <c r="C52" s="7">
        <f>12/40</f>
        <v>0.3</v>
      </c>
      <c r="D52" s="7">
        <f>4/40</f>
        <v>0.1</v>
      </c>
      <c r="E52" s="7">
        <f>12/16</f>
        <v>0.75</v>
      </c>
      <c r="F52" s="2">
        <f>AVERAGE(B53:B64)</f>
        <v>82.458333333333329</v>
      </c>
      <c r="G52" s="2">
        <f>STDEV(B53:B64)/SQRT(12)</f>
        <v>18.683311538656767</v>
      </c>
      <c r="I52" t="s">
        <v>28</v>
      </c>
      <c r="K52" s="1">
        <f>17/40</f>
        <v>0.42499999999999999</v>
      </c>
      <c r="L52" s="2">
        <f>AVERAGE(J53:J69)</f>
        <v>5.507352941176471</v>
      </c>
      <c r="M52">
        <f>STDEV(J53:J69)/SQRT(17)</f>
        <v>0.97842480301539236</v>
      </c>
    </row>
    <row r="53" spans="1:13" x14ac:dyDescent="0.25">
      <c r="A53">
        <v>1</v>
      </c>
      <c r="B53">
        <f>11.5*6</f>
        <v>69</v>
      </c>
      <c r="I53">
        <v>1</v>
      </c>
      <c r="J53">
        <f>3.5*2.5</f>
        <v>8.75</v>
      </c>
    </row>
    <row r="54" spans="1:13" x14ac:dyDescent="0.25">
      <c r="A54">
        <v>2</v>
      </c>
      <c r="B54">
        <f>9*4</f>
        <v>36</v>
      </c>
      <c r="I54">
        <v>2</v>
      </c>
      <c r="J54">
        <f>1.25*1</f>
        <v>1.25</v>
      </c>
    </row>
    <row r="55" spans="1:13" x14ac:dyDescent="0.25">
      <c r="A55">
        <v>3</v>
      </c>
      <c r="B55">
        <f>8.5*4</f>
        <v>34</v>
      </c>
      <c r="I55">
        <v>3</v>
      </c>
      <c r="J55">
        <f>0.5*0.5</f>
        <v>0.25</v>
      </c>
    </row>
    <row r="56" spans="1:13" x14ac:dyDescent="0.25">
      <c r="A56">
        <v>4</v>
      </c>
      <c r="B56">
        <f>8*4</f>
        <v>32</v>
      </c>
      <c r="I56">
        <v>4</v>
      </c>
      <c r="J56">
        <f>1.5*2.5</f>
        <v>3.75</v>
      </c>
    </row>
    <row r="57" spans="1:13" x14ac:dyDescent="0.25">
      <c r="A57">
        <v>5</v>
      </c>
      <c r="B57">
        <f>14*5</f>
        <v>70</v>
      </c>
      <c r="I57">
        <v>5</v>
      </c>
      <c r="J57">
        <f>3*2.75</f>
        <v>8.25</v>
      </c>
    </row>
    <row r="58" spans="1:13" x14ac:dyDescent="0.25">
      <c r="A58">
        <v>6</v>
      </c>
      <c r="B58">
        <f>4*2</f>
        <v>8</v>
      </c>
      <c r="I58">
        <v>6</v>
      </c>
      <c r="J58">
        <f>3.25*2.5</f>
        <v>8.125</v>
      </c>
    </row>
    <row r="59" spans="1:13" x14ac:dyDescent="0.25">
      <c r="A59">
        <v>7</v>
      </c>
      <c r="B59">
        <f>21*7</f>
        <v>147</v>
      </c>
      <c r="I59">
        <v>7</v>
      </c>
      <c r="J59">
        <f>4*2</f>
        <v>8</v>
      </c>
    </row>
    <row r="60" spans="1:13" x14ac:dyDescent="0.25">
      <c r="A60">
        <v>8</v>
      </c>
      <c r="B60">
        <f>18*7.5</f>
        <v>135</v>
      </c>
      <c r="I60">
        <v>8</v>
      </c>
      <c r="J60">
        <f>1.5*2.5</f>
        <v>3.75</v>
      </c>
    </row>
    <row r="61" spans="1:13" x14ac:dyDescent="0.25">
      <c r="A61">
        <v>9</v>
      </c>
      <c r="B61">
        <f>19*7</f>
        <v>133</v>
      </c>
      <c r="I61">
        <v>9</v>
      </c>
      <c r="J61">
        <f>1*1</f>
        <v>1</v>
      </c>
    </row>
    <row r="62" spans="1:13" x14ac:dyDescent="0.25">
      <c r="A62">
        <v>10</v>
      </c>
      <c r="B62">
        <f>31.5*7</f>
        <v>220.5</v>
      </c>
      <c r="I62">
        <v>10</v>
      </c>
      <c r="J62">
        <f>1.5*1</f>
        <v>1.5</v>
      </c>
    </row>
    <row r="63" spans="1:13" x14ac:dyDescent="0.25">
      <c r="A63">
        <v>11</v>
      </c>
      <c r="B63">
        <f>15*6</f>
        <v>90</v>
      </c>
      <c r="I63">
        <v>11</v>
      </c>
      <c r="J63">
        <f>1.5*2</f>
        <v>3</v>
      </c>
    </row>
    <row r="64" spans="1:13" x14ac:dyDescent="0.25">
      <c r="A64">
        <v>12</v>
      </c>
      <c r="B64">
        <f>5*3</f>
        <v>15</v>
      </c>
      <c r="I64">
        <v>12</v>
      </c>
      <c r="J64">
        <f>3*2</f>
        <v>6</v>
      </c>
    </row>
    <row r="65" spans="9:13" x14ac:dyDescent="0.25">
      <c r="I65">
        <v>13</v>
      </c>
      <c r="J65">
        <f>3*4.75</f>
        <v>14.25</v>
      </c>
    </row>
    <row r="66" spans="9:13" x14ac:dyDescent="0.25">
      <c r="I66">
        <v>14</v>
      </c>
      <c r="J66">
        <f>2*1.5</f>
        <v>3</v>
      </c>
    </row>
    <row r="67" spans="9:13" x14ac:dyDescent="0.25">
      <c r="I67">
        <v>15</v>
      </c>
      <c r="J67">
        <f>3.5*2</f>
        <v>7</v>
      </c>
    </row>
    <row r="68" spans="9:13" x14ac:dyDescent="0.25">
      <c r="I68">
        <v>16</v>
      </c>
      <c r="J68">
        <f>3.5*3.5</f>
        <v>12.25</v>
      </c>
    </row>
    <row r="69" spans="9:13" x14ac:dyDescent="0.25">
      <c r="I69">
        <v>17</v>
      </c>
      <c r="J69">
        <f>2*1.75</f>
        <v>3.5</v>
      </c>
    </row>
    <row r="70" spans="9:13" x14ac:dyDescent="0.25">
      <c r="I70" t="s">
        <v>29</v>
      </c>
      <c r="K70" s="1">
        <f>19/40</f>
        <v>0.47499999999999998</v>
      </c>
      <c r="L70" s="2">
        <f>AVERAGE(J71:J89)</f>
        <v>6.3256578947368425</v>
      </c>
      <c r="M70" s="2">
        <f>STDEV(J71:J89)/SQRT(19)</f>
        <v>0.95286601849355168</v>
      </c>
    </row>
    <row r="71" spans="9:13" x14ac:dyDescent="0.25">
      <c r="I71">
        <v>1</v>
      </c>
      <c r="J71">
        <f>2*1.25</f>
        <v>2.5</v>
      </c>
    </row>
    <row r="72" spans="9:13" x14ac:dyDescent="0.25">
      <c r="I72">
        <v>2</v>
      </c>
      <c r="J72">
        <f>4*3</f>
        <v>12</v>
      </c>
    </row>
    <row r="73" spans="9:13" x14ac:dyDescent="0.25">
      <c r="I73">
        <v>3</v>
      </c>
      <c r="J73">
        <f>1.5*2</f>
        <v>3</v>
      </c>
    </row>
    <row r="74" spans="9:13" x14ac:dyDescent="0.25">
      <c r="I74">
        <v>4</v>
      </c>
      <c r="J74">
        <f>2*2</f>
        <v>4</v>
      </c>
    </row>
    <row r="75" spans="9:13" x14ac:dyDescent="0.25">
      <c r="I75">
        <v>5</v>
      </c>
      <c r="J75">
        <f>3.5*2.5</f>
        <v>8.75</v>
      </c>
    </row>
    <row r="76" spans="9:13" x14ac:dyDescent="0.25">
      <c r="I76">
        <v>6</v>
      </c>
      <c r="J76">
        <f>4*4.5</f>
        <v>18</v>
      </c>
    </row>
    <row r="77" spans="9:13" x14ac:dyDescent="0.25">
      <c r="I77">
        <v>7</v>
      </c>
      <c r="J77">
        <f>3*2.5</f>
        <v>7.5</v>
      </c>
    </row>
    <row r="78" spans="9:13" x14ac:dyDescent="0.25">
      <c r="I78">
        <v>8</v>
      </c>
      <c r="J78">
        <f>2*4</f>
        <v>8</v>
      </c>
    </row>
    <row r="79" spans="9:13" x14ac:dyDescent="0.25">
      <c r="I79">
        <v>9</v>
      </c>
      <c r="J79">
        <f>3*3.5</f>
        <v>10.5</v>
      </c>
    </row>
    <row r="80" spans="9:13" x14ac:dyDescent="0.25">
      <c r="I80">
        <v>10</v>
      </c>
      <c r="J80">
        <f>2*3.5</f>
        <v>7</v>
      </c>
    </row>
    <row r="81" spans="9:13" x14ac:dyDescent="0.25">
      <c r="I81">
        <v>11</v>
      </c>
      <c r="J81">
        <f>1.5*2</f>
        <v>3</v>
      </c>
    </row>
    <row r="82" spans="9:13" x14ac:dyDescent="0.25">
      <c r="I82">
        <v>12</v>
      </c>
      <c r="J82">
        <f>3*2.75</f>
        <v>8.25</v>
      </c>
    </row>
    <row r="83" spans="9:13" x14ac:dyDescent="0.25">
      <c r="I83">
        <v>13</v>
      </c>
      <c r="J83">
        <f>3.5*2.5</f>
        <v>8.75</v>
      </c>
    </row>
    <row r="84" spans="9:13" x14ac:dyDescent="0.25">
      <c r="I84">
        <v>14</v>
      </c>
      <c r="J84">
        <f>2*2</f>
        <v>4</v>
      </c>
    </row>
    <row r="85" spans="9:13" x14ac:dyDescent="0.25">
      <c r="I85">
        <v>15</v>
      </c>
      <c r="J85">
        <f>2*1.5</f>
        <v>3</v>
      </c>
    </row>
    <row r="86" spans="9:13" x14ac:dyDescent="0.25">
      <c r="I86">
        <v>16</v>
      </c>
      <c r="J86">
        <f>2.5*1.5</f>
        <v>3.75</v>
      </c>
    </row>
    <row r="87" spans="9:13" x14ac:dyDescent="0.25">
      <c r="I87">
        <v>17</v>
      </c>
      <c r="J87">
        <f>1.5*2</f>
        <v>3</v>
      </c>
    </row>
    <row r="88" spans="9:13" x14ac:dyDescent="0.25">
      <c r="I88">
        <v>18</v>
      </c>
      <c r="J88">
        <f>2*1.5</f>
        <v>3</v>
      </c>
    </row>
    <row r="89" spans="9:13" x14ac:dyDescent="0.25">
      <c r="I89">
        <v>19</v>
      </c>
      <c r="J89">
        <f>1.75*1.25</f>
        <v>2.1875</v>
      </c>
    </row>
    <row r="90" spans="9:13" ht="32.25" x14ac:dyDescent="0.25">
      <c r="I90" s="13" t="s">
        <v>35</v>
      </c>
      <c r="J90" s="13" t="s">
        <v>6</v>
      </c>
      <c r="K90" s="13" t="s">
        <v>2</v>
      </c>
      <c r="L90" s="13" t="s">
        <v>7</v>
      </c>
      <c r="M90" s="17" t="s">
        <v>62</v>
      </c>
    </row>
    <row r="91" spans="9:13" x14ac:dyDescent="0.25">
      <c r="I91" t="s">
        <v>28</v>
      </c>
      <c r="K91" s="1">
        <f>20/40</f>
        <v>0.5</v>
      </c>
      <c r="L91" s="2">
        <f>AVERAGE(J92:J111)</f>
        <v>5.6183750000000003</v>
      </c>
      <c r="M91" s="2">
        <f>STDEV(J92:J111)/SQRT(20)</f>
        <v>0.86459479167000231</v>
      </c>
    </row>
    <row r="92" spans="9:13" x14ac:dyDescent="0.25">
      <c r="I92">
        <v>1</v>
      </c>
      <c r="J92">
        <f>3.5*2.5</f>
        <v>8.75</v>
      </c>
    </row>
    <row r="93" spans="9:13" x14ac:dyDescent="0.25">
      <c r="I93">
        <v>2</v>
      </c>
      <c r="J93">
        <f>1.75*4</f>
        <v>7</v>
      </c>
    </row>
    <row r="94" spans="9:13" x14ac:dyDescent="0.25">
      <c r="I94">
        <v>3</v>
      </c>
      <c r="J94">
        <f>3.25*2.5</f>
        <v>8.125</v>
      </c>
    </row>
    <row r="95" spans="9:13" x14ac:dyDescent="0.25">
      <c r="I95">
        <v>4</v>
      </c>
      <c r="J95">
        <f>2*2.25</f>
        <v>4.5</v>
      </c>
    </row>
    <row r="96" spans="9:13" x14ac:dyDescent="0.25">
      <c r="I96">
        <v>5</v>
      </c>
      <c r="J96">
        <f>2*1.5</f>
        <v>3</v>
      </c>
    </row>
    <row r="97" spans="9:10" x14ac:dyDescent="0.25">
      <c r="I97">
        <v>6</v>
      </c>
      <c r="J97">
        <f>1.25*0.7</f>
        <v>0.875</v>
      </c>
    </row>
    <row r="98" spans="9:10" x14ac:dyDescent="0.25">
      <c r="I98">
        <v>7</v>
      </c>
      <c r="J98">
        <f>2.75*2</f>
        <v>5.5</v>
      </c>
    </row>
    <row r="99" spans="9:10" x14ac:dyDescent="0.25">
      <c r="I99">
        <v>8</v>
      </c>
      <c r="J99">
        <f>4.5*2.5</f>
        <v>11.25</v>
      </c>
    </row>
    <row r="100" spans="9:10" x14ac:dyDescent="0.25">
      <c r="I100">
        <v>9</v>
      </c>
      <c r="J100">
        <f>1.5*1.5</f>
        <v>2.25</v>
      </c>
    </row>
    <row r="101" spans="9:10" x14ac:dyDescent="0.25">
      <c r="I101">
        <v>10</v>
      </c>
      <c r="J101">
        <f>3*5.5</f>
        <v>16.5</v>
      </c>
    </row>
    <row r="102" spans="9:10" x14ac:dyDescent="0.25">
      <c r="I102">
        <v>11</v>
      </c>
      <c r="J102">
        <f>1.2*1.4</f>
        <v>1.68</v>
      </c>
    </row>
    <row r="103" spans="9:10" x14ac:dyDescent="0.25">
      <c r="I103">
        <v>12</v>
      </c>
      <c r="J103">
        <f>2*1.25</f>
        <v>2.5</v>
      </c>
    </row>
    <row r="104" spans="9:10" x14ac:dyDescent="0.25">
      <c r="I104">
        <v>13</v>
      </c>
      <c r="J104">
        <f>2.25*2.3</f>
        <v>5.1749999999999998</v>
      </c>
    </row>
    <row r="105" spans="9:10" x14ac:dyDescent="0.25">
      <c r="I105">
        <v>14</v>
      </c>
      <c r="J105">
        <f>3.2*2</f>
        <v>6.4</v>
      </c>
    </row>
    <row r="106" spans="9:10" x14ac:dyDescent="0.25">
      <c r="I106">
        <v>15</v>
      </c>
      <c r="J106">
        <f>1.5*1.7</f>
        <v>2.5499999999999998</v>
      </c>
    </row>
    <row r="107" spans="9:10" x14ac:dyDescent="0.25">
      <c r="I107">
        <v>16</v>
      </c>
      <c r="J107">
        <f>3*2.25</f>
        <v>6.75</v>
      </c>
    </row>
    <row r="108" spans="9:10" x14ac:dyDescent="0.25">
      <c r="I108">
        <v>17</v>
      </c>
      <c r="J108">
        <f>2.5*2.5</f>
        <v>6.25</v>
      </c>
    </row>
    <row r="109" spans="9:10" x14ac:dyDescent="0.25">
      <c r="I109">
        <v>18</v>
      </c>
      <c r="J109">
        <f>2*1.5</f>
        <v>3</v>
      </c>
    </row>
    <row r="110" spans="9:10" x14ac:dyDescent="0.25">
      <c r="I110">
        <v>19</v>
      </c>
      <c r="J110">
        <f>3*3</f>
        <v>9</v>
      </c>
    </row>
    <row r="111" spans="9:10" x14ac:dyDescent="0.25">
      <c r="I111">
        <v>20</v>
      </c>
      <c r="J111">
        <f>1.75*0.75</f>
        <v>1.3125</v>
      </c>
    </row>
    <row r="113" spans="9:13" x14ac:dyDescent="0.25">
      <c r="I113" t="s">
        <v>29</v>
      </c>
      <c r="K113" s="1">
        <f>25/40</f>
        <v>0.625</v>
      </c>
      <c r="L113" s="2">
        <f>AVERAGE(J114:J138)</f>
        <v>6.6078999999999999</v>
      </c>
      <c r="M113" s="2">
        <f>STDEV(J114:J138)/SQRT(25)</f>
        <v>0.81859859516126721</v>
      </c>
    </row>
    <row r="114" spans="9:13" x14ac:dyDescent="0.25">
      <c r="I114">
        <v>1</v>
      </c>
      <c r="J114">
        <f>6.5*3</f>
        <v>19.5</v>
      </c>
    </row>
    <row r="115" spans="9:13" x14ac:dyDescent="0.25">
      <c r="I115">
        <v>2</v>
      </c>
      <c r="J115">
        <f>2*3.5</f>
        <v>7</v>
      </c>
    </row>
    <row r="116" spans="9:13" x14ac:dyDescent="0.25">
      <c r="I116">
        <v>3</v>
      </c>
      <c r="J116">
        <f>4*3</f>
        <v>12</v>
      </c>
    </row>
    <row r="117" spans="9:13" x14ac:dyDescent="0.25">
      <c r="I117">
        <v>4</v>
      </c>
      <c r="J117">
        <f>2.5*1</f>
        <v>2.5</v>
      </c>
    </row>
    <row r="118" spans="9:13" x14ac:dyDescent="0.25">
      <c r="I118">
        <v>5</v>
      </c>
      <c r="J118">
        <f>4.2*2.5</f>
        <v>10.5</v>
      </c>
    </row>
    <row r="119" spans="9:13" x14ac:dyDescent="0.25">
      <c r="I119">
        <v>6</v>
      </c>
      <c r="J119">
        <f>2.5*1.5</f>
        <v>3.75</v>
      </c>
    </row>
    <row r="120" spans="9:13" x14ac:dyDescent="0.25">
      <c r="I120">
        <v>7</v>
      </c>
      <c r="J120">
        <f>2.5*1.5</f>
        <v>3.75</v>
      </c>
    </row>
    <row r="121" spans="9:13" x14ac:dyDescent="0.25">
      <c r="I121">
        <v>8</v>
      </c>
      <c r="J121">
        <f>4*3</f>
        <v>12</v>
      </c>
    </row>
    <row r="122" spans="9:13" x14ac:dyDescent="0.25">
      <c r="I122">
        <v>9</v>
      </c>
      <c r="J122">
        <f>2.5*2.25</f>
        <v>5.625</v>
      </c>
    </row>
    <row r="123" spans="9:13" x14ac:dyDescent="0.25">
      <c r="I123">
        <v>10</v>
      </c>
      <c r="J123">
        <f>2.5*2</f>
        <v>5</v>
      </c>
    </row>
    <row r="124" spans="9:13" x14ac:dyDescent="0.25">
      <c r="I124">
        <v>11</v>
      </c>
      <c r="J124">
        <f>2.5*1.75</f>
        <v>4.375</v>
      </c>
    </row>
    <row r="125" spans="9:13" x14ac:dyDescent="0.25">
      <c r="I125">
        <v>12</v>
      </c>
      <c r="J125">
        <f>3.5*2.5</f>
        <v>8.75</v>
      </c>
    </row>
    <row r="126" spans="9:13" x14ac:dyDescent="0.25">
      <c r="I126">
        <v>13</v>
      </c>
      <c r="J126">
        <f>1.5*2</f>
        <v>3</v>
      </c>
    </row>
    <row r="127" spans="9:13" x14ac:dyDescent="0.25">
      <c r="I127">
        <v>14</v>
      </c>
      <c r="J127">
        <f>2*1.75</f>
        <v>3.5</v>
      </c>
    </row>
    <row r="128" spans="9:13" x14ac:dyDescent="0.25">
      <c r="I128">
        <v>15</v>
      </c>
      <c r="J128">
        <f>2*1.5</f>
        <v>3</v>
      </c>
    </row>
    <row r="129" spans="9:10" x14ac:dyDescent="0.25">
      <c r="I129">
        <v>16</v>
      </c>
      <c r="J129">
        <f>3.4*2.5</f>
        <v>8.5</v>
      </c>
    </row>
    <row r="130" spans="9:10" x14ac:dyDescent="0.25">
      <c r="I130">
        <v>17</v>
      </c>
      <c r="J130">
        <f>2.25*1.75</f>
        <v>3.9375</v>
      </c>
    </row>
    <row r="131" spans="9:10" x14ac:dyDescent="0.25">
      <c r="I131">
        <v>18</v>
      </c>
      <c r="J131">
        <f>3.5*2.5</f>
        <v>8.75</v>
      </c>
    </row>
    <row r="132" spans="9:10" x14ac:dyDescent="0.25">
      <c r="I132">
        <v>19</v>
      </c>
      <c r="J132">
        <f>4.4*2.75</f>
        <v>12.100000000000001</v>
      </c>
    </row>
    <row r="133" spans="9:10" x14ac:dyDescent="0.25">
      <c r="I133">
        <v>20</v>
      </c>
      <c r="J133">
        <f>2*3.5</f>
        <v>7</v>
      </c>
    </row>
    <row r="134" spans="9:10" x14ac:dyDescent="0.25">
      <c r="I134">
        <v>21</v>
      </c>
      <c r="J134">
        <f>2*1.7</f>
        <v>3.4</v>
      </c>
    </row>
    <row r="135" spans="9:10" x14ac:dyDescent="0.25">
      <c r="I135">
        <v>22</v>
      </c>
      <c r="J135">
        <f>3*1.5</f>
        <v>4.5</v>
      </c>
    </row>
    <row r="136" spans="9:10" x14ac:dyDescent="0.25">
      <c r="I136">
        <v>23</v>
      </c>
      <c r="J136">
        <f>1.5*2</f>
        <v>3</v>
      </c>
    </row>
    <row r="137" spans="9:10" x14ac:dyDescent="0.25">
      <c r="I137">
        <v>24</v>
      </c>
      <c r="J137">
        <f>2.6*1.6</f>
        <v>4.16</v>
      </c>
    </row>
    <row r="138" spans="9:10" x14ac:dyDescent="0.25">
      <c r="I138">
        <v>25</v>
      </c>
      <c r="J138">
        <f>2.8*2</f>
        <v>5.6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7173F-104A-4D83-8276-1B06D9018D24}">
  <dimension ref="A1:Y150"/>
  <sheetViews>
    <sheetView workbookViewId="0">
      <selection activeCell="C2" sqref="C2"/>
    </sheetView>
  </sheetViews>
  <sheetFormatPr defaultRowHeight="15" x14ac:dyDescent="0.25"/>
  <cols>
    <col min="1" max="1" width="21.28515625" customWidth="1"/>
    <col min="2" max="2" width="12.140625" customWidth="1"/>
    <col min="3" max="4" width="14.28515625" customWidth="1"/>
    <col min="5" max="5" width="13.28515625" customWidth="1"/>
    <col min="6" max="6" width="12.140625" customWidth="1"/>
    <col min="7" max="7" width="12.28515625" customWidth="1"/>
    <col min="8" max="8" width="2" style="14" customWidth="1"/>
    <col min="9" max="9" width="22.42578125" customWidth="1"/>
    <col min="10" max="10" width="7.85546875" customWidth="1"/>
    <col min="11" max="12" width="14.42578125" customWidth="1"/>
    <col min="13" max="13" width="9.28515625" customWidth="1"/>
    <col min="14" max="14" width="2.28515625" style="19" customWidth="1"/>
    <col min="15" max="15" width="21.5703125" customWidth="1"/>
    <col min="17" max="17" width="15" customWidth="1"/>
    <col min="18" max="18" width="12.28515625" customWidth="1"/>
    <col min="19" max="19" width="10.5703125" customWidth="1"/>
    <col min="20" max="20" width="2" style="19" customWidth="1"/>
    <col min="21" max="21" width="20.85546875" customWidth="1"/>
    <col min="23" max="23" width="14.140625" customWidth="1"/>
    <col min="24" max="24" width="13.42578125" customWidth="1"/>
    <col min="25" max="25" width="10.42578125" customWidth="1"/>
  </cols>
  <sheetData>
    <row r="1" spans="1:25" ht="32.25" x14ac:dyDescent="0.25">
      <c r="A1" s="12" t="s">
        <v>0</v>
      </c>
      <c r="B1" s="12" t="s">
        <v>6</v>
      </c>
      <c r="C1" s="12" t="s">
        <v>2</v>
      </c>
      <c r="D1" s="12"/>
      <c r="E1" s="17" t="s">
        <v>13</v>
      </c>
      <c r="F1" s="12" t="s">
        <v>7</v>
      </c>
      <c r="G1" s="17" t="s">
        <v>62</v>
      </c>
      <c r="I1" s="13" t="s">
        <v>15</v>
      </c>
      <c r="J1" s="13" t="s">
        <v>6</v>
      </c>
      <c r="K1" s="13" t="s">
        <v>2</v>
      </c>
      <c r="L1" s="13" t="s">
        <v>7</v>
      </c>
      <c r="M1" s="17" t="s">
        <v>62</v>
      </c>
      <c r="O1" s="13" t="s">
        <v>15</v>
      </c>
      <c r="P1" s="13" t="s">
        <v>6</v>
      </c>
      <c r="Q1" s="13" t="s">
        <v>2</v>
      </c>
      <c r="R1" s="13" t="s">
        <v>7</v>
      </c>
      <c r="S1" s="13" t="s">
        <v>57</v>
      </c>
      <c r="U1" s="13" t="s">
        <v>15</v>
      </c>
      <c r="V1" s="13" t="s">
        <v>6</v>
      </c>
      <c r="W1" s="13" t="s">
        <v>2</v>
      </c>
      <c r="X1" s="13" t="s">
        <v>7</v>
      </c>
      <c r="Y1" s="17" t="s">
        <v>62</v>
      </c>
    </row>
    <row r="2" spans="1:25" x14ac:dyDescent="0.25">
      <c r="A2" t="s">
        <v>8</v>
      </c>
      <c r="C2" s="1">
        <f>13/50</f>
        <v>0.26</v>
      </c>
      <c r="D2" s="1"/>
      <c r="F2" s="2">
        <f>AVERAGE(B3:B15)</f>
        <v>3.5384615384615383</v>
      </c>
      <c r="G2" s="2">
        <f>STDEV(B3:B15)/SQRT(13)</f>
        <v>0.51798283081367813</v>
      </c>
      <c r="I2" t="s">
        <v>25</v>
      </c>
      <c r="K2" s="1">
        <f>7/50</f>
        <v>0.14000000000000001</v>
      </c>
      <c r="L2" s="2">
        <f>AVERAGE(J3:J9)</f>
        <v>0.6607142857142857</v>
      </c>
      <c r="M2" s="2">
        <f>STDEV(J3:J9)/SQRT(7)</f>
        <v>0.19038316180618423</v>
      </c>
      <c r="O2" t="s">
        <v>26</v>
      </c>
      <c r="Q2" s="1">
        <f>4/50</f>
        <v>0.08</v>
      </c>
      <c r="R2" s="2">
        <f>AVERAGE(P3:P6)</f>
        <v>0.625</v>
      </c>
      <c r="S2">
        <f>STDEV(P3:P6)/SQRT(4)</f>
        <v>0.21650635094610965</v>
      </c>
      <c r="U2" t="s">
        <v>27</v>
      </c>
      <c r="W2" s="1">
        <f>12/50</f>
        <v>0.24</v>
      </c>
      <c r="X2" s="2">
        <f>AVERAGE(V3:V14)</f>
        <v>0.61041666666666672</v>
      </c>
      <c r="Y2">
        <f>STDEV(V3:V14)/SQRT(12)</f>
        <v>0.1182839071979794</v>
      </c>
    </row>
    <row r="3" spans="1:25" x14ac:dyDescent="0.25">
      <c r="A3">
        <v>1</v>
      </c>
      <c r="B3">
        <f>1.5*1</f>
        <v>1.5</v>
      </c>
      <c r="I3">
        <v>1</v>
      </c>
      <c r="J3">
        <f>1.5*1</f>
        <v>1.5</v>
      </c>
      <c r="O3">
        <v>1</v>
      </c>
      <c r="P3">
        <f>1*1</f>
        <v>1</v>
      </c>
      <c r="U3">
        <v>1</v>
      </c>
      <c r="V3">
        <f>1*0.075</f>
        <v>7.4999999999999997E-2</v>
      </c>
    </row>
    <row r="4" spans="1:25" x14ac:dyDescent="0.25">
      <c r="A4">
        <v>2</v>
      </c>
      <c r="B4">
        <f>2.5*2</f>
        <v>5</v>
      </c>
      <c r="I4">
        <v>2</v>
      </c>
      <c r="J4">
        <f>1*1</f>
        <v>1</v>
      </c>
      <c r="O4">
        <v>2</v>
      </c>
      <c r="P4">
        <f>1*1</f>
        <v>1</v>
      </c>
      <c r="U4">
        <v>2</v>
      </c>
      <c r="V4">
        <f t="shared" ref="V4:V9" si="0">1*1</f>
        <v>1</v>
      </c>
    </row>
    <row r="5" spans="1:25" x14ac:dyDescent="0.25">
      <c r="A5">
        <v>3</v>
      </c>
      <c r="B5">
        <f>2*1.5</f>
        <v>3</v>
      </c>
      <c r="I5">
        <v>3</v>
      </c>
      <c r="J5">
        <f>0.75*0.5</f>
        <v>0.375</v>
      </c>
      <c r="O5">
        <v>3</v>
      </c>
      <c r="P5">
        <f>0.5*0.5</f>
        <v>0.25</v>
      </c>
      <c r="U5">
        <v>3</v>
      </c>
      <c r="V5">
        <f t="shared" si="0"/>
        <v>1</v>
      </c>
    </row>
    <row r="6" spans="1:25" x14ac:dyDescent="0.25">
      <c r="A6">
        <v>4</v>
      </c>
      <c r="B6">
        <f>2.5*2</f>
        <v>5</v>
      </c>
      <c r="I6">
        <v>4</v>
      </c>
      <c r="J6">
        <f>0.5*0.5</f>
        <v>0.25</v>
      </c>
      <c r="O6">
        <v>4</v>
      </c>
      <c r="P6">
        <f>0.5*0.5</f>
        <v>0.25</v>
      </c>
      <c r="U6">
        <v>4</v>
      </c>
      <c r="V6">
        <f t="shared" si="0"/>
        <v>1</v>
      </c>
    </row>
    <row r="7" spans="1:25" x14ac:dyDescent="0.25">
      <c r="A7">
        <v>5</v>
      </c>
      <c r="B7">
        <f>2.5*2</f>
        <v>5</v>
      </c>
      <c r="I7">
        <v>5</v>
      </c>
      <c r="J7">
        <f>1*1</f>
        <v>1</v>
      </c>
      <c r="U7">
        <v>5</v>
      </c>
      <c r="V7">
        <f t="shared" si="0"/>
        <v>1</v>
      </c>
    </row>
    <row r="8" spans="1:25" x14ac:dyDescent="0.25">
      <c r="A8">
        <v>6</v>
      </c>
      <c r="B8">
        <f>2.5*1.5</f>
        <v>3.75</v>
      </c>
      <c r="I8">
        <v>6</v>
      </c>
      <c r="J8">
        <f>0.5*0.5</f>
        <v>0.25</v>
      </c>
      <c r="U8">
        <v>6</v>
      </c>
      <c r="V8">
        <f t="shared" si="0"/>
        <v>1</v>
      </c>
    </row>
    <row r="9" spans="1:25" x14ac:dyDescent="0.25">
      <c r="A9">
        <v>7</v>
      </c>
      <c r="B9">
        <f>3*2</f>
        <v>6</v>
      </c>
      <c r="I9">
        <v>7</v>
      </c>
      <c r="J9">
        <f>0.5*0.5</f>
        <v>0.25</v>
      </c>
      <c r="U9">
        <v>7</v>
      </c>
      <c r="V9">
        <f t="shared" si="0"/>
        <v>1</v>
      </c>
    </row>
    <row r="10" spans="1:25" x14ac:dyDescent="0.25">
      <c r="A10">
        <v>8</v>
      </c>
      <c r="B10">
        <f>1.5*1.5</f>
        <v>2.25</v>
      </c>
      <c r="U10">
        <v>8</v>
      </c>
      <c r="V10">
        <f>0.5*0.5</f>
        <v>0.25</v>
      </c>
    </row>
    <row r="11" spans="1:25" x14ac:dyDescent="0.25">
      <c r="A11">
        <v>9</v>
      </c>
      <c r="B11">
        <f>2*1</f>
        <v>2</v>
      </c>
      <c r="K11" s="1"/>
      <c r="L11" s="2"/>
      <c r="U11">
        <v>9</v>
      </c>
      <c r="V11">
        <f>0.5*0.5</f>
        <v>0.25</v>
      </c>
    </row>
    <row r="12" spans="1:25" x14ac:dyDescent="0.25">
      <c r="A12">
        <v>10</v>
      </c>
      <c r="B12">
        <f>2*1</f>
        <v>2</v>
      </c>
      <c r="U12">
        <v>10</v>
      </c>
      <c r="V12">
        <f>0.5*0.5</f>
        <v>0.25</v>
      </c>
    </row>
    <row r="13" spans="1:25" x14ac:dyDescent="0.25">
      <c r="A13">
        <v>11</v>
      </c>
      <c r="B13">
        <f>3.5*2</f>
        <v>7</v>
      </c>
      <c r="U13">
        <v>11</v>
      </c>
      <c r="V13">
        <f>0.5*0.5</f>
        <v>0.25</v>
      </c>
    </row>
    <row r="14" spans="1:25" x14ac:dyDescent="0.25">
      <c r="A14">
        <v>12</v>
      </c>
      <c r="B14">
        <f>2*1</f>
        <v>2</v>
      </c>
      <c r="U14">
        <v>12</v>
      </c>
      <c r="V14">
        <f>0.5*0.5</f>
        <v>0.25</v>
      </c>
    </row>
    <row r="15" spans="1:25" x14ac:dyDescent="0.25">
      <c r="A15">
        <v>13</v>
      </c>
      <c r="B15">
        <f>1.5*1</f>
        <v>1.5</v>
      </c>
    </row>
    <row r="17" spans="1:25" ht="32.25" x14ac:dyDescent="0.25">
      <c r="A17" s="17" t="s">
        <v>12</v>
      </c>
      <c r="B17" s="17" t="s">
        <v>6</v>
      </c>
      <c r="C17" s="12" t="s">
        <v>2</v>
      </c>
      <c r="D17" s="12"/>
      <c r="E17" s="17" t="s">
        <v>13</v>
      </c>
      <c r="F17" s="17" t="s">
        <v>7</v>
      </c>
      <c r="G17" s="17" t="s">
        <v>62</v>
      </c>
      <c r="I17" s="13" t="s">
        <v>33</v>
      </c>
      <c r="J17" s="13" t="s">
        <v>6</v>
      </c>
      <c r="K17" s="13" t="s">
        <v>2</v>
      </c>
      <c r="L17" s="13" t="s">
        <v>7</v>
      </c>
      <c r="M17" s="17" t="s">
        <v>62</v>
      </c>
      <c r="O17" s="13" t="s">
        <v>33</v>
      </c>
      <c r="P17" s="13" t="s">
        <v>6</v>
      </c>
      <c r="Q17" s="13" t="s">
        <v>2</v>
      </c>
      <c r="R17" s="13" t="s">
        <v>7</v>
      </c>
      <c r="S17" s="13" t="s">
        <v>57</v>
      </c>
      <c r="U17" s="13" t="s">
        <v>33</v>
      </c>
      <c r="V17" s="13" t="s">
        <v>6</v>
      </c>
      <c r="W17" s="13" t="s">
        <v>2</v>
      </c>
      <c r="X17" s="13" t="s">
        <v>7</v>
      </c>
      <c r="Y17" s="17" t="s">
        <v>62</v>
      </c>
    </row>
    <row r="18" spans="1:25" x14ac:dyDescent="0.25">
      <c r="A18" t="s">
        <v>8</v>
      </c>
      <c r="C18" s="1">
        <f>7/50</f>
        <v>0.14000000000000001</v>
      </c>
      <c r="D18" s="1"/>
      <c r="E18" s="1">
        <f>7/13</f>
        <v>0.53846153846153844</v>
      </c>
      <c r="F18" s="2">
        <f>AVERAGE(B19:B25)</f>
        <v>6.8571428571428568</v>
      </c>
      <c r="G18" s="2">
        <f>STDEV(B19:B25)/SQRT(7)</f>
        <v>1.1004019055515564</v>
      </c>
      <c r="I18" t="s">
        <v>25</v>
      </c>
      <c r="K18" s="1">
        <f>23/50</f>
        <v>0.46</v>
      </c>
      <c r="L18" s="2">
        <f>AVERAGE(J19:J41)</f>
        <v>1.2173913043478262</v>
      </c>
      <c r="M18" s="2">
        <f>STDEV(J19:J41)/SQRT(23)</f>
        <v>0.12505369185420057</v>
      </c>
      <c r="O18" t="s">
        <v>26</v>
      </c>
      <c r="Q18" s="1">
        <f>13/50</f>
        <v>0.26</v>
      </c>
      <c r="R18" s="2">
        <f>AVERAGE(P19:P32)</f>
        <v>1.2788461538461537</v>
      </c>
      <c r="S18" s="2">
        <f>STDEV(P19:P31)/SQRT(13)</f>
        <v>0.23434726167219119</v>
      </c>
      <c r="U18" t="s">
        <v>27</v>
      </c>
      <c r="W18" s="1">
        <f>39/50</f>
        <v>0.78</v>
      </c>
      <c r="X18" s="2">
        <f>AVERAGE(V19:V57)</f>
        <v>1.7416666666666667</v>
      </c>
      <c r="Y18" s="2">
        <f>STDEV(V19:V26)/SQRT(8)</f>
        <v>0.26404466867098725</v>
      </c>
    </row>
    <row r="19" spans="1:25" x14ac:dyDescent="0.25">
      <c r="A19">
        <v>1</v>
      </c>
      <c r="B19">
        <f>2.5*2</f>
        <v>5</v>
      </c>
      <c r="I19">
        <v>1</v>
      </c>
      <c r="J19" s="2">
        <f>1*1</f>
        <v>1</v>
      </c>
      <c r="O19">
        <v>1</v>
      </c>
      <c r="P19">
        <f>2*1.5</f>
        <v>3</v>
      </c>
      <c r="U19">
        <v>1</v>
      </c>
      <c r="V19" s="2">
        <f>1.5*1.5</f>
        <v>2.25</v>
      </c>
    </row>
    <row r="20" spans="1:25" x14ac:dyDescent="0.25">
      <c r="A20">
        <v>4</v>
      </c>
      <c r="B20">
        <f>4*2.5</f>
        <v>10</v>
      </c>
      <c r="I20">
        <v>2</v>
      </c>
      <c r="J20" s="2">
        <f>1*1</f>
        <v>1</v>
      </c>
      <c r="O20">
        <v>2</v>
      </c>
      <c r="P20">
        <f>1.5*1.5</f>
        <v>2.25</v>
      </c>
      <c r="U20">
        <v>2</v>
      </c>
      <c r="V20" s="2">
        <f>1.25*1</f>
        <v>1.25</v>
      </c>
    </row>
    <row r="21" spans="1:25" x14ac:dyDescent="0.25">
      <c r="A21">
        <v>3</v>
      </c>
      <c r="B21">
        <f>4*3</f>
        <v>12</v>
      </c>
      <c r="I21">
        <v>3</v>
      </c>
      <c r="J21" s="2">
        <f>1*1</f>
        <v>1</v>
      </c>
      <c r="O21">
        <v>3</v>
      </c>
      <c r="P21">
        <f>0.5*0.75</f>
        <v>0.375</v>
      </c>
      <c r="U21">
        <v>3</v>
      </c>
      <c r="V21" s="2">
        <f>1*1.5</f>
        <v>1.5</v>
      </c>
    </row>
    <row r="22" spans="1:25" x14ac:dyDescent="0.25">
      <c r="A22">
        <v>4</v>
      </c>
      <c r="B22">
        <f>3*2</f>
        <v>6</v>
      </c>
      <c r="I22">
        <v>4</v>
      </c>
      <c r="J22" s="2">
        <f>1*1</f>
        <v>1</v>
      </c>
      <c r="O22">
        <v>4</v>
      </c>
      <c r="P22">
        <f>1*0.75</f>
        <v>0.75</v>
      </c>
      <c r="U22">
        <v>4</v>
      </c>
      <c r="V22" s="2">
        <f>2*1.5</f>
        <v>3</v>
      </c>
    </row>
    <row r="23" spans="1:25" x14ac:dyDescent="0.25">
      <c r="A23">
        <v>5</v>
      </c>
      <c r="B23">
        <f>2.5*2</f>
        <v>5</v>
      </c>
      <c r="I23">
        <v>5</v>
      </c>
      <c r="J23" s="2">
        <f>2*1.5</f>
        <v>3</v>
      </c>
      <c r="O23">
        <v>5</v>
      </c>
      <c r="P23">
        <f>1*0.5</f>
        <v>0.5</v>
      </c>
      <c r="U23">
        <v>5</v>
      </c>
      <c r="V23" s="2">
        <f>2*1.5</f>
        <v>3</v>
      </c>
    </row>
    <row r="24" spans="1:25" x14ac:dyDescent="0.25">
      <c r="A24">
        <v>6</v>
      </c>
      <c r="B24">
        <f>2.5*2</f>
        <v>5</v>
      </c>
      <c r="I24">
        <v>6</v>
      </c>
      <c r="J24" s="2">
        <f>1.5*1</f>
        <v>1.5</v>
      </c>
      <c r="O24">
        <v>6</v>
      </c>
      <c r="P24">
        <f>1.5*1.5</f>
        <v>2.25</v>
      </c>
      <c r="U24">
        <v>6</v>
      </c>
      <c r="V24" s="2">
        <f>2*1.5</f>
        <v>3</v>
      </c>
    </row>
    <row r="25" spans="1:25" x14ac:dyDescent="0.25">
      <c r="A25">
        <v>7</v>
      </c>
      <c r="B25">
        <f>2.5*2</f>
        <v>5</v>
      </c>
      <c r="I25">
        <v>7</v>
      </c>
      <c r="J25" s="2">
        <f>1*1</f>
        <v>1</v>
      </c>
      <c r="O25">
        <v>7</v>
      </c>
      <c r="P25">
        <f>1*0.75</f>
        <v>0.75</v>
      </c>
      <c r="U25">
        <v>7</v>
      </c>
      <c r="V25" s="2">
        <f>1.5*1.25</f>
        <v>1.875</v>
      </c>
    </row>
    <row r="26" spans="1:25" x14ac:dyDescent="0.25">
      <c r="I26">
        <v>8</v>
      </c>
      <c r="J26" s="2">
        <f>1.5*1</f>
        <v>1.5</v>
      </c>
      <c r="O26">
        <v>8</v>
      </c>
      <c r="P26">
        <f>1*1</f>
        <v>1</v>
      </c>
      <c r="U26">
        <v>8</v>
      </c>
      <c r="V26" s="2">
        <f>1.5*1</f>
        <v>1.5</v>
      </c>
    </row>
    <row r="27" spans="1:25" ht="32.25" x14ac:dyDescent="0.25">
      <c r="A27" s="17" t="s">
        <v>14</v>
      </c>
      <c r="B27" s="17" t="s">
        <v>6</v>
      </c>
      <c r="C27" s="12" t="s">
        <v>2</v>
      </c>
      <c r="D27" s="12"/>
      <c r="E27" s="17" t="s">
        <v>13</v>
      </c>
      <c r="F27" s="17" t="s">
        <v>7</v>
      </c>
      <c r="G27" s="17" t="s">
        <v>57</v>
      </c>
      <c r="I27">
        <v>9</v>
      </c>
      <c r="J27" s="2">
        <f t="shared" ref="J27:J36" si="1">1*1</f>
        <v>1</v>
      </c>
      <c r="O27">
        <v>9</v>
      </c>
      <c r="P27">
        <f>1.5*1.5</f>
        <v>2.25</v>
      </c>
      <c r="U27">
        <v>9</v>
      </c>
      <c r="V27" s="2">
        <f>0.75*0.75</f>
        <v>0.5625</v>
      </c>
    </row>
    <row r="28" spans="1:25" x14ac:dyDescent="0.25">
      <c r="A28" t="s">
        <v>8</v>
      </c>
      <c r="C28" s="1">
        <f>7/50</f>
        <v>0.14000000000000001</v>
      </c>
      <c r="D28" s="1"/>
      <c r="E28" s="1">
        <f>7/13</f>
        <v>0.53846153846153844</v>
      </c>
      <c r="F28" s="2">
        <f>AVERAGE(B29:B35)</f>
        <v>10.392857142857142</v>
      </c>
      <c r="G28" s="2">
        <f>STDEV(B29:B35)/SQRT(7)</f>
        <v>1.91474319338094</v>
      </c>
      <c r="I28">
        <v>10</v>
      </c>
      <c r="J28" s="2">
        <f t="shared" si="1"/>
        <v>1</v>
      </c>
      <c r="O28">
        <v>10</v>
      </c>
      <c r="P28">
        <f>1*0.75</f>
        <v>0.75</v>
      </c>
      <c r="U28">
        <v>10</v>
      </c>
      <c r="V28" s="2">
        <f>1.5*1.5</f>
        <v>2.25</v>
      </c>
    </row>
    <row r="29" spans="1:25" x14ac:dyDescent="0.25">
      <c r="A29">
        <v>1</v>
      </c>
      <c r="B29">
        <f>3*2.5</f>
        <v>7.5</v>
      </c>
      <c r="I29">
        <v>11</v>
      </c>
      <c r="J29" s="2">
        <f t="shared" si="1"/>
        <v>1</v>
      </c>
      <c r="O29">
        <v>11</v>
      </c>
      <c r="P29">
        <f>1*1</f>
        <v>1</v>
      </c>
      <c r="U29">
        <v>11</v>
      </c>
      <c r="V29" s="2">
        <f>1.5*1.5</f>
        <v>2.25</v>
      </c>
    </row>
    <row r="30" spans="1:25" x14ac:dyDescent="0.25">
      <c r="A30">
        <v>2</v>
      </c>
      <c r="B30">
        <f>3.5*2.5</f>
        <v>8.75</v>
      </c>
      <c r="I30">
        <v>12</v>
      </c>
      <c r="J30" s="2">
        <f t="shared" si="1"/>
        <v>1</v>
      </c>
      <c r="O30">
        <v>12</v>
      </c>
      <c r="P30">
        <f>1*1</f>
        <v>1</v>
      </c>
      <c r="U30">
        <v>12</v>
      </c>
      <c r="V30" s="2">
        <f>1.5*1.25</f>
        <v>1.875</v>
      </c>
    </row>
    <row r="31" spans="1:25" x14ac:dyDescent="0.25">
      <c r="A31">
        <v>3</v>
      </c>
      <c r="B31">
        <f>2.5*2</f>
        <v>5</v>
      </c>
      <c r="I31">
        <v>13</v>
      </c>
      <c r="J31" s="2">
        <f t="shared" si="1"/>
        <v>1</v>
      </c>
      <c r="O31">
        <v>13</v>
      </c>
      <c r="P31">
        <f>1*0.75</f>
        <v>0.75</v>
      </c>
      <c r="U31">
        <v>13</v>
      </c>
      <c r="V31" s="2">
        <f>1.5*1.5</f>
        <v>2.25</v>
      </c>
    </row>
    <row r="32" spans="1:25" x14ac:dyDescent="0.25">
      <c r="A32">
        <v>4</v>
      </c>
      <c r="B32">
        <f>2.5*2</f>
        <v>5</v>
      </c>
      <c r="I32">
        <v>14</v>
      </c>
      <c r="J32" s="2">
        <f t="shared" si="1"/>
        <v>1</v>
      </c>
      <c r="U32">
        <v>14</v>
      </c>
      <c r="V32" s="2">
        <f>1*1</f>
        <v>1</v>
      </c>
    </row>
    <row r="33" spans="1:22" x14ac:dyDescent="0.25">
      <c r="A33">
        <v>5</v>
      </c>
      <c r="B33">
        <f>5*3.5</f>
        <v>17.5</v>
      </c>
      <c r="I33">
        <v>15</v>
      </c>
      <c r="J33" s="2">
        <f t="shared" si="1"/>
        <v>1</v>
      </c>
      <c r="U33">
        <v>15</v>
      </c>
      <c r="V33" s="2">
        <f>1*0.5</f>
        <v>0.5</v>
      </c>
    </row>
    <row r="34" spans="1:22" x14ac:dyDescent="0.25">
      <c r="A34">
        <v>6</v>
      </c>
      <c r="B34">
        <f>4*3.5</f>
        <v>14</v>
      </c>
      <c r="I34">
        <v>16</v>
      </c>
      <c r="J34" s="2">
        <f t="shared" si="1"/>
        <v>1</v>
      </c>
      <c r="U34">
        <v>16</v>
      </c>
      <c r="V34" s="2">
        <f>2*1.5</f>
        <v>3</v>
      </c>
    </row>
    <row r="35" spans="1:22" x14ac:dyDescent="0.25">
      <c r="A35">
        <v>7</v>
      </c>
      <c r="B35">
        <f>5*3</f>
        <v>15</v>
      </c>
      <c r="I35">
        <v>17</v>
      </c>
      <c r="J35" s="2">
        <f t="shared" si="1"/>
        <v>1</v>
      </c>
      <c r="U35">
        <v>17</v>
      </c>
      <c r="V35" s="2">
        <f>2*1.5</f>
        <v>3</v>
      </c>
    </row>
    <row r="36" spans="1:22" x14ac:dyDescent="0.25">
      <c r="I36">
        <v>18</v>
      </c>
      <c r="J36" s="2">
        <f t="shared" si="1"/>
        <v>1</v>
      </c>
      <c r="U36">
        <v>18</v>
      </c>
      <c r="V36" s="2">
        <f>1.5*1</f>
        <v>1.5</v>
      </c>
    </row>
    <row r="37" spans="1:22" ht="32.25" x14ac:dyDescent="0.25">
      <c r="A37" s="17" t="s">
        <v>20</v>
      </c>
      <c r="B37" s="17" t="s">
        <v>6</v>
      </c>
      <c r="C37" s="12" t="s">
        <v>2</v>
      </c>
      <c r="D37" s="12" t="s">
        <v>63</v>
      </c>
      <c r="E37" s="17" t="s">
        <v>13</v>
      </c>
      <c r="F37" s="17" t="s">
        <v>7</v>
      </c>
      <c r="G37" s="17" t="s">
        <v>57</v>
      </c>
      <c r="H37" s="15">
        <v>43881</v>
      </c>
      <c r="I37">
        <v>19</v>
      </c>
      <c r="J37" s="2">
        <f>1.5*1</f>
        <v>1.5</v>
      </c>
      <c r="U37">
        <v>19</v>
      </c>
      <c r="V37" s="2">
        <f>1*1</f>
        <v>1</v>
      </c>
    </row>
    <row r="38" spans="1:22" x14ac:dyDescent="0.25">
      <c r="A38" t="s">
        <v>8</v>
      </c>
      <c r="C38" s="1">
        <f>5/50</f>
        <v>0.1</v>
      </c>
      <c r="D38" s="1">
        <f>'Survival.v.Mortality'!D12</f>
        <v>0.16</v>
      </c>
      <c r="E38" s="1">
        <f>7/13</f>
        <v>0.53846153846153844</v>
      </c>
      <c r="F38" s="2">
        <f>AVERAGE(B39:B45)</f>
        <v>23.6</v>
      </c>
      <c r="G38" s="2">
        <f>STDEV(B39:B43)/SQRT(5)</f>
        <v>9.43716058992322</v>
      </c>
      <c r="I38">
        <v>20</v>
      </c>
      <c r="J38" s="2">
        <f>2*1.5</f>
        <v>3</v>
      </c>
      <c r="U38">
        <v>20</v>
      </c>
      <c r="V38" s="2">
        <f>2*1.5</f>
        <v>3</v>
      </c>
    </row>
    <row r="39" spans="1:22" x14ac:dyDescent="0.25">
      <c r="A39">
        <v>1</v>
      </c>
      <c r="B39">
        <f>4.5*2</f>
        <v>9</v>
      </c>
      <c r="I39">
        <v>21</v>
      </c>
      <c r="J39" s="2">
        <f>1*1</f>
        <v>1</v>
      </c>
      <c r="U39">
        <v>21</v>
      </c>
      <c r="V39" s="2">
        <f>2*1.5</f>
        <v>3</v>
      </c>
    </row>
    <row r="40" spans="1:22" x14ac:dyDescent="0.25">
      <c r="A40">
        <v>2</v>
      </c>
      <c r="B40">
        <f>4*2</f>
        <v>8</v>
      </c>
      <c r="I40">
        <v>22</v>
      </c>
      <c r="J40" s="2">
        <f>0.5*1</f>
        <v>0.5</v>
      </c>
      <c r="U40">
        <v>22</v>
      </c>
      <c r="V40" s="2">
        <f>1.5*1.25</f>
        <v>1.875</v>
      </c>
    </row>
    <row r="41" spans="1:22" x14ac:dyDescent="0.25">
      <c r="A41">
        <v>3</v>
      </c>
      <c r="B41">
        <f>10*5.5</f>
        <v>55</v>
      </c>
      <c r="I41">
        <v>23</v>
      </c>
      <c r="J41" s="2">
        <f>1*1</f>
        <v>1</v>
      </c>
      <c r="U41">
        <v>23</v>
      </c>
      <c r="V41" s="2">
        <f>1.5*1.2</f>
        <v>1.7999999999999998</v>
      </c>
    </row>
    <row r="42" spans="1:22" x14ac:dyDescent="0.25">
      <c r="A42">
        <v>4</v>
      </c>
      <c r="B42">
        <f>9*4</f>
        <v>36</v>
      </c>
      <c r="U42">
        <v>24</v>
      </c>
      <c r="V42" s="2">
        <f>1.5*1.25</f>
        <v>1.875</v>
      </c>
    </row>
    <row r="43" spans="1:22" x14ac:dyDescent="0.25">
      <c r="A43">
        <v>5</v>
      </c>
      <c r="B43">
        <f>5*2</f>
        <v>10</v>
      </c>
      <c r="U43">
        <v>25</v>
      </c>
      <c r="V43" s="2">
        <f>1.5*1.5</f>
        <v>2.25</v>
      </c>
    </row>
    <row r="44" spans="1:22" x14ac:dyDescent="0.25">
      <c r="U44">
        <v>26</v>
      </c>
      <c r="V44" s="2">
        <f>1.5*1.25</f>
        <v>1.875</v>
      </c>
    </row>
    <row r="45" spans="1:22" x14ac:dyDescent="0.25">
      <c r="U45">
        <v>27</v>
      </c>
      <c r="V45" s="2">
        <f>1*0.75</f>
        <v>0.75</v>
      </c>
    </row>
    <row r="46" spans="1:22" x14ac:dyDescent="0.25">
      <c r="U46">
        <v>28</v>
      </c>
      <c r="V46" s="2">
        <f>1*0.75</f>
        <v>0.75</v>
      </c>
    </row>
    <row r="47" spans="1:22" x14ac:dyDescent="0.25">
      <c r="U47">
        <v>29</v>
      </c>
      <c r="V47" s="2">
        <f>2*1.5</f>
        <v>3</v>
      </c>
    </row>
    <row r="48" spans="1:22" x14ac:dyDescent="0.25">
      <c r="U48">
        <v>30</v>
      </c>
      <c r="V48" s="2">
        <f>0.75*1.5</f>
        <v>1.125</v>
      </c>
    </row>
    <row r="49" spans="9:25" x14ac:dyDescent="0.25">
      <c r="U49">
        <v>31</v>
      </c>
      <c r="V49" s="2">
        <f>1.5*1</f>
        <v>1.5</v>
      </c>
    </row>
    <row r="50" spans="9:25" x14ac:dyDescent="0.25">
      <c r="U50">
        <v>32</v>
      </c>
      <c r="V50" s="2">
        <f>1*1</f>
        <v>1</v>
      </c>
    </row>
    <row r="51" spans="9:25" x14ac:dyDescent="0.25">
      <c r="U51">
        <v>33</v>
      </c>
      <c r="V51" s="2">
        <f>1*0.75</f>
        <v>0.75</v>
      </c>
    </row>
    <row r="52" spans="9:25" x14ac:dyDescent="0.25">
      <c r="U52">
        <v>34</v>
      </c>
      <c r="V52" s="2">
        <f>1*1</f>
        <v>1</v>
      </c>
    </row>
    <row r="53" spans="9:25" x14ac:dyDescent="0.25">
      <c r="U53">
        <v>35</v>
      </c>
      <c r="V53" s="2">
        <f>1*1</f>
        <v>1</v>
      </c>
    </row>
    <row r="54" spans="9:25" x14ac:dyDescent="0.25">
      <c r="U54">
        <v>36</v>
      </c>
      <c r="V54" s="2">
        <f>0.75*0.75</f>
        <v>0.5625</v>
      </c>
    </row>
    <row r="55" spans="9:25" x14ac:dyDescent="0.25">
      <c r="U55">
        <v>37</v>
      </c>
      <c r="V55" s="2">
        <f>1*1.5</f>
        <v>1.5</v>
      </c>
    </row>
    <row r="56" spans="9:25" x14ac:dyDescent="0.25">
      <c r="U56">
        <v>38</v>
      </c>
      <c r="V56" s="2">
        <f>1*1.25</f>
        <v>1.25</v>
      </c>
    </row>
    <row r="57" spans="9:25" x14ac:dyDescent="0.25">
      <c r="U57">
        <v>39</v>
      </c>
      <c r="V57" s="2">
        <f>1*1.5</f>
        <v>1.5</v>
      </c>
    </row>
    <row r="59" spans="9:25" ht="32.25" x14ac:dyDescent="0.25">
      <c r="I59" s="13" t="s">
        <v>34</v>
      </c>
      <c r="J59" s="13" t="s">
        <v>6</v>
      </c>
      <c r="K59" s="13" t="s">
        <v>2</v>
      </c>
      <c r="L59" s="13" t="s">
        <v>7</v>
      </c>
      <c r="M59" s="17" t="s">
        <v>62</v>
      </c>
      <c r="O59" s="13" t="s">
        <v>34</v>
      </c>
      <c r="P59" s="13" t="s">
        <v>6</v>
      </c>
      <c r="Q59" s="13" t="s">
        <v>2</v>
      </c>
      <c r="R59" s="13" t="s">
        <v>7</v>
      </c>
      <c r="S59" s="17" t="s">
        <v>62</v>
      </c>
      <c r="U59" s="13" t="s">
        <v>34</v>
      </c>
      <c r="V59" s="13" t="s">
        <v>6</v>
      </c>
      <c r="W59" s="13" t="s">
        <v>2</v>
      </c>
      <c r="X59" s="13" t="s">
        <v>7</v>
      </c>
      <c r="Y59" s="17" t="s">
        <v>62</v>
      </c>
    </row>
    <row r="60" spans="9:25" x14ac:dyDescent="0.25">
      <c r="I60" t="s">
        <v>25</v>
      </c>
      <c r="K60" s="1">
        <f>26/50</f>
        <v>0.52</v>
      </c>
      <c r="L60" s="2">
        <f>AVERAGE(J61:J86)</f>
        <v>1.7692307692307692</v>
      </c>
      <c r="M60">
        <f>STDEV(J61:J86)/SQRT(26)</f>
        <v>0.17899859095012502</v>
      </c>
      <c r="O60" t="s">
        <v>26</v>
      </c>
      <c r="Q60">
        <f>14/50</f>
        <v>0.28000000000000003</v>
      </c>
      <c r="R60" s="2">
        <f>AVERAGE(P61:P74)</f>
        <v>1.4098214285714283</v>
      </c>
      <c r="S60">
        <f>STDEV(P61:P74)/SQRT(14)</f>
        <v>0.27867234101359406</v>
      </c>
      <c r="U60" t="s">
        <v>27</v>
      </c>
      <c r="W60" s="1">
        <f>43/50</f>
        <v>0.86</v>
      </c>
      <c r="X60" s="2">
        <f>AVERAGE(V61:V103)</f>
        <v>1.8115697674418607</v>
      </c>
      <c r="Y60">
        <f>STDEV(V61:V103)/SQRT(43)</f>
        <v>0.1123990571885045</v>
      </c>
    </row>
    <row r="61" spans="9:25" x14ac:dyDescent="0.25">
      <c r="I61">
        <v>1</v>
      </c>
      <c r="J61">
        <f>1*0.75</f>
        <v>0.75</v>
      </c>
      <c r="O61">
        <v>1</v>
      </c>
      <c r="P61" s="2">
        <f>0.75*1</f>
        <v>0.75</v>
      </c>
      <c r="U61">
        <v>1</v>
      </c>
      <c r="V61" s="2">
        <f>1.75*1.5</f>
        <v>2.625</v>
      </c>
    </row>
    <row r="62" spans="9:25" x14ac:dyDescent="0.25">
      <c r="I62">
        <v>2</v>
      </c>
      <c r="J62">
        <f>1*1.5</f>
        <v>1.5</v>
      </c>
      <c r="O62">
        <v>2</v>
      </c>
      <c r="P62" s="2">
        <f>0.6*1</f>
        <v>0.6</v>
      </c>
      <c r="U62">
        <v>2</v>
      </c>
      <c r="V62" s="2">
        <f>1.25*1.75</f>
        <v>2.1875</v>
      </c>
    </row>
    <row r="63" spans="9:25" x14ac:dyDescent="0.25">
      <c r="I63">
        <v>3</v>
      </c>
      <c r="J63">
        <f>1.5*1</f>
        <v>1.5</v>
      </c>
      <c r="O63">
        <v>3</v>
      </c>
      <c r="P63" s="2">
        <f>1*0.75</f>
        <v>0.75</v>
      </c>
      <c r="U63">
        <v>3</v>
      </c>
      <c r="V63" s="2">
        <f>1.5*0.5</f>
        <v>0.75</v>
      </c>
    </row>
    <row r="64" spans="9:25" x14ac:dyDescent="0.25">
      <c r="I64">
        <v>4</v>
      </c>
      <c r="J64">
        <f>1.5*1.25</f>
        <v>1.875</v>
      </c>
      <c r="O64">
        <v>4</v>
      </c>
      <c r="P64" s="2">
        <f>1*1.5</f>
        <v>1.5</v>
      </c>
      <c r="U64">
        <v>4</v>
      </c>
      <c r="V64" s="2">
        <f>1.5*1.5</f>
        <v>2.25</v>
      </c>
    </row>
    <row r="65" spans="9:22" x14ac:dyDescent="0.25">
      <c r="I65">
        <v>5</v>
      </c>
      <c r="J65">
        <f>1.25*1.25</f>
        <v>1.5625</v>
      </c>
      <c r="O65">
        <v>5</v>
      </c>
      <c r="P65" s="2">
        <f>1.5*1.75</f>
        <v>2.625</v>
      </c>
      <c r="U65">
        <v>5</v>
      </c>
      <c r="V65" s="2">
        <f>1.5*1</f>
        <v>1.5</v>
      </c>
    </row>
    <row r="66" spans="9:22" x14ac:dyDescent="0.25">
      <c r="I66">
        <v>6</v>
      </c>
      <c r="J66">
        <f>1.5*1</f>
        <v>1.5</v>
      </c>
      <c r="O66">
        <v>6</v>
      </c>
      <c r="P66" s="2">
        <f>1.5*1</f>
        <v>1.5</v>
      </c>
      <c r="U66">
        <v>6</v>
      </c>
      <c r="V66" s="2">
        <f>1.25*1</f>
        <v>1.25</v>
      </c>
    </row>
    <row r="67" spans="9:22" x14ac:dyDescent="0.25">
      <c r="I67">
        <v>7</v>
      </c>
      <c r="J67">
        <f>2.5*2</f>
        <v>5</v>
      </c>
      <c r="O67">
        <v>7</v>
      </c>
      <c r="P67" s="2">
        <f>1*1</f>
        <v>1</v>
      </c>
      <c r="U67">
        <v>7</v>
      </c>
      <c r="V67" s="2">
        <f>0.75*1</f>
        <v>0.75</v>
      </c>
    </row>
    <row r="68" spans="9:22" x14ac:dyDescent="0.25">
      <c r="I68">
        <v>8</v>
      </c>
      <c r="J68">
        <f>1*1</f>
        <v>1</v>
      </c>
      <c r="O68">
        <v>8</v>
      </c>
      <c r="P68" s="2">
        <f>1.5*1.5</f>
        <v>2.25</v>
      </c>
      <c r="U68">
        <v>8</v>
      </c>
      <c r="V68" s="2">
        <f>1.75*1.75</f>
        <v>3.0625</v>
      </c>
    </row>
    <row r="69" spans="9:22" x14ac:dyDescent="0.25">
      <c r="I69">
        <v>9</v>
      </c>
      <c r="J69">
        <f>1*1</f>
        <v>1</v>
      </c>
      <c r="O69">
        <v>9</v>
      </c>
      <c r="P69" s="2">
        <v>0</v>
      </c>
      <c r="U69">
        <v>9</v>
      </c>
      <c r="V69" s="2">
        <f>1.5*1.75</f>
        <v>2.625</v>
      </c>
    </row>
    <row r="70" spans="9:22" x14ac:dyDescent="0.25">
      <c r="I70">
        <v>10</v>
      </c>
      <c r="J70">
        <f>1*1.25</f>
        <v>1.25</v>
      </c>
      <c r="O70">
        <v>10</v>
      </c>
      <c r="P70" s="2">
        <f>1.15*0.5</f>
        <v>0.57499999999999996</v>
      </c>
      <c r="U70">
        <v>10</v>
      </c>
      <c r="V70" s="2">
        <f>1*1</f>
        <v>1</v>
      </c>
    </row>
    <row r="71" spans="9:22" x14ac:dyDescent="0.25">
      <c r="I71">
        <v>11</v>
      </c>
      <c r="J71">
        <f>1*1.25</f>
        <v>1.25</v>
      </c>
      <c r="O71">
        <v>11</v>
      </c>
      <c r="P71" s="2">
        <f>1.25*0.75</f>
        <v>0.9375</v>
      </c>
      <c r="U71">
        <v>11</v>
      </c>
      <c r="V71" s="2">
        <f>1*1.25</f>
        <v>1.25</v>
      </c>
    </row>
    <row r="72" spans="9:22" x14ac:dyDescent="0.25">
      <c r="I72">
        <v>12</v>
      </c>
      <c r="J72">
        <f>1.25*1.5</f>
        <v>1.875</v>
      </c>
      <c r="O72">
        <v>12</v>
      </c>
      <c r="P72" s="2">
        <f>2*1.5</f>
        <v>3</v>
      </c>
      <c r="U72">
        <v>12</v>
      </c>
      <c r="V72" s="2">
        <f>1.75*1.75</f>
        <v>3.0625</v>
      </c>
    </row>
    <row r="73" spans="9:22" x14ac:dyDescent="0.25">
      <c r="I73">
        <v>13</v>
      </c>
      <c r="J73">
        <f>1.5*1.5</f>
        <v>2.25</v>
      </c>
      <c r="O73">
        <v>13</v>
      </c>
      <c r="P73" s="2">
        <f>1*0.75</f>
        <v>0.75</v>
      </c>
      <c r="U73">
        <v>13</v>
      </c>
      <c r="V73" s="2">
        <f>1.25*1.4</f>
        <v>1.75</v>
      </c>
    </row>
    <row r="74" spans="9:22" x14ac:dyDescent="0.25">
      <c r="I74">
        <v>14</v>
      </c>
      <c r="J74">
        <f>1.5*1.5</f>
        <v>2.25</v>
      </c>
      <c r="O74">
        <v>14</v>
      </c>
      <c r="P74">
        <f>1.75*2</f>
        <v>3.5</v>
      </c>
      <c r="U74">
        <v>14</v>
      </c>
      <c r="V74" s="2">
        <f>1.8*1.2</f>
        <v>2.16</v>
      </c>
    </row>
    <row r="75" spans="9:22" x14ac:dyDescent="0.25">
      <c r="I75">
        <v>15</v>
      </c>
      <c r="J75">
        <f>1.5*1.25</f>
        <v>1.875</v>
      </c>
      <c r="U75">
        <v>15</v>
      </c>
      <c r="V75" s="2">
        <f>1.75*1.25</f>
        <v>2.1875</v>
      </c>
    </row>
    <row r="76" spans="9:22" x14ac:dyDescent="0.25">
      <c r="I76">
        <v>16</v>
      </c>
      <c r="J76">
        <f>1.25*1.25</f>
        <v>1.5625</v>
      </c>
      <c r="U76">
        <v>16</v>
      </c>
      <c r="V76" s="2">
        <f>1.1*1.25</f>
        <v>1.375</v>
      </c>
    </row>
    <row r="77" spans="9:22" x14ac:dyDescent="0.25">
      <c r="I77">
        <v>17</v>
      </c>
      <c r="J77">
        <f>2.5*1.5</f>
        <v>3.75</v>
      </c>
      <c r="U77">
        <v>17</v>
      </c>
      <c r="V77" s="2">
        <f>1*1.8</f>
        <v>1.8</v>
      </c>
    </row>
    <row r="78" spans="9:22" x14ac:dyDescent="0.25">
      <c r="I78">
        <v>18</v>
      </c>
      <c r="J78">
        <f>1*0.5</f>
        <v>0.5</v>
      </c>
      <c r="U78">
        <v>18</v>
      </c>
      <c r="V78" s="2">
        <f>1.5*1</f>
        <v>1.5</v>
      </c>
    </row>
    <row r="79" spans="9:22" x14ac:dyDescent="0.25">
      <c r="I79">
        <v>19</v>
      </c>
      <c r="J79">
        <f>1.5*1.5</f>
        <v>2.25</v>
      </c>
      <c r="U79">
        <v>19</v>
      </c>
      <c r="V79" s="2">
        <f>1.5*1.75</f>
        <v>2.625</v>
      </c>
    </row>
    <row r="80" spans="9:22" x14ac:dyDescent="0.25">
      <c r="I80">
        <v>20</v>
      </c>
      <c r="J80">
        <f>1*1</f>
        <v>1</v>
      </c>
      <c r="U80">
        <v>20</v>
      </c>
      <c r="V80" s="2">
        <f>1*1</f>
        <v>1</v>
      </c>
    </row>
    <row r="81" spans="9:22" x14ac:dyDescent="0.25">
      <c r="I81">
        <v>21</v>
      </c>
      <c r="J81">
        <f>1.5*1.5</f>
        <v>2.25</v>
      </c>
      <c r="U81">
        <v>21</v>
      </c>
      <c r="V81" s="2">
        <f>1*1</f>
        <v>1</v>
      </c>
    </row>
    <row r="82" spans="9:22" x14ac:dyDescent="0.25">
      <c r="I82">
        <v>22</v>
      </c>
      <c r="J82">
        <f>1.5*1</f>
        <v>1.5</v>
      </c>
      <c r="U82">
        <v>22</v>
      </c>
      <c r="V82" s="2">
        <f>1.5*1.25</f>
        <v>1.875</v>
      </c>
    </row>
    <row r="83" spans="9:22" x14ac:dyDescent="0.25">
      <c r="I83">
        <v>23</v>
      </c>
      <c r="J83">
        <f>1.5*1.25</f>
        <v>1.875</v>
      </c>
      <c r="U83">
        <v>23</v>
      </c>
      <c r="V83" s="2">
        <f>2*1.5</f>
        <v>3</v>
      </c>
    </row>
    <row r="84" spans="9:22" x14ac:dyDescent="0.25">
      <c r="I84">
        <v>24</v>
      </c>
      <c r="J84">
        <f>1.5*1</f>
        <v>1.5</v>
      </c>
      <c r="U84">
        <v>24</v>
      </c>
      <c r="V84" s="2">
        <f>1.5*1.75</f>
        <v>2.625</v>
      </c>
    </row>
    <row r="85" spans="9:22" x14ac:dyDescent="0.25">
      <c r="I85">
        <v>25</v>
      </c>
      <c r="J85">
        <f>1*1.5</f>
        <v>1.5</v>
      </c>
      <c r="U85">
        <v>25</v>
      </c>
      <c r="V85" s="2">
        <f>2*1.75</f>
        <v>3.5</v>
      </c>
    </row>
    <row r="86" spans="9:22" x14ac:dyDescent="0.25">
      <c r="I86">
        <v>26</v>
      </c>
      <c r="J86">
        <f>1.5*1.25</f>
        <v>1.875</v>
      </c>
      <c r="U86">
        <v>26</v>
      </c>
      <c r="V86" s="2">
        <f>1*1.25</f>
        <v>1.25</v>
      </c>
    </row>
    <row r="87" spans="9:22" x14ac:dyDescent="0.25">
      <c r="U87">
        <v>27</v>
      </c>
      <c r="V87" s="2">
        <f>1.25*1</f>
        <v>1.25</v>
      </c>
    </row>
    <row r="88" spans="9:22" x14ac:dyDescent="0.25">
      <c r="U88">
        <v>28</v>
      </c>
      <c r="V88" s="2">
        <f>1*1</f>
        <v>1</v>
      </c>
    </row>
    <row r="89" spans="9:22" x14ac:dyDescent="0.25">
      <c r="U89">
        <v>29</v>
      </c>
      <c r="V89" s="2">
        <f>1.25*1.25</f>
        <v>1.5625</v>
      </c>
    </row>
    <row r="90" spans="9:22" x14ac:dyDescent="0.25">
      <c r="U90">
        <v>30</v>
      </c>
      <c r="V90" s="2">
        <f>1*0.5</f>
        <v>0.5</v>
      </c>
    </row>
    <row r="91" spans="9:22" x14ac:dyDescent="0.25">
      <c r="U91">
        <v>31</v>
      </c>
      <c r="V91" s="2">
        <f>1.5*1.5</f>
        <v>2.25</v>
      </c>
    </row>
    <row r="92" spans="9:22" x14ac:dyDescent="0.25">
      <c r="U92">
        <v>32</v>
      </c>
      <c r="V92" s="2">
        <f>1*1.5</f>
        <v>1.5</v>
      </c>
    </row>
    <row r="93" spans="9:22" x14ac:dyDescent="0.25">
      <c r="U93">
        <v>33</v>
      </c>
      <c r="V93" s="2">
        <f>1.5*1.25</f>
        <v>1.875</v>
      </c>
    </row>
    <row r="94" spans="9:22" x14ac:dyDescent="0.25">
      <c r="U94">
        <v>34</v>
      </c>
      <c r="V94" s="2">
        <f>2.25*1</f>
        <v>2.25</v>
      </c>
    </row>
    <row r="95" spans="9:22" x14ac:dyDescent="0.25">
      <c r="U95">
        <v>35</v>
      </c>
      <c r="V95" s="2">
        <f>1.25*0.75</f>
        <v>0.9375</v>
      </c>
    </row>
    <row r="96" spans="9:22" x14ac:dyDescent="0.25">
      <c r="U96">
        <v>36</v>
      </c>
      <c r="V96" s="2">
        <f>1*1.25</f>
        <v>1.25</v>
      </c>
    </row>
    <row r="97" spans="9:25" x14ac:dyDescent="0.25">
      <c r="U97">
        <v>37</v>
      </c>
      <c r="V97" s="2">
        <f>1*1</f>
        <v>1</v>
      </c>
    </row>
    <row r="98" spans="9:25" x14ac:dyDescent="0.25">
      <c r="U98">
        <v>38</v>
      </c>
      <c r="V98" s="2">
        <f>1.8*1.25</f>
        <v>2.25</v>
      </c>
    </row>
    <row r="99" spans="9:25" x14ac:dyDescent="0.25">
      <c r="U99">
        <v>39</v>
      </c>
      <c r="V99" s="2">
        <f>1.5*1.25</f>
        <v>1.875</v>
      </c>
    </row>
    <row r="100" spans="9:25" x14ac:dyDescent="0.25">
      <c r="U100">
        <v>40</v>
      </c>
      <c r="V100" s="2">
        <f>1.75*1.5</f>
        <v>2.625</v>
      </c>
    </row>
    <row r="101" spans="9:25" x14ac:dyDescent="0.25">
      <c r="U101">
        <v>41</v>
      </c>
      <c r="V101" s="2">
        <f>1.75*1.5</f>
        <v>2.625</v>
      </c>
    </row>
    <row r="102" spans="9:25" x14ac:dyDescent="0.25">
      <c r="U102">
        <v>42</v>
      </c>
      <c r="V102" s="2">
        <f>1.5*1</f>
        <v>1.5</v>
      </c>
    </row>
    <row r="103" spans="9:25" x14ac:dyDescent="0.25">
      <c r="U103">
        <v>43</v>
      </c>
      <c r="V103" s="2">
        <f>1.25*1.35</f>
        <v>1.6875</v>
      </c>
    </row>
    <row r="106" spans="9:25" ht="38.25" customHeight="1" x14ac:dyDescent="0.25">
      <c r="I106" s="13" t="s">
        <v>36</v>
      </c>
      <c r="J106" s="13" t="s">
        <v>6</v>
      </c>
      <c r="K106" s="13" t="s">
        <v>2</v>
      </c>
      <c r="L106" s="13" t="s">
        <v>7</v>
      </c>
      <c r="M106" s="17" t="s">
        <v>62</v>
      </c>
      <c r="O106" s="13" t="s">
        <v>36</v>
      </c>
      <c r="P106" s="13" t="s">
        <v>6</v>
      </c>
      <c r="Q106" s="13" t="s">
        <v>2</v>
      </c>
      <c r="R106" s="13" t="s">
        <v>7</v>
      </c>
      <c r="S106" s="13" t="s">
        <v>57</v>
      </c>
      <c r="U106" s="13" t="s">
        <v>36</v>
      </c>
      <c r="V106" s="13" t="s">
        <v>6</v>
      </c>
      <c r="W106" s="13" t="s">
        <v>2</v>
      </c>
      <c r="X106" s="13" t="s">
        <v>7</v>
      </c>
      <c r="Y106" s="13" t="s">
        <v>57</v>
      </c>
    </row>
    <row r="107" spans="9:25" x14ac:dyDescent="0.25">
      <c r="I107" t="s">
        <v>25</v>
      </c>
      <c r="K107" s="1">
        <f>26/50</f>
        <v>0.52</v>
      </c>
      <c r="L107" s="2">
        <f>AVERAGE(J108:J133)</f>
        <v>2.152596153846154</v>
      </c>
      <c r="M107">
        <f>STDEV(J108:J133)/SQRT(26)</f>
        <v>0.22202756588944739</v>
      </c>
      <c r="O107" t="s">
        <v>26</v>
      </c>
      <c r="Q107" s="1">
        <f>21/50</f>
        <v>0.42</v>
      </c>
      <c r="R107" s="2">
        <f>AVERAGE(P108:P128)</f>
        <v>2.0714285714285716</v>
      </c>
      <c r="S107">
        <f>STDEV(P108:P128)/SQRT(21)</f>
        <v>0.22169051326899258</v>
      </c>
      <c r="U107" t="s">
        <v>27</v>
      </c>
      <c r="W107" s="1">
        <f>43/50</f>
        <v>0.86</v>
      </c>
      <c r="X107" s="2">
        <f>AVERAGE(V108:V150)</f>
        <v>2.377290697674419</v>
      </c>
      <c r="Y107">
        <f>STDEV(V108:V150)/SQRT(43)</f>
        <v>0.14729070707266717</v>
      </c>
    </row>
    <row r="108" spans="9:25" x14ac:dyDescent="0.25">
      <c r="I108">
        <v>1</v>
      </c>
      <c r="J108">
        <f>1.25*1</f>
        <v>1.25</v>
      </c>
      <c r="O108">
        <v>1</v>
      </c>
      <c r="P108">
        <f>1.6*1.75</f>
        <v>2.8000000000000003</v>
      </c>
      <c r="U108">
        <v>1</v>
      </c>
      <c r="V108">
        <f>2*1.5</f>
        <v>3</v>
      </c>
    </row>
    <row r="109" spans="9:25" x14ac:dyDescent="0.25">
      <c r="I109">
        <v>2</v>
      </c>
      <c r="J109">
        <f>1.25*1.4</f>
        <v>1.75</v>
      </c>
      <c r="O109">
        <v>2</v>
      </c>
      <c r="P109">
        <f>2*1.5</f>
        <v>3</v>
      </c>
      <c r="U109">
        <v>2</v>
      </c>
      <c r="V109">
        <f>1.5*0.5</f>
        <v>0.75</v>
      </c>
    </row>
    <row r="110" spans="9:25" x14ac:dyDescent="0.25">
      <c r="I110">
        <v>3</v>
      </c>
      <c r="J110">
        <f>1.2*1.2</f>
        <v>1.44</v>
      </c>
      <c r="O110">
        <v>3</v>
      </c>
      <c r="P110">
        <f>1.75*1.25</f>
        <v>2.1875</v>
      </c>
      <c r="U110">
        <v>3</v>
      </c>
      <c r="V110">
        <f>1.8*1.6</f>
        <v>2.8800000000000003</v>
      </c>
    </row>
    <row r="111" spans="9:25" x14ac:dyDescent="0.25">
      <c r="I111">
        <v>4</v>
      </c>
      <c r="J111">
        <f>1*1.3</f>
        <v>1.3</v>
      </c>
      <c r="O111">
        <v>4</v>
      </c>
      <c r="P111">
        <f>1.6*0.75</f>
        <v>1.2000000000000002</v>
      </c>
      <c r="U111">
        <v>4</v>
      </c>
      <c r="V111">
        <f>1.6*1.76</f>
        <v>2.8160000000000003</v>
      </c>
    </row>
    <row r="112" spans="9:25" x14ac:dyDescent="0.25">
      <c r="I112">
        <v>5</v>
      </c>
      <c r="J112">
        <f>1*1.15</f>
        <v>1.1499999999999999</v>
      </c>
      <c r="O112">
        <v>5</v>
      </c>
      <c r="P112">
        <f>1.5*1.25</f>
        <v>1.875</v>
      </c>
      <c r="U112">
        <v>5</v>
      </c>
      <c r="V112">
        <f>1.6*1.5</f>
        <v>2.4000000000000004</v>
      </c>
    </row>
    <row r="113" spans="9:22" x14ac:dyDescent="0.25">
      <c r="I113">
        <v>6</v>
      </c>
      <c r="J113">
        <f>1*1.5</f>
        <v>1.5</v>
      </c>
      <c r="O113">
        <v>6</v>
      </c>
      <c r="P113">
        <f>1*1.25</f>
        <v>1.25</v>
      </c>
      <c r="U113">
        <v>6</v>
      </c>
      <c r="V113">
        <f>2*1.5</f>
        <v>3</v>
      </c>
    </row>
    <row r="114" spans="9:22" x14ac:dyDescent="0.25">
      <c r="I114">
        <v>7</v>
      </c>
      <c r="J114">
        <f>1.5*1.5</f>
        <v>2.25</v>
      </c>
      <c r="O114">
        <v>7</v>
      </c>
      <c r="P114">
        <f>2*1</f>
        <v>2</v>
      </c>
      <c r="U114">
        <v>7</v>
      </c>
      <c r="V114">
        <f>2*1.6</f>
        <v>3.2</v>
      </c>
    </row>
    <row r="115" spans="9:22" x14ac:dyDescent="0.25">
      <c r="I115">
        <v>8</v>
      </c>
      <c r="J115">
        <f>1*0.75</f>
        <v>0.75</v>
      </c>
      <c r="O115">
        <v>8</v>
      </c>
      <c r="P115">
        <f>1*1.75</f>
        <v>1.75</v>
      </c>
      <c r="U115">
        <v>8</v>
      </c>
      <c r="V115">
        <f>2*1.5</f>
        <v>3</v>
      </c>
    </row>
    <row r="116" spans="9:22" x14ac:dyDescent="0.25">
      <c r="I116">
        <v>9</v>
      </c>
      <c r="J116">
        <f>1*1</f>
        <v>1</v>
      </c>
      <c r="O116">
        <v>9</v>
      </c>
      <c r="P116">
        <f>1*1.5</f>
        <v>1.5</v>
      </c>
      <c r="U116">
        <v>9</v>
      </c>
      <c r="V116">
        <f>1.25*1.5</f>
        <v>1.875</v>
      </c>
    </row>
    <row r="117" spans="9:22" x14ac:dyDescent="0.25">
      <c r="I117">
        <v>10</v>
      </c>
      <c r="J117">
        <f>2.5*2.25</f>
        <v>5.625</v>
      </c>
      <c r="O117">
        <v>10</v>
      </c>
      <c r="P117">
        <f>1.75*1.75</f>
        <v>3.0625</v>
      </c>
      <c r="U117">
        <v>10</v>
      </c>
      <c r="V117">
        <f>1.5*1.5</f>
        <v>2.25</v>
      </c>
    </row>
    <row r="118" spans="9:22" x14ac:dyDescent="0.25">
      <c r="I118">
        <v>11</v>
      </c>
      <c r="J118">
        <f>1.6*1.6</f>
        <v>2.5600000000000005</v>
      </c>
      <c r="O118">
        <v>11</v>
      </c>
      <c r="P118">
        <f>0.75*0.75</f>
        <v>0.5625</v>
      </c>
      <c r="U118">
        <v>11</v>
      </c>
      <c r="V118">
        <f>1.75*1.5</f>
        <v>2.625</v>
      </c>
    </row>
    <row r="119" spans="9:22" x14ac:dyDescent="0.25">
      <c r="I119">
        <v>12</v>
      </c>
      <c r="J119">
        <f>1.5*1.5</f>
        <v>2.25</v>
      </c>
      <c r="O119">
        <v>12</v>
      </c>
      <c r="P119">
        <f>1.5*1.25</f>
        <v>1.875</v>
      </c>
      <c r="U119">
        <v>12</v>
      </c>
      <c r="V119">
        <f>1.6*1.5</f>
        <v>2.4000000000000004</v>
      </c>
    </row>
    <row r="120" spans="9:22" x14ac:dyDescent="0.25">
      <c r="I120">
        <v>13</v>
      </c>
      <c r="J120">
        <f>1.5*1.5</f>
        <v>2.25</v>
      </c>
      <c r="O120">
        <v>13</v>
      </c>
      <c r="P120">
        <f>1.5*2</f>
        <v>3</v>
      </c>
      <c r="U120">
        <v>13</v>
      </c>
      <c r="V120">
        <f>1.8*1.25</f>
        <v>2.25</v>
      </c>
    </row>
    <row r="121" spans="9:22" x14ac:dyDescent="0.25">
      <c r="I121">
        <v>14</v>
      </c>
      <c r="J121">
        <f>1.5*1.5</f>
        <v>2.25</v>
      </c>
      <c r="O121">
        <v>14</v>
      </c>
      <c r="P121">
        <f>1.75*1</f>
        <v>1.75</v>
      </c>
      <c r="U121">
        <v>14</v>
      </c>
      <c r="V121">
        <f>1.75*1.5</f>
        <v>2.625</v>
      </c>
    </row>
    <row r="122" spans="9:22" x14ac:dyDescent="0.25">
      <c r="I122">
        <v>15</v>
      </c>
      <c r="J122">
        <f>1*1.5</f>
        <v>1.5</v>
      </c>
      <c r="O122">
        <v>15</v>
      </c>
      <c r="P122">
        <f>1.25*1.25</f>
        <v>1.5625</v>
      </c>
      <c r="U122">
        <v>15</v>
      </c>
      <c r="V122">
        <f>1.75*1.75</f>
        <v>3.0625</v>
      </c>
    </row>
    <row r="123" spans="9:22" x14ac:dyDescent="0.25">
      <c r="I123">
        <v>16</v>
      </c>
      <c r="J123">
        <f>1.6*1.6</f>
        <v>2.5600000000000005</v>
      </c>
      <c r="O123">
        <v>16</v>
      </c>
      <c r="P123">
        <f>1*1.5</f>
        <v>1.5</v>
      </c>
      <c r="U123">
        <v>16</v>
      </c>
      <c r="V123">
        <f>3*2</f>
        <v>6</v>
      </c>
    </row>
    <row r="124" spans="9:22" x14ac:dyDescent="0.25">
      <c r="I124">
        <v>17</v>
      </c>
      <c r="J124">
        <f>1.6*1.2</f>
        <v>1.92</v>
      </c>
      <c r="O124">
        <v>17</v>
      </c>
      <c r="P124">
        <f>2*2.5</f>
        <v>5</v>
      </c>
      <c r="U124">
        <v>17</v>
      </c>
      <c r="V124">
        <f>1.5*2</f>
        <v>3</v>
      </c>
    </row>
    <row r="125" spans="9:22" x14ac:dyDescent="0.25">
      <c r="I125">
        <v>18</v>
      </c>
      <c r="J125">
        <f>1.6*1.25</f>
        <v>2</v>
      </c>
      <c r="O125">
        <v>18</v>
      </c>
      <c r="P125">
        <f>1.5*1</f>
        <v>1.5</v>
      </c>
      <c r="U125">
        <v>18</v>
      </c>
      <c r="V125">
        <f>1*1</f>
        <v>1</v>
      </c>
    </row>
    <row r="126" spans="9:22" x14ac:dyDescent="0.25">
      <c r="I126">
        <v>19</v>
      </c>
      <c r="J126">
        <f>1.5*2.5</f>
        <v>3.75</v>
      </c>
      <c r="O126">
        <v>19</v>
      </c>
      <c r="P126">
        <f>1.75*0.5</f>
        <v>0.875</v>
      </c>
      <c r="U126">
        <v>19</v>
      </c>
      <c r="V126">
        <f>1.25*1.3</f>
        <v>1.625</v>
      </c>
    </row>
    <row r="127" spans="9:22" x14ac:dyDescent="0.25">
      <c r="I127">
        <v>20</v>
      </c>
      <c r="J127">
        <f>1.25*1.25</f>
        <v>1.5625</v>
      </c>
      <c r="O127">
        <v>20</v>
      </c>
      <c r="P127">
        <f>1*1.75</f>
        <v>1.75</v>
      </c>
      <c r="U127">
        <v>20</v>
      </c>
      <c r="V127">
        <f>1.4*1.3</f>
        <v>1.8199999999999998</v>
      </c>
    </row>
    <row r="128" spans="9:22" x14ac:dyDescent="0.25">
      <c r="I128">
        <v>21</v>
      </c>
      <c r="J128">
        <f>2*2.5</f>
        <v>5</v>
      </c>
      <c r="O128">
        <v>21</v>
      </c>
      <c r="P128">
        <f>1.75*2</f>
        <v>3.5</v>
      </c>
      <c r="U128">
        <v>21</v>
      </c>
      <c r="V128">
        <f>1.5*1.25</f>
        <v>1.875</v>
      </c>
    </row>
    <row r="129" spans="9:22" x14ac:dyDescent="0.25">
      <c r="I129">
        <v>22</v>
      </c>
      <c r="J129">
        <f>1.5*1.75</f>
        <v>2.625</v>
      </c>
      <c r="U129">
        <v>22</v>
      </c>
      <c r="V129">
        <f>1*1.5</f>
        <v>1.5</v>
      </c>
    </row>
    <row r="130" spans="9:22" x14ac:dyDescent="0.25">
      <c r="I130">
        <v>23</v>
      </c>
      <c r="J130">
        <f>1.8*1.25</f>
        <v>2.25</v>
      </c>
      <c r="U130">
        <v>23</v>
      </c>
      <c r="V130">
        <f>1.5*1.6</f>
        <v>2.4000000000000004</v>
      </c>
    </row>
    <row r="131" spans="9:22" x14ac:dyDescent="0.25">
      <c r="I131">
        <v>24</v>
      </c>
      <c r="J131">
        <f>1.25*1.3</f>
        <v>1.625</v>
      </c>
      <c r="U131">
        <v>24</v>
      </c>
      <c r="V131">
        <f>1.75*1.5</f>
        <v>2.625</v>
      </c>
    </row>
    <row r="132" spans="9:22" x14ac:dyDescent="0.25">
      <c r="I132">
        <v>25</v>
      </c>
      <c r="J132">
        <f>1.4*1</f>
        <v>1.4</v>
      </c>
      <c r="U132">
        <v>25</v>
      </c>
      <c r="V132">
        <f>1.8*1.4</f>
        <v>2.52</v>
      </c>
    </row>
    <row r="133" spans="9:22" x14ac:dyDescent="0.25">
      <c r="I133">
        <v>26</v>
      </c>
      <c r="J133">
        <f>1.75*1.4</f>
        <v>2.4499999999999997</v>
      </c>
      <c r="U133">
        <v>26</v>
      </c>
      <c r="V133">
        <f>1.75*1.3</f>
        <v>2.2749999999999999</v>
      </c>
    </row>
    <row r="134" spans="9:22" x14ac:dyDescent="0.25">
      <c r="U134">
        <v>27</v>
      </c>
      <c r="V134">
        <f>2.3*2</f>
        <v>4.5999999999999996</v>
      </c>
    </row>
    <row r="135" spans="9:22" x14ac:dyDescent="0.25">
      <c r="U135">
        <v>28</v>
      </c>
      <c r="V135">
        <f>1.5*1.5</f>
        <v>2.25</v>
      </c>
    </row>
    <row r="136" spans="9:22" x14ac:dyDescent="0.25">
      <c r="U136">
        <v>29</v>
      </c>
      <c r="V136">
        <f>1.75*1.5</f>
        <v>2.625</v>
      </c>
    </row>
    <row r="137" spans="9:22" x14ac:dyDescent="0.25">
      <c r="U137">
        <v>30</v>
      </c>
      <c r="V137">
        <f>1.5*1.25</f>
        <v>1.875</v>
      </c>
    </row>
    <row r="138" spans="9:22" x14ac:dyDescent="0.25">
      <c r="U138">
        <v>31</v>
      </c>
      <c r="V138">
        <f>1.3*1</f>
        <v>1.3</v>
      </c>
    </row>
    <row r="139" spans="9:22" x14ac:dyDescent="0.25">
      <c r="U139">
        <v>32</v>
      </c>
      <c r="V139">
        <f>2*1.6</f>
        <v>3.2</v>
      </c>
    </row>
    <row r="140" spans="9:22" x14ac:dyDescent="0.25">
      <c r="U140">
        <v>33</v>
      </c>
      <c r="V140">
        <f>1.3*1.5</f>
        <v>1.9500000000000002</v>
      </c>
    </row>
    <row r="141" spans="9:22" x14ac:dyDescent="0.25">
      <c r="U141">
        <v>34</v>
      </c>
      <c r="V141">
        <f>1.3*1.5</f>
        <v>1.9500000000000002</v>
      </c>
    </row>
    <row r="142" spans="9:22" x14ac:dyDescent="0.25">
      <c r="U142">
        <v>35</v>
      </c>
      <c r="V142">
        <f>1.25*1.3</f>
        <v>1.625</v>
      </c>
    </row>
    <row r="143" spans="9:22" x14ac:dyDescent="0.25">
      <c r="U143">
        <v>36</v>
      </c>
      <c r="V143">
        <f>1.5*1.5</f>
        <v>2.25</v>
      </c>
    </row>
    <row r="144" spans="9:22" x14ac:dyDescent="0.25">
      <c r="U144">
        <v>37</v>
      </c>
      <c r="V144">
        <f>1.75*1.8</f>
        <v>3.15</v>
      </c>
    </row>
    <row r="145" spans="21:22" x14ac:dyDescent="0.25">
      <c r="U145">
        <v>38</v>
      </c>
      <c r="V145">
        <f>2*1.7</f>
        <v>3.4</v>
      </c>
    </row>
    <row r="146" spans="21:22" x14ac:dyDescent="0.25">
      <c r="U146">
        <v>39</v>
      </c>
      <c r="V146">
        <f>1.75*1.2</f>
        <v>2.1</v>
      </c>
    </row>
    <row r="147" spans="21:22" x14ac:dyDescent="0.25">
      <c r="U147">
        <v>40</v>
      </c>
      <c r="V147">
        <f>1.5*1.2</f>
        <v>1.7999999999999998</v>
      </c>
    </row>
    <row r="148" spans="21:22" x14ac:dyDescent="0.25">
      <c r="U148">
        <v>41</v>
      </c>
      <c r="V148">
        <f>1.25*1.2</f>
        <v>1.5</v>
      </c>
    </row>
    <row r="149" spans="21:22" x14ac:dyDescent="0.25">
      <c r="U149">
        <v>42</v>
      </c>
      <c r="V149">
        <f>1.3*1.25</f>
        <v>1.625</v>
      </c>
    </row>
    <row r="150" spans="21:22" x14ac:dyDescent="0.25">
      <c r="U150">
        <v>43</v>
      </c>
      <c r="V150">
        <f>0.5*0.5</f>
        <v>0.25</v>
      </c>
    </row>
  </sheetData>
  <pageMargins left="0.7" right="0.7" top="0.75" bottom="0.75" header="0.3" footer="0.3"/>
  <pageSetup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DEC00-C1CC-4364-B130-285BE0283FA4}">
  <dimension ref="A1:N111"/>
  <sheetViews>
    <sheetView topLeftCell="A66" workbookViewId="0">
      <selection activeCell="E30" sqref="E30"/>
    </sheetView>
  </sheetViews>
  <sheetFormatPr defaultRowHeight="15" x14ac:dyDescent="0.25"/>
  <cols>
    <col min="1" max="1" width="20.7109375" customWidth="1"/>
    <col min="4" max="4" width="14.5703125" customWidth="1"/>
    <col min="5" max="5" width="13.42578125" customWidth="1"/>
    <col min="6" max="6" width="14" customWidth="1"/>
    <col min="7" max="7" width="1.5703125" style="14" customWidth="1"/>
    <col min="8" max="8" width="22.5703125" customWidth="1"/>
    <col min="9" max="9" width="12.140625" customWidth="1"/>
    <col min="11" max="11" width="14.85546875" customWidth="1"/>
    <col min="12" max="12" width="11.28515625" customWidth="1"/>
    <col min="14" max="14" width="20.5703125" customWidth="1"/>
  </cols>
  <sheetData>
    <row r="1" spans="1:14" ht="32.25" x14ac:dyDescent="0.25">
      <c r="A1" s="17" t="s">
        <v>0</v>
      </c>
      <c r="B1" s="17" t="s">
        <v>6</v>
      </c>
      <c r="C1" s="17" t="s">
        <v>3</v>
      </c>
      <c r="D1" s="17" t="s">
        <v>2</v>
      </c>
      <c r="E1" s="17" t="s">
        <v>7</v>
      </c>
      <c r="F1" s="17" t="s">
        <v>62</v>
      </c>
      <c r="H1" s="13" t="s">
        <v>15</v>
      </c>
      <c r="I1" s="13" t="s">
        <v>6</v>
      </c>
      <c r="J1" s="13" t="s">
        <v>3</v>
      </c>
      <c r="K1" s="13" t="s">
        <v>2</v>
      </c>
      <c r="L1" s="13" t="s">
        <v>7</v>
      </c>
      <c r="M1" s="17" t="s">
        <v>62</v>
      </c>
      <c r="N1" s="13" t="s">
        <v>18</v>
      </c>
    </row>
    <row r="2" spans="1:14" x14ac:dyDescent="0.25">
      <c r="A2" t="s">
        <v>9</v>
      </c>
      <c r="D2" s="1">
        <f>6/50</f>
        <v>0.12</v>
      </c>
      <c r="E2" s="2">
        <f>AVERAGE(B3:B8)</f>
        <v>1.6666666666666667</v>
      </c>
      <c r="F2">
        <f>STDEV(B3:B8)/SQRT(6)</f>
        <v>0.16666666666666657</v>
      </c>
      <c r="H2" t="s">
        <v>30</v>
      </c>
      <c r="K2" s="1">
        <f>10/50</f>
        <v>0.2</v>
      </c>
      <c r="L2" s="2">
        <f>AVERAGE(I3:I12)</f>
        <v>0.3</v>
      </c>
      <c r="M2">
        <f>STDEV(I3:I12)/SQRT(10)</f>
        <v>2.7638539919628325E-2</v>
      </c>
      <c r="N2" t="s">
        <v>19</v>
      </c>
    </row>
    <row r="3" spans="1:14" x14ac:dyDescent="0.25">
      <c r="A3">
        <v>1</v>
      </c>
      <c r="B3">
        <f>2*1</f>
        <v>2</v>
      </c>
      <c r="C3">
        <v>2</v>
      </c>
      <c r="H3">
        <v>1</v>
      </c>
      <c r="I3">
        <f>0.75*0.5</f>
        <v>0.375</v>
      </c>
      <c r="K3" s="1"/>
    </row>
    <row r="4" spans="1:14" x14ac:dyDescent="0.25">
      <c r="A4">
        <v>2</v>
      </c>
      <c r="B4">
        <f>2*1</f>
        <v>2</v>
      </c>
      <c r="C4">
        <v>2</v>
      </c>
      <c r="H4">
        <v>2</v>
      </c>
      <c r="I4">
        <f>0.5*0.5</f>
        <v>0.25</v>
      </c>
    </row>
    <row r="5" spans="1:14" x14ac:dyDescent="0.25">
      <c r="A5">
        <v>3</v>
      </c>
      <c r="B5">
        <f>2*1</f>
        <v>2</v>
      </c>
      <c r="C5">
        <v>2</v>
      </c>
      <c r="H5">
        <v>3</v>
      </c>
      <c r="I5">
        <f>0.5*0.5</f>
        <v>0.25</v>
      </c>
    </row>
    <row r="6" spans="1:14" x14ac:dyDescent="0.25">
      <c r="A6">
        <v>4</v>
      </c>
      <c r="B6">
        <f>1*1</f>
        <v>1</v>
      </c>
      <c r="C6">
        <v>2</v>
      </c>
      <c r="H6">
        <v>4</v>
      </c>
      <c r="I6">
        <f>0.5*0.5</f>
        <v>0.25</v>
      </c>
    </row>
    <row r="7" spans="1:14" x14ac:dyDescent="0.25">
      <c r="A7">
        <v>5</v>
      </c>
      <c r="B7">
        <f>1.5*1</f>
        <v>1.5</v>
      </c>
      <c r="C7">
        <v>2</v>
      </c>
      <c r="H7">
        <v>5</v>
      </c>
      <c r="I7">
        <f>1*0.5</f>
        <v>0.5</v>
      </c>
    </row>
    <row r="8" spans="1:14" x14ac:dyDescent="0.25">
      <c r="A8">
        <v>6</v>
      </c>
      <c r="B8">
        <f>1.5*1</f>
        <v>1.5</v>
      </c>
      <c r="C8">
        <v>2</v>
      </c>
      <c r="H8">
        <v>6</v>
      </c>
      <c r="I8">
        <f>0.75*0.5</f>
        <v>0.375</v>
      </c>
    </row>
    <row r="9" spans="1:14" x14ac:dyDescent="0.25">
      <c r="H9">
        <v>7</v>
      </c>
      <c r="I9">
        <f>0.5*0.5</f>
        <v>0.25</v>
      </c>
    </row>
    <row r="10" spans="1:14" ht="32.25" x14ac:dyDescent="0.25">
      <c r="A10" s="17" t="s">
        <v>12</v>
      </c>
      <c r="B10" s="17" t="s">
        <v>6</v>
      </c>
      <c r="C10" s="17" t="s">
        <v>3</v>
      </c>
      <c r="D10" s="17" t="s">
        <v>2</v>
      </c>
      <c r="E10" s="17" t="s">
        <v>7</v>
      </c>
      <c r="F10" s="17" t="s">
        <v>62</v>
      </c>
      <c r="H10">
        <v>8</v>
      </c>
      <c r="I10">
        <f>0.5*0.5</f>
        <v>0.25</v>
      </c>
    </row>
    <row r="11" spans="1:14" x14ac:dyDescent="0.25">
      <c r="A11" s="3" t="s">
        <v>9</v>
      </c>
      <c r="B11" s="3"/>
      <c r="C11" s="3"/>
      <c r="D11" s="4">
        <f>8/50</f>
        <v>0.16</v>
      </c>
      <c r="E11" s="5">
        <f>AVERAGE(B12:B19)</f>
        <v>6.3125</v>
      </c>
      <c r="F11" s="5">
        <f>STDEV(B12:B19)/SQRT(8)</f>
        <v>1.4289341057485569</v>
      </c>
      <c r="H11">
        <v>9</v>
      </c>
      <c r="I11">
        <f>0.5*0.5</f>
        <v>0.25</v>
      </c>
    </row>
    <row r="12" spans="1:14" x14ac:dyDescent="0.25">
      <c r="A12">
        <v>1</v>
      </c>
      <c r="B12">
        <f>4.5*2.5</f>
        <v>11.25</v>
      </c>
      <c r="C12">
        <v>3</v>
      </c>
      <c r="H12">
        <v>10</v>
      </c>
      <c r="I12">
        <f>0.5*0.5</f>
        <v>0.25</v>
      </c>
    </row>
    <row r="13" spans="1:14" x14ac:dyDescent="0.25">
      <c r="A13">
        <v>2</v>
      </c>
      <c r="B13">
        <f>4*2.5</f>
        <v>10</v>
      </c>
      <c r="C13">
        <v>2</v>
      </c>
    </row>
    <row r="14" spans="1:14" ht="32.25" x14ac:dyDescent="0.25">
      <c r="A14">
        <v>3</v>
      </c>
      <c r="B14">
        <f>2.5*2</f>
        <v>5</v>
      </c>
      <c r="C14">
        <v>2</v>
      </c>
      <c r="H14" s="13" t="s">
        <v>33</v>
      </c>
      <c r="I14" s="13" t="s">
        <v>6</v>
      </c>
      <c r="J14" s="13" t="s">
        <v>3</v>
      </c>
      <c r="K14" s="13" t="s">
        <v>2</v>
      </c>
      <c r="L14" s="13" t="s">
        <v>7</v>
      </c>
      <c r="M14" s="17" t="s">
        <v>62</v>
      </c>
      <c r="N14" s="13" t="s">
        <v>18</v>
      </c>
    </row>
    <row r="15" spans="1:14" x14ac:dyDescent="0.25">
      <c r="A15">
        <v>4</v>
      </c>
      <c r="B15">
        <f>4.5*2.5</f>
        <v>11.25</v>
      </c>
      <c r="C15">
        <v>3</v>
      </c>
      <c r="H15" t="s">
        <v>30</v>
      </c>
      <c r="K15" s="1">
        <f>25/50</f>
        <v>0.5</v>
      </c>
      <c r="L15" s="2">
        <f>AVERAGE(I16:I40)</f>
        <v>1.63</v>
      </c>
      <c r="M15" s="2">
        <f>STDEV(I16:I40)/SQRT(25)</f>
        <v>0.18321208111548395</v>
      </c>
      <c r="N15" t="s">
        <v>19</v>
      </c>
    </row>
    <row r="16" spans="1:14" x14ac:dyDescent="0.25">
      <c r="A16">
        <v>5</v>
      </c>
      <c r="B16">
        <f>3*2</f>
        <v>6</v>
      </c>
      <c r="C16">
        <v>2</v>
      </c>
      <c r="H16">
        <v>1</v>
      </c>
      <c r="I16">
        <f>1.5*1.5</f>
        <v>2.25</v>
      </c>
      <c r="J16">
        <v>0</v>
      </c>
    </row>
    <row r="17" spans="1:10" x14ac:dyDescent="0.25">
      <c r="A17">
        <v>6</v>
      </c>
      <c r="B17">
        <f>2*1.5</f>
        <v>3</v>
      </c>
      <c r="C17">
        <v>2</v>
      </c>
      <c r="H17">
        <v>2</v>
      </c>
      <c r="I17">
        <f>1*1</f>
        <v>1</v>
      </c>
      <c r="J17">
        <v>3</v>
      </c>
    </row>
    <row r="18" spans="1:10" x14ac:dyDescent="0.25">
      <c r="A18">
        <v>7</v>
      </c>
      <c r="B18">
        <f>1*1</f>
        <v>1</v>
      </c>
      <c r="C18">
        <v>2</v>
      </c>
      <c r="H18">
        <v>3</v>
      </c>
      <c r="I18">
        <f>1*0.5</f>
        <v>0.5</v>
      </c>
      <c r="J18">
        <v>2</v>
      </c>
    </row>
    <row r="19" spans="1:10" x14ac:dyDescent="0.25">
      <c r="A19">
        <v>8</v>
      </c>
      <c r="B19">
        <f>2*1.5</f>
        <v>3</v>
      </c>
      <c r="C19">
        <v>1</v>
      </c>
      <c r="H19">
        <v>4</v>
      </c>
      <c r="I19">
        <f>1*1</f>
        <v>1</v>
      </c>
      <c r="J19">
        <v>3</v>
      </c>
    </row>
    <row r="20" spans="1:10" x14ac:dyDescent="0.25">
      <c r="H20">
        <v>5</v>
      </c>
      <c r="I20">
        <f>1*1</f>
        <v>1</v>
      </c>
      <c r="J20">
        <v>2</v>
      </c>
    </row>
    <row r="21" spans="1:10" ht="32.25" x14ac:dyDescent="0.25">
      <c r="A21" s="17" t="s">
        <v>14</v>
      </c>
      <c r="B21" s="17" t="s">
        <v>6</v>
      </c>
      <c r="C21" s="17" t="s">
        <v>3</v>
      </c>
      <c r="D21" s="17" t="s">
        <v>2</v>
      </c>
      <c r="E21" s="17" t="s">
        <v>7</v>
      </c>
      <c r="F21" s="17" t="s">
        <v>62</v>
      </c>
      <c r="H21">
        <v>6</v>
      </c>
      <c r="I21">
        <f>1*1</f>
        <v>1</v>
      </c>
      <c r="J21">
        <v>2</v>
      </c>
    </row>
    <row r="22" spans="1:10" x14ac:dyDescent="0.25">
      <c r="A22" s="3" t="s">
        <v>9</v>
      </c>
      <c r="B22" s="3"/>
      <c r="C22" s="3"/>
      <c r="D22" s="4">
        <f>5/50</f>
        <v>0.1</v>
      </c>
      <c r="E22" s="5">
        <f>AVERAGE(B23:B27)</f>
        <v>10.86</v>
      </c>
      <c r="F22" s="5">
        <f>STDEV(B23:B27)/SQRT(5)</f>
        <v>3.0658767098498925</v>
      </c>
      <c r="H22">
        <v>7</v>
      </c>
      <c r="I22">
        <f>1.5*1</f>
        <v>1.5</v>
      </c>
      <c r="J22">
        <v>2</v>
      </c>
    </row>
    <row r="23" spans="1:10" x14ac:dyDescent="0.25">
      <c r="A23">
        <v>1</v>
      </c>
      <c r="B23">
        <f>6.3</f>
        <v>6.3</v>
      </c>
      <c r="C23">
        <v>4</v>
      </c>
      <c r="H23">
        <v>8</v>
      </c>
      <c r="I23">
        <f>1*1</f>
        <v>1</v>
      </c>
      <c r="J23">
        <v>2</v>
      </c>
    </row>
    <row r="24" spans="1:10" x14ac:dyDescent="0.25">
      <c r="A24">
        <v>2</v>
      </c>
      <c r="B24">
        <f>3*2</f>
        <v>6</v>
      </c>
      <c r="C24">
        <v>2</v>
      </c>
      <c r="H24">
        <v>9</v>
      </c>
      <c r="I24">
        <f>1*1</f>
        <v>1</v>
      </c>
      <c r="J24">
        <v>0</v>
      </c>
    </row>
    <row r="25" spans="1:10" x14ac:dyDescent="0.25">
      <c r="A25">
        <v>3</v>
      </c>
      <c r="B25">
        <f>3*2</f>
        <v>6</v>
      </c>
      <c r="C25">
        <v>3</v>
      </c>
      <c r="H25">
        <v>10</v>
      </c>
      <c r="I25">
        <f>1*1</f>
        <v>1</v>
      </c>
      <c r="J25">
        <v>2</v>
      </c>
    </row>
    <row r="26" spans="1:10" x14ac:dyDescent="0.25">
      <c r="A26">
        <v>4</v>
      </c>
      <c r="B26">
        <f>5*3</f>
        <v>15</v>
      </c>
      <c r="C26">
        <v>3</v>
      </c>
      <c r="H26">
        <v>11</v>
      </c>
      <c r="I26">
        <f>1*0.5</f>
        <v>0.5</v>
      </c>
      <c r="J26">
        <v>2</v>
      </c>
    </row>
    <row r="27" spans="1:10" x14ac:dyDescent="0.25">
      <c r="A27">
        <v>5</v>
      </c>
      <c r="B27">
        <f>3.5*6</f>
        <v>21</v>
      </c>
      <c r="C27">
        <v>4</v>
      </c>
      <c r="H27">
        <v>12</v>
      </c>
      <c r="I27">
        <f>1.5*2</f>
        <v>3</v>
      </c>
      <c r="J27">
        <v>2</v>
      </c>
    </row>
    <row r="28" spans="1:10" x14ac:dyDescent="0.25">
      <c r="H28">
        <v>13</v>
      </c>
      <c r="I28">
        <f>1*1</f>
        <v>1</v>
      </c>
      <c r="J28">
        <v>2</v>
      </c>
    </row>
    <row r="29" spans="1:10" ht="36.75" customHeight="1" x14ac:dyDescent="0.25">
      <c r="A29" s="17" t="s">
        <v>20</v>
      </c>
      <c r="B29" s="17" t="s">
        <v>6</v>
      </c>
      <c r="C29" s="17" t="s">
        <v>3</v>
      </c>
      <c r="D29" s="17" t="s">
        <v>2</v>
      </c>
      <c r="E29" s="17" t="s">
        <v>7</v>
      </c>
      <c r="F29" s="17" t="s">
        <v>62</v>
      </c>
      <c r="G29" s="16" t="s">
        <v>21</v>
      </c>
      <c r="H29">
        <v>14</v>
      </c>
      <c r="I29">
        <f>1.5*2</f>
        <v>3</v>
      </c>
      <c r="J29">
        <v>2</v>
      </c>
    </row>
    <row r="30" spans="1:10" x14ac:dyDescent="0.25">
      <c r="A30" t="s">
        <v>9</v>
      </c>
      <c r="D30" s="1">
        <f>4/50</f>
        <v>0.08</v>
      </c>
      <c r="E30" s="2">
        <f>AVERAGE(B31:B34)</f>
        <v>39.8125</v>
      </c>
      <c r="F30" s="2">
        <f>STDEV(B31:B34)/SQRT(4)</f>
        <v>19.685383484114976</v>
      </c>
      <c r="H30">
        <v>15</v>
      </c>
      <c r="I30">
        <f>1*0.75</f>
        <v>0.75</v>
      </c>
      <c r="J30">
        <v>5</v>
      </c>
    </row>
    <row r="31" spans="1:10" x14ac:dyDescent="0.25">
      <c r="A31">
        <v>1</v>
      </c>
      <c r="B31">
        <f>10*5</f>
        <v>50</v>
      </c>
      <c r="C31">
        <v>5</v>
      </c>
      <c r="H31">
        <v>16</v>
      </c>
      <c r="I31">
        <f>2*1.5</f>
        <v>3</v>
      </c>
      <c r="J31">
        <v>1</v>
      </c>
    </row>
    <row r="32" spans="1:10" x14ac:dyDescent="0.25">
      <c r="A32">
        <v>2</v>
      </c>
      <c r="B32">
        <f>14*6.5</f>
        <v>91</v>
      </c>
      <c r="C32">
        <v>5</v>
      </c>
      <c r="F32">
        <f>STDEV(B31:B34)</f>
        <v>39.370766968229951</v>
      </c>
      <c r="H32">
        <v>17</v>
      </c>
      <c r="I32">
        <f>2*1</f>
        <v>2</v>
      </c>
      <c r="J32">
        <v>2</v>
      </c>
    </row>
    <row r="33" spans="1:14" x14ac:dyDescent="0.25">
      <c r="A33">
        <v>3</v>
      </c>
      <c r="B33">
        <f>5.5*2.5</f>
        <v>13.75</v>
      </c>
      <c r="C33">
        <v>4</v>
      </c>
      <c r="H33">
        <v>18</v>
      </c>
      <c r="I33">
        <f>1*2</f>
        <v>2</v>
      </c>
      <c r="J33">
        <v>2</v>
      </c>
    </row>
    <row r="34" spans="1:14" x14ac:dyDescent="0.25">
      <c r="A34">
        <v>4</v>
      </c>
      <c r="B34">
        <f>3*1.5</f>
        <v>4.5</v>
      </c>
      <c r="C34">
        <v>2</v>
      </c>
      <c r="H34">
        <v>19</v>
      </c>
      <c r="I34">
        <f>2*2</f>
        <v>4</v>
      </c>
      <c r="J34">
        <v>3</v>
      </c>
    </row>
    <row r="35" spans="1:14" x14ac:dyDescent="0.25">
      <c r="H35">
        <v>20</v>
      </c>
      <c r="I35">
        <f>2*1</f>
        <v>2</v>
      </c>
      <c r="J35">
        <v>2</v>
      </c>
    </row>
    <row r="36" spans="1:14" x14ac:dyDescent="0.25">
      <c r="H36">
        <v>21</v>
      </c>
      <c r="I36">
        <f>1.5*1.5</f>
        <v>2.25</v>
      </c>
      <c r="J36">
        <v>2</v>
      </c>
    </row>
    <row r="37" spans="1:14" x14ac:dyDescent="0.25">
      <c r="H37">
        <v>22</v>
      </c>
      <c r="I37">
        <f>1.5*1.5</f>
        <v>2.25</v>
      </c>
      <c r="J37">
        <v>2</v>
      </c>
    </row>
    <row r="38" spans="1:14" x14ac:dyDescent="0.25">
      <c r="H38">
        <v>23</v>
      </c>
      <c r="I38">
        <f>1*1.5</f>
        <v>1.5</v>
      </c>
      <c r="J38">
        <v>2</v>
      </c>
    </row>
    <row r="39" spans="1:14" x14ac:dyDescent="0.25">
      <c r="H39">
        <v>24</v>
      </c>
      <c r="I39">
        <f>1.5*1</f>
        <v>1.5</v>
      </c>
      <c r="J39">
        <v>3</v>
      </c>
    </row>
    <row r="40" spans="1:14" x14ac:dyDescent="0.25">
      <c r="H40">
        <v>25</v>
      </c>
      <c r="I40">
        <f>1*0.75</f>
        <v>0.75</v>
      </c>
      <c r="J40">
        <v>2</v>
      </c>
    </row>
    <row r="42" spans="1:14" ht="32.25" x14ac:dyDescent="0.25">
      <c r="H42" s="13" t="s">
        <v>34</v>
      </c>
      <c r="I42" s="13" t="s">
        <v>6</v>
      </c>
      <c r="J42" s="13" t="s">
        <v>3</v>
      </c>
      <c r="K42" s="13" t="s">
        <v>2</v>
      </c>
      <c r="L42" s="13" t="s">
        <v>7</v>
      </c>
      <c r="M42" s="17" t="s">
        <v>62</v>
      </c>
      <c r="N42" s="13" t="s">
        <v>18</v>
      </c>
    </row>
    <row r="43" spans="1:14" x14ac:dyDescent="0.25">
      <c r="H43" t="s">
        <v>30</v>
      </c>
      <c r="K43" s="1">
        <f>30/50</f>
        <v>0.6</v>
      </c>
      <c r="L43" s="2">
        <f>AVERAGE(I44:I73)</f>
        <v>1.8208333333333333</v>
      </c>
      <c r="M43">
        <f>STDEV(I44:I73)/SQRT(30)</f>
        <v>0.20775926654483801</v>
      </c>
    </row>
    <row r="44" spans="1:14" x14ac:dyDescent="0.25">
      <c r="H44">
        <v>1</v>
      </c>
      <c r="I44">
        <f>2*1.5</f>
        <v>3</v>
      </c>
    </row>
    <row r="45" spans="1:14" x14ac:dyDescent="0.25">
      <c r="H45">
        <v>2</v>
      </c>
      <c r="I45">
        <f>1*1</f>
        <v>1</v>
      </c>
    </row>
    <row r="46" spans="1:14" x14ac:dyDescent="0.25">
      <c r="H46">
        <v>3</v>
      </c>
      <c r="I46">
        <f>1.5*1</f>
        <v>1.5</v>
      </c>
    </row>
    <row r="47" spans="1:14" x14ac:dyDescent="0.25">
      <c r="H47">
        <v>4</v>
      </c>
      <c r="I47">
        <f>1.25*1</f>
        <v>1.25</v>
      </c>
    </row>
    <row r="48" spans="1:14" x14ac:dyDescent="0.25">
      <c r="H48">
        <v>5</v>
      </c>
      <c r="I48">
        <f>1.5*1</f>
        <v>1.5</v>
      </c>
    </row>
    <row r="49" spans="8:9" x14ac:dyDescent="0.25">
      <c r="H49">
        <v>6</v>
      </c>
      <c r="I49">
        <f>0.75*1</f>
        <v>0.75</v>
      </c>
    </row>
    <row r="50" spans="8:9" x14ac:dyDescent="0.25">
      <c r="H50">
        <v>7</v>
      </c>
      <c r="I50">
        <f>2*1.5</f>
        <v>3</v>
      </c>
    </row>
    <row r="51" spans="8:9" x14ac:dyDescent="0.25">
      <c r="H51">
        <v>8</v>
      </c>
      <c r="I51">
        <f>2*1.5</f>
        <v>3</v>
      </c>
    </row>
    <row r="52" spans="8:9" x14ac:dyDescent="0.25">
      <c r="H52">
        <v>9</v>
      </c>
      <c r="I52">
        <f>1.5*1</f>
        <v>1.5</v>
      </c>
    </row>
    <row r="53" spans="8:9" x14ac:dyDescent="0.25">
      <c r="H53">
        <v>10</v>
      </c>
      <c r="I53">
        <f>1.5*1.25</f>
        <v>1.875</v>
      </c>
    </row>
    <row r="54" spans="8:9" x14ac:dyDescent="0.25">
      <c r="H54">
        <v>11</v>
      </c>
      <c r="I54">
        <f>1*1</f>
        <v>1</v>
      </c>
    </row>
    <row r="55" spans="8:9" x14ac:dyDescent="0.25">
      <c r="H55">
        <v>12</v>
      </c>
      <c r="I55">
        <f>1*1</f>
        <v>1</v>
      </c>
    </row>
    <row r="56" spans="8:9" x14ac:dyDescent="0.25">
      <c r="H56">
        <v>13</v>
      </c>
      <c r="I56">
        <f>2*1</f>
        <v>2</v>
      </c>
    </row>
    <row r="57" spans="8:9" x14ac:dyDescent="0.25">
      <c r="H57">
        <v>14</v>
      </c>
      <c r="I57">
        <f>1.5*1</f>
        <v>1.5</v>
      </c>
    </row>
    <row r="58" spans="8:9" x14ac:dyDescent="0.25">
      <c r="H58">
        <v>15</v>
      </c>
      <c r="I58">
        <f>2*1.5</f>
        <v>3</v>
      </c>
    </row>
    <row r="59" spans="8:9" x14ac:dyDescent="0.25">
      <c r="H59">
        <v>16</v>
      </c>
      <c r="I59">
        <f>1.5*1.25</f>
        <v>1.875</v>
      </c>
    </row>
    <row r="60" spans="8:9" x14ac:dyDescent="0.25">
      <c r="H60">
        <v>17</v>
      </c>
      <c r="I60">
        <f>1.5*1.75</f>
        <v>2.625</v>
      </c>
    </row>
    <row r="61" spans="8:9" x14ac:dyDescent="0.25">
      <c r="H61">
        <v>18</v>
      </c>
      <c r="I61">
        <f>3*2</f>
        <v>6</v>
      </c>
    </row>
    <row r="62" spans="8:9" x14ac:dyDescent="0.25">
      <c r="H62">
        <v>19</v>
      </c>
      <c r="I62">
        <f>0.5*0.5</f>
        <v>0.25</v>
      </c>
    </row>
    <row r="63" spans="8:9" x14ac:dyDescent="0.25">
      <c r="H63">
        <v>20</v>
      </c>
      <c r="I63">
        <f>1.5*1.75</f>
        <v>2.625</v>
      </c>
    </row>
    <row r="64" spans="8:9" x14ac:dyDescent="0.25">
      <c r="H64">
        <v>21</v>
      </c>
      <c r="I64">
        <f>1.25*1</f>
        <v>1.25</v>
      </c>
    </row>
    <row r="65" spans="8:14" x14ac:dyDescent="0.25">
      <c r="H65">
        <v>22</v>
      </c>
      <c r="I65">
        <f>1.5*1.25</f>
        <v>1.875</v>
      </c>
    </row>
    <row r="66" spans="8:14" x14ac:dyDescent="0.25">
      <c r="H66">
        <v>23</v>
      </c>
      <c r="I66">
        <f>1*0.5</f>
        <v>0.5</v>
      </c>
    </row>
    <row r="67" spans="8:14" x14ac:dyDescent="0.25">
      <c r="H67">
        <v>24</v>
      </c>
      <c r="I67">
        <f>1.5*1</f>
        <v>1.5</v>
      </c>
    </row>
    <row r="68" spans="8:14" x14ac:dyDescent="0.25">
      <c r="H68">
        <v>25</v>
      </c>
      <c r="I68">
        <f>1*1.25</f>
        <v>1.25</v>
      </c>
    </row>
    <row r="69" spans="8:14" x14ac:dyDescent="0.25">
      <c r="H69">
        <v>26</v>
      </c>
      <c r="I69">
        <f>1.5*2</f>
        <v>3</v>
      </c>
    </row>
    <row r="70" spans="8:14" x14ac:dyDescent="0.25">
      <c r="H70">
        <v>27</v>
      </c>
      <c r="I70">
        <f>1.25*1</f>
        <v>1.25</v>
      </c>
    </row>
    <row r="71" spans="8:14" x14ac:dyDescent="0.25">
      <c r="H71">
        <v>28</v>
      </c>
      <c r="I71">
        <f>1*1</f>
        <v>1</v>
      </c>
    </row>
    <row r="72" spans="8:14" x14ac:dyDescent="0.25">
      <c r="H72">
        <v>29</v>
      </c>
      <c r="I72">
        <f>1*0.5</f>
        <v>0.5</v>
      </c>
    </row>
    <row r="73" spans="8:14" x14ac:dyDescent="0.25">
      <c r="H73">
        <v>30</v>
      </c>
      <c r="I73">
        <f>1.5*1.5</f>
        <v>2.25</v>
      </c>
    </row>
    <row r="74" spans="8:14" ht="32.25" x14ac:dyDescent="0.25">
      <c r="H74" s="13" t="s">
        <v>36</v>
      </c>
      <c r="I74" s="13" t="s">
        <v>6</v>
      </c>
      <c r="J74" s="13" t="s">
        <v>3</v>
      </c>
      <c r="K74" s="13" t="s">
        <v>2</v>
      </c>
      <c r="L74" s="13" t="s">
        <v>7</v>
      </c>
      <c r="M74" s="17" t="s">
        <v>62</v>
      </c>
      <c r="N74" s="13" t="s">
        <v>18</v>
      </c>
    </row>
    <row r="75" spans="8:14" x14ac:dyDescent="0.25">
      <c r="H75" t="s">
        <v>30</v>
      </c>
      <c r="K75" s="1">
        <f>36/50</f>
        <v>0.72</v>
      </c>
      <c r="L75" s="20">
        <f>AVERAGE(I76:I111)</f>
        <v>3.109375</v>
      </c>
      <c r="M75">
        <f>STDEV(I76:I111)/SQRT(36)</f>
        <v>0.36964978834273049</v>
      </c>
    </row>
    <row r="76" spans="8:14" x14ac:dyDescent="0.25">
      <c r="H76">
        <v>1</v>
      </c>
      <c r="I76">
        <f>1.75*1.75</f>
        <v>3.0625</v>
      </c>
    </row>
    <row r="77" spans="8:14" x14ac:dyDescent="0.25">
      <c r="H77">
        <v>2</v>
      </c>
      <c r="I77">
        <f>2*2</f>
        <v>4</v>
      </c>
    </row>
    <row r="78" spans="8:14" x14ac:dyDescent="0.25">
      <c r="H78">
        <v>3</v>
      </c>
      <c r="I78">
        <f>2*1.5</f>
        <v>3</v>
      </c>
    </row>
    <row r="79" spans="8:14" x14ac:dyDescent="0.25">
      <c r="H79">
        <v>4</v>
      </c>
      <c r="I79">
        <f>1.5*1.5</f>
        <v>2.25</v>
      </c>
    </row>
    <row r="80" spans="8:14" x14ac:dyDescent="0.25">
      <c r="H80">
        <v>5</v>
      </c>
      <c r="I80">
        <f>1.5*1.3</f>
        <v>1.9500000000000002</v>
      </c>
    </row>
    <row r="81" spans="8:9" x14ac:dyDescent="0.25">
      <c r="H81">
        <v>6</v>
      </c>
      <c r="I81">
        <f>1.5*1</f>
        <v>1.5</v>
      </c>
    </row>
    <row r="82" spans="8:9" x14ac:dyDescent="0.25">
      <c r="H82">
        <v>7</v>
      </c>
      <c r="I82">
        <f>1.75*1.3</f>
        <v>2.2749999999999999</v>
      </c>
    </row>
    <row r="83" spans="8:9" x14ac:dyDescent="0.25">
      <c r="H83">
        <v>8</v>
      </c>
      <c r="I83">
        <f>1*1.8</f>
        <v>1.8</v>
      </c>
    </row>
    <row r="84" spans="8:9" x14ac:dyDescent="0.25">
      <c r="H84">
        <v>9</v>
      </c>
      <c r="I84">
        <f>2.5*2</f>
        <v>5</v>
      </c>
    </row>
    <row r="85" spans="8:9" x14ac:dyDescent="0.25">
      <c r="H85">
        <v>10</v>
      </c>
      <c r="I85">
        <f>2.5*2.6</f>
        <v>6.5</v>
      </c>
    </row>
    <row r="86" spans="8:9" x14ac:dyDescent="0.25">
      <c r="H86">
        <v>11</v>
      </c>
      <c r="I86">
        <f>2.75*1.25</f>
        <v>3.4375</v>
      </c>
    </row>
    <row r="87" spans="8:9" x14ac:dyDescent="0.25">
      <c r="H87">
        <v>12</v>
      </c>
      <c r="I87">
        <f>2.5*1.8</f>
        <v>4.5</v>
      </c>
    </row>
    <row r="88" spans="8:9" x14ac:dyDescent="0.25">
      <c r="H88">
        <v>13</v>
      </c>
      <c r="I88">
        <f>2.5*1.5</f>
        <v>3.75</v>
      </c>
    </row>
    <row r="89" spans="8:9" x14ac:dyDescent="0.25">
      <c r="H89">
        <v>14</v>
      </c>
      <c r="I89">
        <f>1*1.5</f>
        <v>1.5</v>
      </c>
    </row>
    <row r="90" spans="8:9" x14ac:dyDescent="0.25">
      <c r="H90">
        <v>15</v>
      </c>
      <c r="I90">
        <f>1.5*1.5</f>
        <v>2.25</v>
      </c>
    </row>
    <row r="91" spans="8:9" x14ac:dyDescent="0.25">
      <c r="H91">
        <v>16</v>
      </c>
      <c r="I91">
        <f>2.25*2.75</f>
        <v>6.1875</v>
      </c>
    </row>
    <row r="92" spans="8:9" x14ac:dyDescent="0.25">
      <c r="H92">
        <v>17</v>
      </c>
      <c r="I92">
        <f>1.5*1.8</f>
        <v>2.7</v>
      </c>
    </row>
    <row r="93" spans="8:9" x14ac:dyDescent="0.25">
      <c r="H93">
        <v>18</v>
      </c>
      <c r="I93">
        <f>2*2.25</f>
        <v>4.5</v>
      </c>
    </row>
    <row r="94" spans="8:9" x14ac:dyDescent="0.25">
      <c r="H94">
        <v>19</v>
      </c>
      <c r="I94">
        <f>2*1.7</f>
        <v>3.4</v>
      </c>
    </row>
    <row r="95" spans="8:9" x14ac:dyDescent="0.25">
      <c r="H95">
        <v>20</v>
      </c>
      <c r="I95">
        <f>3*2.75</f>
        <v>8.25</v>
      </c>
    </row>
    <row r="96" spans="8:9" x14ac:dyDescent="0.25">
      <c r="H96">
        <v>21</v>
      </c>
      <c r="I96">
        <f>2.25*1.5</f>
        <v>3.375</v>
      </c>
    </row>
    <row r="97" spans="8:9" x14ac:dyDescent="0.25">
      <c r="H97">
        <v>22</v>
      </c>
      <c r="I97">
        <f>3*3.75</f>
        <v>11.25</v>
      </c>
    </row>
    <row r="98" spans="8:9" x14ac:dyDescent="0.25">
      <c r="H98">
        <v>23</v>
      </c>
      <c r="I98">
        <f>2*1</f>
        <v>2</v>
      </c>
    </row>
    <row r="99" spans="8:9" x14ac:dyDescent="0.25">
      <c r="H99">
        <v>24</v>
      </c>
      <c r="I99">
        <f>0.5*0.75</f>
        <v>0.375</v>
      </c>
    </row>
    <row r="100" spans="8:9" x14ac:dyDescent="0.25">
      <c r="H100">
        <v>25</v>
      </c>
      <c r="I100">
        <f>2*1.75</f>
        <v>3.5</v>
      </c>
    </row>
    <row r="101" spans="8:9" x14ac:dyDescent="0.25">
      <c r="H101">
        <v>26</v>
      </c>
      <c r="I101">
        <f>1.75*1.25</f>
        <v>2.1875</v>
      </c>
    </row>
    <row r="102" spans="8:9" x14ac:dyDescent="0.25">
      <c r="H102">
        <v>27</v>
      </c>
      <c r="I102">
        <f>1.2*1.75</f>
        <v>2.1</v>
      </c>
    </row>
    <row r="103" spans="8:9" x14ac:dyDescent="0.25">
      <c r="H103">
        <v>28</v>
      </c>
      <c r="I103">
        <f>1.75*1</f>
        <v>1.75</v>
      </c>
    </row>
    <row r="104" spans="8:9" x14ac:dyDescent="0.25">
      <c r="H104">
        <v>29</v>
      </c>
      <c r="I104">
        <f>0.5*0.5</f>
        <v>0.25</v>
      </c>
    </row>
    <row r="105" spans="8:9" x14ac:dyDescent="0.25">
      <c r="H105">
        <v>30</v>
      </c>
      <c r="I105">
        <f>1.4*1</f>
        <v>1.4</v>
      </c>
    </row>
    <row r="106" spans="8:9" x14ac:dyDescent="0.25">
      <c r="H106">
        <v>31</v>
      </c>
      <c r="I106">
        <f>1.5*1.5</f>
        <v>2.25</v>
      </c>
    </row>
    <row r="107" spans="8:9" x14ac:dyDescent="0.25">
      <c r="H107">
        <v>32</v>
      </c>
      <c r="I107">
        <f>1*1</f>
        <v>1</v>
      </c>
    </row>
    <row r="108" spans="8:9" x14ac:dyDescent="0.25">
      <c r="H108">
        <v>33</v>
      </c>
      <c r="I108">
        <f>2.5*1.75</f>
        <v>4.375</v>
      </c>
    </row>
    <row r="109" spans="8:9" x14ac:dyDescent="0.25">
      <c r="H109">
        <v>34</v>
      </c>
      <c r="I109">
        <f>1*1.25</f>
        <v>1.25</v>
      </c>
    </row>
    <row r="110" spans="8:9" x14ac:dyDescent="0.25">
      <c r="H110">
        <v>35</v>
      </c>
      <c r="I110">
        <f>1.75*1</f>
        <v>1.75</v>
      </c>
    </row>
    <row r="111" spans="8:9" x14ac:dyDescent="0.25">
      <c r="H111">
        <v>36</v>
      </c>
      <c r="I111">
        <f>1.75*0.75</f>
        <v>1.3125</v>
      </c>
    </row>
  </sheetData>
  <pageMargins left="0.7" right="0.7" top="0.75" bottom="0.75" header="0.3" footer="0.3"/>
  <ignoredErrors>
    <ignoredError sqref="B1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62017-2AD8-4987-A23E-6BD3225B0D29}">
  <dimension ref="A1:AF68"/>
  <sheetViews>
    <sheetView topLeftCell="Z1" workbookViewId="0">
      <selection activeCell="AE26" sqref="AE26"/>
    </sheetView>
  </sheetViews>
  <sheetFormatPr defaultRowHeight="15" x14ac:dyDescent="0.25"/>
  <cols>
    <col min="1" max="1" width="17.7109375" customWidth="1"/>
    <col min="2" max="3" width="10.85546875" customWidth="1"/>
    <col min="4" max="5" width="14.7109375" customWidth="1"/>
    <col min="6" max="6" width="14.85546875" customWidth="1"/>
    <col min="7" max="7" width="14" customWidth="1"/>
    <col min="8" max="8" width="11.5703125" bestFit="1" customWidth="1"/>
    <col min="9" max="9" width="1.5703125" style="14" customWidth="1"/>
    <col min="10" max="10" width="20.28515625" customWidth="1"/>
    <col min="13" max="13" width="16.140625" customWidth="1"/>
    <col min="14" max="14" width="13.140625" customWidth="1"/>
    <col min="15" max="15" width="10.42578125" customWidth="1"/>
    <col min="16" max="16" width="15.5703125" customWidth="1"/>
    <col min="17" max="17" width="1.7109375" style="9" customWidth="1"/>
    <col min="18" max="18" width="17.85546875" customWidth="1"/>
    <col min="21" max="21" width="17.5703125" customWidth="1"/>
    <col min="24" max="24" width="14" customWidth="1"/>
    <col min="25" max="25" width="2" style="14" customWidth="1"/>
    <col min="26" max="26" width="19.42578125" customWidth="1"/>
    <col min="29" max="29" width="14.140625" customWidth="1"/>
    <col min="30" max="30" width="9.5703125" bestFit="1" customWidth="1"/>
    <col min="32" max="32" width="15.7109375" customWidth="1"/>
  </cols>
  <sheetData>
    <row r="1" spans="1:32" ht="47.25" x14ac:dyDescent="0.25">
      <c r="A1" s="17" t="s">
        <v>0</v>
      </c>
      <c r="B1" s="17" t="s">
        <v>1</v>
      </c>
      <c r="C1" s="17" t="s">
        <v>3</v>
      </c>
      <c r="D1" s="17" t="s">
        <v>2</v>
      </c>
      <c r="E1" s="17"/>
      <c r="F1" s="17" t="s">
        <v>38</v>
      </c>
      <c r="G1" s="17" t="s">
        <v>5</v>
      </c>
      <c r="H1" s="17" t="s">
        <v>62</v>
      </c>
      <c r="J1" s="18" t="s">
        <v>15</v>
      </c>
      <c r="K1" s="18" t="s">
        <v>6</v>
      </c>
      <c r="L1" s="18" t="s">
        <v>3</v>
      </c>
      <c r="M1" s="18" t="s">
        <v>2</v>
      </c>
      <c r="N1" s="18" t="s">
        <v>7</v>
      </c>
      <c r="O1" s="17" t="s">
        <v>62</v>
      </c>
      <c r="P1" s="18" t="s">
        <v>18</v>
      </c>
      <c r="R1" s="18" t="s">
        <v>15</v>
      </c>
      <c r="S1" s="18" t="s">
        <v>6</v>
      </c>
      <c r="T1" s="18" t="s">
        <v>3</v>
      </c>
      <c r="U1" s="18" t="s">
        <v>2</v>
      </c>
      <c r="V1" s="18" t="s">
        <v>7</v>
      </c>
      <c r="W1" s="17" t="s">
        <v>62</v>
      </c>
      <c r="X1" s="18" t="s">
        <v>18</v>
      </c>
    </row>
    <row r="2" spans="1:32" x14ac:dyDescent="0.25">
      <c r="A2" s="3" t="s">
        <v>4</v>
      </c>
      <c r="B2" s="3"/>
      <c r="C2" s="3"/>
      <c r="D2" s="4">
        <f>21/50</f>
        <v>0.42</v>
      </c>
      <c r="E2" s="4"/>
      <c r="F2" t="s">
        <v>39</v>
      </c>
      <c r="G2" s="5">
        <f>AVERAGE(B3:B23)</f>
        <v>4.2261904761904763</v>
      </c>
      <c r="H2" s="3">
        <f>STDEV(B3:B23)/SQRT(21)</f>
        <v>0.52664277049034913</v>
      </c>
      <c r="J2" t="s">
        <v>17</v>
      </c>
      <c r="M2" s="7">
        <f>2/50</f>
        <v>0.04</v>
      </c>
      <c r="N2" s="2">
        <f>AVERAGE(K3:K4)</f>
        <v>0.875</v>
      </c>
      <c r="O2" s="2">
        <f>STDEV(K3:K4)/SQRT(2)</f>
        <v>0.625</v>
      </c>
      <c r="P2" t="s">
        <v>19</v>
      </c>
      <c r="R2" t="s">
        <v>23</v>
      </c>
      <c r="U2" s="7">
        <f>0</f>
        <v>0</v>
      </c>
      <c r="V2">
        <f>AVERAGE(0)</f>
        <v>0</v>
      </c>
      <c r="W2" s="2">
        <v>0</v>
      </c>
      <c r="X2" t="s">
        <v>19</v>
      </c>
    </row>
    <row r="3" spans="1:32" x14ac:dyDescent="0.25">
      <c r="A3">
        <v>1</v>
      </c>
      <c r="B3">
        <f>4*2</f>
        <v>8</v>
      </c>
      <c r="C3">
        <v>2</v>
      </c>
      <c r="J3">
        <v>1</v>
      </c>
      <c r="K3">
        <f>1.5*1</f>
        <v>1.5</v>
      </c>
      <c r="L3">
        <v>2</v>
      </c>
      <c r="R3" t="s">
        <v>24</v>
      </c>
      <c r="U3" s="7">
        <f>0</f>
        <v>0</v>
      </c>
      <c r="V3">
        <f>AVERAGE(0)</f>
        <v>0</v>
      </c>
      <c r="W3" s="2">
        <v>0</v>
      </c>
      <c r="X3" t="s">
        <v>19</v>
      </c>
    </row>
    <row r="4" spans="1:32" x14ac:dyDescent="0.25">
      <c r="A4">
        <v>2</v>
      </c>
      <c r="B4">
        <f>3*2</f>
        <v>6</v>
      </c>
      <c r="C4">
        <v>2</v>
      </c>
      <c r="J4">
        <v>2</v>
      </c>
      <c r="K4">
        <f>0.5*0.5</f>
        <v>0.25</v>
      </c>
      <c r="L4">
        <v>2</v>
      </c>
    </row>
    <row r="5" spans="1:32" x14ac:dyDescent="0.25">
      <c r="A5">
        <v>3</v>
      </c>
      <c r="B5">
        <f>2*1</f>
        <v>2</v>
      </c>
      <c r="C5">
        <v>2</v>
      </c>
    </row>
    <row r="6" spans="1:32" x14ac:dyDescent="0.25">
      <c r="A6">
        <v>4</v>
      </c>
      <c r="B6">
        <f>4*2</f>
        <v>8</v>
      </c>
      <c r="C6">
        <v>2</v>
      </c>
      <c r="J6" t="s">
        <v>23</v>
      </c>
      <c r="M6" s="7">
        <f>0</f>
        <v>0</v>
      </c>
      <c r="N6">
        <f>AVERAGE(0)</f>
        <v>0</v>
      </c>
      <c r="O6" s="2">
        <v>0</v>
      </c>
      <c r="P6" t="s">
        <v>19</v>
      </c>
    </row>
    <row r="7" spans="1:32" x14ac:dyDescent="0.25">
      <c r="A7">
        <v>5</v>
      </c>
      <c r="B7">
        <f>2*1</f>
        <v>2</v>
      </c>
      <c r="C7">
        <v>2</v>
      </c>
    </row>
    <row r="8" spans="1:32" x14ac:dyDescent="0.25">
      <c r="A8">
        <v>6</v>
      </c>
      <c r="B8">
        <f>2*1</f>
        <v>2</v>
      </c>
      <c r="C8">
        <v>2</v>
      </c>
      <c r="J8" t="s">
        <v>24</v>
      </c>
      <c r="M8" s="7">
        <f>0</f>
        <v>0</v>
      </c>
      <c r="N8">
        <f>AVERAGE(0)</f>
        <v>0</v>
      </c>
      <c r="O8" s="2">
        <v>0</v>
      </c>
      <c r="P8" t="s">
        <v>19</v>
      </c>
    </row>
    <row r="9" spans="1:32" x14ac:dyDescent="0.25">
      <c r="A9">
        <v>7</v>
      </c>
      <c r="B9">
        <f>2*1</f>
        <v>2</v>
      </c>
      <c r="C9">
        <v>2</v>
      </c>
    </row>
    <row r="10" spans="1:32" ht="47.25" x14ac:dyDescent="0.25">
      <c r="A10">
        <v>8</v>
      </c>
      <c r="B10">
        <f>2.5*1</f>
        <v>2.5</v>
      </c>
      <c r="C10">
        <v>2</v>
      </c>
      <c r="J10" s="18" t="s">
        <v>33</v>
      </c>
      <c r="K10" s="18" t="s">
        <v>6</v>
      </c>
      <c r="L10" s="18" t="s">
        <v>3</v>
      </c>
      <c r="M10" s="18" t="s">
        <v>2</v>
      </c>
      <c r="N10" s="18" t="s">
        <v>7</v>
      </c>
      <c r="O10" s="17" t="s">
        <v>62</v>
      </c>
      <c r="P10" s="18" t="s">
        <v>18</v>
      </c>
      <c r="R10" s="18" t="s">
        <v>33</v>
      </c>
      <c r="S10" s="18" t="s">
        <v>6</v>
      </c>
      <c r="T10" s="18" t="s">
        <v>3</v>
      </c>
      <c r="U10" s="18" t="s">
        <v>2</v>
      </c>
      <c r="V10" s="18" t="s">
        <v>7</v>
      </c>
      <c r="W10" s="17" t="s">
        <v>62</v>
      </c>
      <c r="X10" s="18" t="s">
        <v>18</v>
      </c>
      <c r="Z10" s="18" t="s">
        <v>33</v>
      </c>
      <c r="AA10" s="18" t="s">
        <v>6</v>
      </c>
      <c r="AB10" s="18" t="s">
        <v>3</v>
      </c>
      <c r="AC10" s="18" t="s">
        <v>2</v>
      </c>
      <c r="AD10" s="18" t="s">
        <v>7</v>
      </c>
      <c r="AE10" s="17" t="s">
        <v>62</v>
      </c>
      <c r="AF10" s="18" t="s">
        <v>18</v>
      </c>
    </row>
    <row r="11" spans="1:32" x14ac:dyDescent="0.25">
      <c r="A11">
        <v>9</v>
      </c>
      <c r="B11">
        <f>1*1</f>
        <v>1</v>
      </c>
      <c r="C11">
        <v>2</v>
      </c>
      <c r="J11" t="s">
        <v>17</v>
      </c>
      <c r="M11" s="7">
        <f>7/50</f>
        <v>0.14000000000000001</v>
      </c>
      <c r="N11" s="2">
        <f>AVERAGE(K12:K19)</f>
        <v>2.78125</v>
      </c>
      <c r="O11" s="2">
        <f>STDEV(K12:K19)/SQRT(8)</f>
        <v>0.57367374220893186</v>
      </c>
      <c r="P11" t="s">
        <v>19</v>
      </c>
      <c r="R11" t="s">
        <v>23</v>
      </c>
      <c r="U11" s="7">
        <f>9/50</f>
        <v>0.18</v>
      </c>
      <c r="V11" s="2">
        <f>AVERAGE(S12:S20)</f>
        <v>2.1111111111111112</v>
      </c>
      <c r="W11" s="2">
        <f>STDEV(S12:S20)/SQRT(9)</f>
        <v>0.25722582190905735</v>
      </c>
      <c r="X11" t="s">
        <v>19</v>
      </c>
      <c r="Z11" t="s">
        <v>24</v>
      </c>
      <c r="AC11" s="7">
        <f>6/50</f>
        <v>0.12</v>
      </c>
      <c r="AD11" s="2">
        <f>AVERAGE(AA12:AA17)</f>
        <v>1.9375</v>
      </c>
      <c r="AE11" s="2">
        <f>STDEV(AA12:AA17)/SQRT(6)</f>
        <v>0.65490934487148689</v>
      </c>
      <c r="AF11" t="s">
        <v>19</v>
      </c>
    </row>
    <row r="12" spans="1:32" x14ac:dyDescent="0.25">
      <c r="A12">
        <v>10</v>
      </c>
      <c r="B12">
        <f>2.5*1.5</f>
        <v>3.75</v>
      </c>
      <c r="C12">
        <v>2</v>
      </c>
      <c r="J12">
        <v>1</v>
      </c>
      <c r="K12">
        <f>2*1</f>
        <v>2</v>
      </c>
      <c r="L12">
        <v>2</v>
      </c>
      <c r="R12">
        <v>1</v>
      </c>
      <c r="S12">
        <f>1.5*1.5</f>
        <v>2.25</v>
      </c>
      <c r="Z12">
        <v>1</v>
      </c>
      <c r="AA12">
        <f>0.5*0.5</f>
        <v>0.25</v>
      </c>
      <c r="AB12">
        <v>0</v>
      </c>
    </row>
    <row r="13" spans="1:32" x14ac:dyDescent="0.25">
      <c r="A13">
        <v>11</v>
      </c>
      <c r="B13">
        <f>3*2</f>
        <v>6</v>
      </c>
      <c r="C13">
        <v>2</v>
      </c>
      <c r="J13">
        <v>2</v>
      </c>
      <c r="K13">
        <f>1.5*1.5</f>
        <v>2.25</v>
      </c>
      <c r="L13">
        <v>2</v>
      </c>
      <c r="R13">
        <v>2</v>
      </c>
      <c r="S13">
        <f>1*1</f>
        <v>1</v>
      </c>
      <c r="Z13">
        <v>2</v>
      </c>
      <c r="AA13">
        <f>2*2</f>
        <v>4</v>
      </c>
      <c r="AB13">
        <v>2</v>
      </c>
    </row>
    <row r="14" spans="1:32" x14ac:dyDescent="0.25">
      <c r="A14">
        <v>12</v>
      </c>
      <c r="B14">
        <f>3*2</f>
        <v>6</v>
      </c>
      <c r="C14">
        <v>2</v>
      </c>
      <c r="J14">
        <v>3</v>
      </c>
      <c r="K14">
        <f>1.5*1.5</f>
        <v>2.25</v>
      </c>
      <c r="L14">
        <v>2</v>
      </c>
      <c r="R14">
        <v>3</v>
      </c>
      <c r="S14">
        <f>1*1.5</f>
        <v>1.5</v>
      </c>
      <c r="Z14">
        <v>3</v>
      </c>
      <c r="AA14">
        <f>0.5*0.5</f>
        <v>0.25</v>
      </c>
      <c r="AB14">
        <v>0</v>
      </c>
    </row>
    <row r="15" spans="1:32" x14ac:dyDescent="0.25">
      <c r="A15">
        <v>13</v>
      </c>
      <c r="B15">
        <f>3*2</f>
        <v>6</v>
      </c>
      <c r="C15">
        <v>2</v>
      </c>
      <c r="J15">
        <v>4</v>
      </c>
      <c r="K15">
        <f>1.5*1.5</f>
        <v>2.25</v>
      </c>
      <c r="L15">
        <v>2</v>
      </c>
      <c r="R15">
        <v>4</v>
      </c>
      <c r="S15">
        <f>2*1.5</f>
        <v>3</v>
      </c>
      <c r="Z15">
        <v>4</v>
      </c>
      <c r="AA15">
        <f>2*1.5</f>
        <v>3</v>
      </c>
      <c r="AB15">
        <v>2</v>
      </c>
    </row>
    <row r="16" spans="1:32" x14ac:dyDescent="0.25">
      <c r="A16">
        <v>14</v>
      </c>
      <c r="B16">
        <f>1.5*1</f>
        <v>1.5</v>
      </c>
      <c r="C16">
        <v>2</v>
      </c>
      <c r="J16">
        <v>5</v>
      </c>
      <c r="K16">
        <f>2.5*2.5</f>
        <v>6.25</v>
      </c>
      <c r="L16">
        <v>3</v>
      </c>
      <c r="R16">
        <v>5</v>
      </c>
      <c r="S16">
        <f>2*1.5</f>
        <v>3</v>
      </c>
      <c r="Z16">
        <v>5</v>
      </c>
      <c r="AA16">
        <f>1.5*0.75</f>
        <v>1.125</v>
      </c>
      <c r="AB16">
        <v>2</v>
      </c>
    </row>
    <row r="17" spans="1:32" x14ac:dyDescent="0.25">
      <c r="A17">
        <v>15</v>
      </c>
      <c r="B17">
        <f>2*2</f>
        <v>4</v>
      </c>
      <c r="C17">
        <v>2</v>
      </c>
      <c r="J17">
        <v>6</v>
      </c>
      <c r="K17">
        <f>2*2</f>
        <v>4</v>
      </c>
      <c r="L17">
        <v>2</v>
      </c>
      <c r="R17">
        <v>6</v>
      </c>
      <c r="S17">
        <f>1.5*1</f>
        <v>1.5</v>
      </c>
      <c r="Z17">
        <v>6</v>
      </c>
      <c r="AA17">
        <f>1.5*2</f>
        <v>3</v>
      </c>
      <c r="AB17">
        <v>3</v>
      </c>
    </row>
    <row r="18" spans="1:32" x14ac:dyDescent="0.25">
      <c r="A18">
        <v>16</v>
      </c>
      <c r="B18">
        <f>2.5*2</f>
        <v>5</v>
      </c>
      <c r="C18">
        <v>2</v>
      </c>
      <c r="J18">
        <v>7</v>
      </c>
      <c r="K18">
        <f>1*1</f>
        <v>1</v>
      </c>
      <c r="L18">
        <v>1</v>
      </c>
      <c r="R18">
        <v>7</v>
      </c>
      <c r="S18">
        <f>1.5*1.5</f>
        <v>2.25</v>
      </c>
    </row>
    <row r="19" spans="1:32" x14ac:dyDescent="0.25">
      <c r="A19">
        <v>17</v>
      </c>
      <c r="B19">
        <f>3.5*2</f>
        <v>7</v>
      </c>
      <c r="C19">
        <v>2</v>
      </c>
      <c r="J19">
        <v>8</v>
      </c>
      <c r="K19">
        <f>1.5*1.5</f>
        <v>2.25</v>
      </c>
      <c r="L19">
        <v>2</v>
      </c>
      <c r="R19">
        <v>8</v>
      </c>
      <c r="S19">
        <f>1*1.5</f>
        <v>1.5</v>
      </c>
    </row>
    <row r="20" spans="1:32" x14ac:dyDescent="0.25">
      <c r="A20">
        <v>18</v>
      </c>
      <c r="B20">
        <f>3.5*2</f>
        <v>7</v>
      </c>
      <c r="C20">
        <v>2</v>
      </c>
      <c r="R20">
        <v>9</v>
      </c>
      <c r="S20">
        <f>2*1.5</f>
        <v>3</v>
      </c>
    </row>
    <row r="21" spans="1:32" x14ac:dyDescent="0.25">
      <c r="A21">
        <v>19</v>
      </c>
      <c r="B21">
        <f>3*2</f>
        <v>6</v>
      </c>
      <c r="C21">
        <v>2</v>
      </c>
    </row>
    <row r="22" spans="1:32" x14ac:dyDescent="0.25">
      <c r="A22">
        <v>20</v>
      </c>
      <c r="B22">
        <f>1*1</f>
        <v>1</v>
      </c>
      <c r="C22">
        <v>2</v>
      </c>
    </row>
    <row r="23" spans="1:32" x14ac:dyDescent="0.25">
      <c r="A23">
        <v>21</v>
      </c>
      <c r="B23">
        <f>2*1</f>
        <v>2</v>
      </c>
      <c r="C23">
        <v>2</v>
      </c>
    </row>
    <row r="25" spans="1:32" ht="47.25" x14ac:dyDescent="0.25">
      <c r="A25" s="17" t="s">
        <v>12</v>
      </c>
      <c r="B25" s="17" t="s">
        <v>1</v>
      </c>
      <c r="C25" s="17" t="s">
        <v>3</v>
      </c>
      <c r="D25" s="17" t="s">
        <v>2</v>
      </c>
      <c r="E25" s="17"/>
      <c r="F25" s="17" t="s">
        <v>38</v>
      </c>
      <c r="G25" s="17" t="s">
        <v>5</v>
      </c>
      <c r="H25" s="17" t="s">
        <v>62</v>
      </c>
      <c r="J25" s="18" t="s">
        <v>34</v>
      </c>
      <c r="K25" s="18" t="s">
        <v>6</v>
      </c>
      <c r="L25" s="18" t="s">
        <v>3</v>
      </c>
      <c r="M25" s="18" t="s">
        <v>2</v>
      </c>
      <c r="N25" s="18" t="s">
        <v>7</v>
      </c>
      <c r="O25" s="17" t="s">
        <v>62</v>
      </c>
      <c r="P25" s="18" t="s">
        <v>18</v>
      </c>
      <c r="R25" s="18" t="s">
        <v>34</v>
      </c>
      <c r="S25" s="18" t="s">
        <v>6</v>
      </c>
      <c r="T25" s="18" t="s">
        <v>3</v>
      </c>
      <c r="U25" s="18" t="s">
        <v>2</v>
      </c>
      <c r="V25" s="18" t="s">
        <v>7</v>
      </c>
      <c r="W25" s="17" t="s">
        <v>62</v>
      </c>
      <c r="X25" s="18" t="s">
        <v>18</v>
      </c>
      <c r="Z25" s="18" t="s">
        <v>34</v>
      </c>
      <c r="AA25" s="18" t="s">
        <v>6</v>
      </c>
      <c r="AB25" s="18" t="s">
        <v>3</v>
      </c>
      <c r="AC25" s="18" t="s">
        <v>2</v>
      </c>
      <c r="AD25" s="18" t="s">
        <v>7</v>
      </c>
      <c r="AE25" s="17" t="s">
        <v>62</v>
      </c>
      <c r="AF25" s="18" t="s">
        <v>18</v>
      </c>
    </row>
    <row r="26" spans="1:32" x14ac:dyDescent="0.25">
      <c r="A26" s="3" t="s">
        <v>4</v>
      </c>
      <c r="B26" s="3"/>
      <c r="C26" s="3"/>
      <c r="D26" s="4">
        <f>15/50</f>
        <v>0.3</v>
      </c>
      <c r="E26" s="4"/>
      <c r="F26" s="4">
        <f>15/21</f>
        <v>0.7142857142857143</v>
      </c>
      <c r="G26" s="5">
        <f>AVERAGE(B27:B41)</f>
        <v>11.3</v>
      </c>
      <c r="H26" s="8">
        <f>STDEV(B27:B41)/SQRT(15)</f>
        <v>1.5860628102616989</v>
      </c>
      <c r="J26" t="s">
        <v>17</v>
      </c>
      <c r="M26" s="1">
        <f>9/50</f>
        <v>0.18</v>
      </c>
      <c r="N26" s="2">
        <f>AVERAGE(K27:K35)</f>
        <v>2.7625000000000002</v>
      </c>
      <c r="O26">
        <f>STDEV(K27:K35)/SQRT(9)</f>
        <v>0.54277130952588537</v>
      </c>
      <c r="R26" t="s">
        <v>23</v>
      </c>
      <c r="U26" s="1">
        <f>10/50</f>
        <v>0.2</v>
      </c>
      <c r="V26" s="2">
        <f>AVERAGE(S27:S36)</f>
        <v>1.85</v>
      </c>
      <c r="W26">
        <f>STDEV(S27:S36)/SQRT(10)</f>
        <v>0.16115899671511424</v>
      </c>
      <c r="Z26" t="s">
        <v>24</v>
      </c>
      <c r="AC26" s="1">
        <f>6/50</f>
        <v>0.12</v>
      </c>
      <c r="AD26" s="2">
        <f>AVERAGE(AA27:AA32)</f>
        <v>3.4958333333333336</v>
      </c>
      <c r="AE26">
        <f>STDEV(AA27:AA32)/SQRT(6)</f>
        <v>0.88091256345022362</v>
      </c>
    </row>
    <row r="27" spans="1:32" x14ac:dyDescent="0.25">
      <c r="A27">
        <v>1</v>
      </c>
      <c r="B27">
        <f>4.5*3</f>
        <v>13.5</v>
      </c>
      <c r="C27">
        <v>4</v>
      </c>
      <c r="J27">
        <v>1</v>
      </c>
      <c r="K27">
        <f>1*1.5</f>
        <v>1.5</v>
      </c>
      <c r="R27">
        <v>1</v>
      </c>
      <c r="S27">
        <f>1.25*1.25</f>
        <v>1.5625</v>
      </c>
      <c r="Z27">
        <v>1</v>
      </c>
      <c r="AA27">
        <f>3.25*2.25</f>
        <v>7.3125</v>
      </c>
    </row>
    <row r="28" spans="1:32" x14ac:dyDescent="0.25">
      <c r="A28">
        <v>2</v>
      </c>
      <c r="B28">
        <f>4*2.5</f>
        <v>10</v>
      </c>
      <c r="C28">
        <v>4</v>
      </c>
      <c r="J28">
        <v>2</v>
      </c>
      <c r="K28">
        <f>1.5*0.5</f>
        <v>0.75</v>
      </c>
      <c r="R28">
        <v>2</v>
      </c>
      <c r="S28">
        <f>2*1.5</f>
        <v>3</v>
      </c>
      <c r="Z28">
        <v>2</v>
      </c>
      <c r="AA28">
        <f>1*1.25</f>
        <v>1.25</v>
      </c>
    </row>
    <row r="29" spans="1:32" x14ac:dyDescent="0.25">
      <c r="A29">
        <v>3</v>
      </c>
      <c r="B29">
        <f>4.5*3</f>
        <v>13.5</v>
      </c>
      <c r="C29">
        <v>2</v>
      </c>
      <c r="J29">
        <v>3</v>
      </c>
      <c r="K29">
        <f>1.5*2.25</f>
        <v>3.375</v>
      </c>
      <c r="R29">
        <v>3</v>
      </c>
      <c r="S29">
        <f>1*1.25</f>
        <v>1.25</v>
      </c>
      <c r="Z29">
        <v>3</v>
      </c>
      <c r="AA29">
        <f>2.25*1.25</f>
        <v>2.8125</v>
      </c>
    </row>
    <row r="30" spans="1:32" x14ac:dyDescent="0.25">
      <c r="A30">
        <v>4</v>
      </c>
      <c r="B30">
        <f>2*2</f>
        <v>4</v>
      </c>
      <c r="C30">
        <v>2</v>
      </c>
      <c r="J30">
        <v>4</v>
      </c>
      <c r="K30">
        <f>2.5*2.25</f>
        <v>5.625</v>
      </c>
      <c r="R30">
        <v>4</v>
      </c>
      <c r="S30">
        <f>1.5*1.5</f>
        <v>2.25</v>
      </c>
      <c r="Z30">
        <v>4</v>
      </c>
      <c r="AA30">
        <f>1.5*2</f>
        <v>3</v>
      </c>
    </row>
    <row r="31" spans="1:32" x14ac:dyDescent="0.25">
      <c r="A31">
        <v>5</v>
      </c>
      <c r="B31">
        <f>4*2.5</f>
        <v>10</v>
      </c>
      <c r="C31">
        <v>2</v>
      </c>
      <c r="J31">
        <v>5</v>
      </c>
      <c r="K31">
        <f>0.5*0.75</f>
        <v>0.375</v>
      </c>
      <c r="R31">
        <v>5</v>
      </c>
      <c r="S31">
        <f>1.75*1</f>
        <v>1.75</v>
      </c>
      <c r="Z31">
        <v>5</v>
      </c>
      <c r="AA31">
        <f>1.4*1.5</f>
        <v>2.0999999999999996</v>
      </c>
    </row>
    <row r="32" spans="1:32" x14ac:dyDescent="0.25">
      <c r="A32">
        <v>6</v>
      </c>
      <c r="B32">
        <f>4*3</f>
        <v>12</v>
      </c>
      <c r="C32">
        <v>2</v>
      </c>
      <c r="J32">
        <v>6</v>
      </c>
      <c r="K32">
        <f>1.5*2.2</f>
        <v>3.3000000000000003</v>
      </c>
      <c r="R32">
        <v>6</v>
      </c>
      <c r="S32">
        <f>1.25*1.5</f>
        <v>1.875</v>
      </c>
      <c r="Z32">
        <v>6</v>
      </c>
      <c r="AA32">
        <f>3*1.5</f>
        <v>4.5</v>
      </c>
    </row>
    <row r="33" spans="1:32" x14ac:dyDescent="0.25">
      <c r="A33">
        <v>7</v>
      </c>
      <c r="B33">
        <f>6.5*4</f>
        <v>26</v>
      </c>
      <c r="C33">
        <v>2</v>
      </c>
      <c r="J33">
        <v>7</v>
      </c>
      <c r="K33">
        <f>2.25*1.5</f>
        <v>3.375</v>
      </c>
      <c r="R33">
        <v>7</v>
      </c>
      <c r="S33">
        <f>1.75*1.25</f>
        <v>2.1875</v>
      </c>
    </row>
    <row r="34" spans="1:32" x14ac:dyDescent="0.25">
      <c r="A34">
        <v>8</v>
      </c>
      <c r="B34">
        <f>4*3</f>
        <v>12</v>
      </c>
      <c r="C34">
        <v>2</v>
      </c>
      <c r="J34">
        <v>8</v>
      </c>
      <c r="K34">
        <f>1.75*2</f>
        <v>3.5</v>
      </c>
      <c r="R34">
        <v>8</v>
      </c>
      <c r="S34">
        <f>1*1.5</f>
        <v>1.5</v>
      </c>
    </row>
    <row r="35" spans="1:32" x14ac:dyDescent="0.25">
      <c r="A35">
        <v>9</v>
      </c>
      <c r="B35">
        <f>3.5*2.5</f>
        <v>8.75</v>
      </c>
      <c r="C35">
        <v>2</v>
      </c>
      <c r="J35">
        <v>9</v>
      </c>
      <c r="K35">
        <f>1.75*1.75</f>
        <v>3.0625</v>
      </c>
      <c r="R35">
        <v>9</v>
      </c>
      <c r="S35">
        <f>1.25*1.25</f>
        <v>1.5625</v>
      </c>
    </row>
    <row r="36" spans="1:32" x14ac:dyDescent="0.25">
      <c r="A36">
        <v>10</v>
      </c>
      <c r="B36">
        <f>6.5*3.5</f>
        <v>22.75</v>
      </c>
      <c r="C36">
        <v>2</v>
      </c>
      <c r="R36">
        <v>10</v>
      </c>
      <c r="S36">
        <f>1.25*1.25</f>
        <v>1.5625</v>
      </c>
    </row>
    <row r="37" spans="1:32" x14ac:dyDescent="0.25">
      <c r="A37">
        <v>11</v>
      </c>
      <c r="B37">
        <f>3*2</f>
        <v>6</v>
      </c>
      <c r="C37">
        <v>2</v>
      </c>
    </row>
    <row r="38" spans="1:32" x14ac:dyDescent="0.25">
      <c r="A38">
        <v>12</v>
      </c>
      <c r="B38">
        <f>4*2</f>
        <v>8</v>
      </c>
      <c r="C38">
        <v>2</v>
      </c>
    </row>
    <row r="39" spans="1:32" x14ac:dyDescent="0.25">
      <c r="A39">
        <v>13</v>
      </c>
      <c r="B39">
        <f>4*3</f>
        <v>12</v>
      </c>
      <c r="C39">
        <v>2</v>
      </c>
    </row>
    <row r="40" spans="1:32" x14ac:dyDescent="0.25">
      <c r="A40">
        <v>14</v>
      </c>
      <c r="B40">
        <f>3*2</f>
        <v>6</v>
      </c>
      <c r="C40">
        <v>2</v>
      </c>
    </row>
    <row r="41" spans="1:32" x14ac:dyDescent="0.25">
      <c r="A41">
        <v>15</v>
      </c>
      <c r="B41">
        <f>2.5*2</f>
        <v>5</v>
      </c>
      <c r="C41">
        <v>2</v>
      </c>
    </row>
    <row r="43" spans="1:32" ht="47.25" x14ac:dyDescent="0.25">
      <c r="A43" s="17" t="s">
        <v>14</v>
      </c>
      <c r="B43" s="17" t="s">
        <v>1</v>
      </c>
      <c r="C43" s="17" t="s">
        <v>3</v>
      </c>
      <c r="D43" s="17" t="s">
        <v>2</v>
      </c>
      <c r="E43" s="17"/>
      <c r="F43" s="17" t="s">
        <v>38</v>
      </c>
      <c r="G43" s="17" t="s">
        <v>5</v>
      </c>
      <c r="H43" s="17" t="s">
        <v>62</v>
      </c>
      <c r="J43" s="18" t="s">
        <v>36</v>
      </c>
      <c r="K43" s="18" t="s">
        <v>6</v>
      </c>
      <c r="L43" s="18" t="s">
        <v>3</v>
      </c>
      <c r="M43" s="18" t="s">
        <v>2</v>
      </c>
      <c r="N43" s="18" t="s">
        <v>7</v>
      </c>
      <c r="O43" s="17" t="s">
        <v>62</v>
      </c>
      <c r="P43" s="18" t="s">
        <v>18</v>
      </c>
      <c r="R43" s="18" t="s">
        <v>36</v>
      </c>
      <c r="S43" s="18" t="s">
        <v>6</v>
      </c>
      <c r="T43" s="18" t="s">
        <v>3</v>
      </c>
      <c r="U43" s="18" t="s">
        <v>2</v>
      </c>
      <c r="V43" s="18" t="s">
        <v>7</v>
      </c>
      <c r="W43" s="17" t="s">
        <v>62</v>
      </c>
      <c r="X43" s="18" t="s">
        <v>18</v>
      </c>
      <c r="Z43" s="18" t="s">
        <v>36</v>
      </c>
      <c r="AA43" s="18" t="s">
        <v>6</v>
      </c>
      <c r="AB43" s="18" t="s">
        <v>3</v>
      </c>
      <c r="AC43" s="18" t="s">
        <v>2</v>
      </c>
      <c r="AD43" s="18" t="s">
        <v>7</v>
      </c>
      <c r="AE43" s="17" t="s">
        <v>62</v>
      </c>
      <c r="AF43" s="18" t="s">
        <v>18</v>
      </c>
    </row>
    <row r="44" spans="1:32" x14ac:dyDescent="0.25">
      <c r="A44" s="3" t="s">
        <v>4</v>
      </c>
      <c r="B44" s="3"/>
      <c r="C44" s="3"/>
      <c r="D44" s="4">
        <f>12/50</f>
        <v>0.24</v>
      </c>
      <c r="E44" s="4"/>
      <c r="F44" s="4">
        <f>12/21</f>
        <v>0.5714285714285714</v>
      </c>
      <c r="G44" s="5">
        <f>AVERAGE(B45:B56)</f>
        <v>16</v>
      </c>
      <c r="H44" s="8">
        <f>STDEV(B45:B56)/SQRT(12)</f>
        <v>2.584188519251315</v>
      </c>
      <c r="J44" t="s">
        <v>17</v>
      </c>
      <c r="M44" s="1">
        <f>10/50</f>
        <v>0.2</v>
      </c>
      <c r="N44" s="2">
        <f>AVERAGE(K45:K54)</f>
        <v>3.5895000000000001</v>
      </c>
      <c r="O44">
        <f>STDEV(K45:K54)/SQRT(10)</f>
        <v>0.67985229196413577</v>
      </c>
      <c r="R44" t="s">
        <v>23</v>
      </c>
      <c r="U44" s="1">
        <f>14/50</f>
        <v>0.28000000000000003</v>
      </c>
      <c r="V44" s="2">
        <f>AVERAGE(S45:S54)</f>
        <v>2.2712499999999998</v>
      </c>
      <c r="W44">
        <f>STDEV(S45:S58)/SQRT(14)</f>
        <v>0.20865851453226958</v>
      </c>
      <c r="Z44" t="s">
        <v>24</v>
      </c>
      <c r="AC44" s="1">
        <f>10/50</f>
        <v>0.2</v>
      </c>
      <c r="AD44" s="2">
        <f>AVERAGE(AA45:AA54)</f>
        <v>5.3975</v>
      </c>
      <c r="AE44">
        <f>STDEV(AA45:AA54)/SQRT(10)</f>
        <v>3.1543678051235555</v>
      </c>
    </row>
    <row r="45" spans="1:32" x14ac:dyDescent="0.25">
      <c r="A45">
        <v>1</v>
      </c>
      <c r="B45">
        <f>5*5</f>
        <v>25</v>
      </c>
      <c r="C45">
        <v>4</v>
      </c>
      <c r="D45" s="1"/>
      <c r="E45" s="1"/>
      <c r="J45">
        <v>1</v>
      </c>
      <c r="K45">
        <f>1.5*1.5</f>
        <v>2.25</v>
      </c>
      <c r="R45">
        <v>1</v>
      </c>
      <c r="S45">
        <f>2.5*1.75</f>
        <v>4.375</v>
      </c>
      <c r="Z45">
        <v>1</v>
      </c>
      <c r="AA45">
        <f>8.4*4</f>
        <v>33.6</v>
      </c>
    </row>
    <row r="46" spans="1:32" x14ac:dyDescent="0.25">
      <c r="A46">
        <v>2</v>
      </c>
      <c r="B46">
        <f>4.5*3</f>
        <v>13.5</v>
      </c>
      <c r="C46">
        <v>3</v>
      </c>
      <c r="J46">
        <v>2</v>
      </c>
      <c r="K46">
        <f>2.5*2.75</f>
        <v>6.875</v>
      </c>
      <c r="R46">
        <v>2</v>
      </c>
      <c r="S46">
        <f>1.5*1.3</f>
        <v>1.9500000000000002</v>
      </c>
      <c r="Z46">
        <v>2</v>
      </c>
      <c r="AA46">
        <f>2*1.5</f>
        <v>3</v>
      </c>
    </row>
    <row r="47" spans="1:32" x14ac:dyDescent="0.25">
      <c r="A47">
        <v>3</v>
      </c>
      <c r="B47">
        <f>5*3</f>
        <v>15</v>
      </c>
      <c r="C47">
        <v>4</v>
      </c>
      <c r="J47">
        <v>3</v>
      </c>
      <c r="K47">
        <f>2*2</f>
        <v>4</v>
      </c>
      <c r="R47">
        <v>3</v>
      </c>
      <c r="S47">
        <f>1.6*1.25</f>
        <v>2</v>
      </c>
      <c r="Z47">
        <v>3</v>
      </c>
      <c r="AA47">
        <f>1.4*1.4</f>
        <v>1.9599999999999997</v>
      </c>
    </row>
    <row r="48" spans="1:32" x14ac:dyDescent="0.25">
      <c r="A48">
        <v>4</v>
      </c>
      <c r="B48">
        <f>5*3</f>
        <v>15</v>
      </c>
      <c r="C48">
        <v>2</v>
      </c>
      <c r="J48">
        <v>4</v>
      </c>
      <c r="K48">
        <f>1*0.75</f>
        <v>0.75</v>
      </c>
      <c r="R48">
        <v>4</v>
      </c>
      <c r="S48">
        <f>1.3*1.5</f>
        <v>1.9500000000000002</v>
      </c>
      <c r="Z48">
        <v>4</v>
      </c>
      <c r="AA48">
        <f>0.5*0.5</f>
        <v>0.25</v>
      </c>
    </row>
    <row r="49" spans="1:27" x14ac:dyDescent="0.25">
      <c r="A49">
        <v>5</v>
      </c>
      <c r="B49">
        <f>8.5*4</f>
        <v>34</v>
      </c>
      <c r="C49">
        <v>4</v>
      </c>
      <c r="J49">
        <v>5</v>
      </c>
      <c r="K49">
        <f>2.5*1.6</f>
        <v>4</v>
      </c>
      <c r="R49">
        <v>5</v>
      </c>
      <c r="S49">
        <f>1.8*1</f>
        <v>1.8</v>
      </c>
      <c r="Z49">
        <v>5</v>
      </c>
      <c r="AA49">
        <f>1*1.25</f>
        <v>1.25</v>
      </c>
    </row>
    <row r="50" spans="1:27" x14ac:dyDescent="0.25">
      <c r="A50">
        <v>6</v>
      </c>
      <c r="B50">
        <f>7*4</f>
        <v>28</v>
      </c>
      <c r="C50">
        <v>6</v>
      </c>
      <c r="J50">
        <v>6</v>
      </c>
      <c r="K50">
        <f>1.3*1</f>
        <v>1.3</v>
      </c>
      <c r="R50">
        <v>6</v>
      </c>
      <c r="S50">
        <f>1.25*1.75</f>
        <v>2.1875</v>
      </c>
      <c r="Z50">
        <v>6</v>
      </c>
      <c r="AA50">
        <f>1.5*1.5</f>
        <v>2.25</v>
      </c>
    </row>
    <row r="51" spans="1:27" x14ac:dyDescent="0.25">
      <c r="A51">
        <v>7</v>
      </c>
      <c r="B51">
        <f>5*3.5</f>
        <v>17.5</v>
      </c>
      <c r="C51">
        <v>4</v>
      </c>
      <c r="J51">
        <v>7</v>
      </c>
      <c r="K51">
        <f>2.8*2.5</f>
        <v>7</v>
      </c>
      <c r="R51">
        <v>7</v>
      </c>
      <c r="S51">
        <f>1.8*1.25</f>
        <v>2.25</v>
      </c>
      <c r="Z51">
        <v>7</v>
      </c>
      <c r="AA51">
        <f>2.1*1.4</f>
        <v>2.94</v>
      </c>
    </row>
    <row r="52" spans="1:27" x14ac:dyDescent="0.25">
      <c r="A52">
        <v>8</v>
      </c>
      <c r="B52">
        <f>4*2.5</f>
        <v>10</v>
      </c>
      <c r="C52">
        <v>3</v>
      </c>
      <c r="J52">
        <v>8</v>
      </c>
      <c r="K52">
        <f>1.2*1.5</f>
        <v>1.7999999999999998</v>
      </c>
      <c r="R52">
        <v>8</v>
      </c>
      <c r="S52">
        <f>1.75*1.4</f>
        <v>2.4499999999999997</v>
      </c>
      <c r="Z52">
        <v>8</v>
      </c>
      <c r="AA52">
        <f>1*1.6</f>
        <v>1.6</v>
      </c>
    </row>
    <row r="53" spans="1:27" x14ac:dyDescent="0.25">
      <c r="A53">
        <v>9</v>
      </c>
      <c r="B53">
        <f>5*3</f>
        <v>15</v>
      </c>
      <c r="C53">
        <v>4</v>
      </c>
      <c r="J53">
        <v>9</v>
      </c>
      <c r="K53">
        <f>2.4*1.8</f>
        <v>4.32</v>
      </c>
      <c r="R53">
        <v>9</v>
      </c>
      <c r="S53">
        <f>1*1.5</f>
        <v>1.5</v>
      </c>
      <c r="Z53">
        <v>9</v>
      </c>
      <c r="AA53">
        <f>1.5*1.75</f>
        <v>2.625</v>
      </c>
    </row>
    <row r="54" spans="1:27" x14ac:dyDescent="0.25">
      <c r="A54">
        <v>10</v>
      </c>
      <c r="B54">
        <f>2.5*2</f>
        <v>5</v>
      </c>
      <c r="C54">
        <v>3</v>
      </c>
      <c r="J54">
        <v>10</v>
      </c>
      <c r="K54">
        <f>2*1.8</f>
        <v>3.6</v>
      </c>
      <c r="R54">
        <v>10</v>
      </c>
      <c r="S54">
        <f>1.5*1.5</f>
        <v>2.25</v>
      </c>
      <c r="Z54">
        <v>10</v>
      </c>
      <c r="AA54">
        <f>1.5*3</f>
        <v>4.5</v>
      </c>
    </row>
    <row r="55" spans="1:27" x14ac:dyDescent="0.25">
      <c r="A55">
        <v>11</v>
      </c>
      <c r="B55">
        <f>3*2</f>
        <v>6</v>
      </c>
      <c r="C55">
        <v>2</v>
      </c>
      <c r="R55">
        <v>11</v>
      </c>
      <c r="S55">
        <f>1.5*1.3</f>
        <v>1.9500000000000002</v>
      </c>
    </row>
    <row r="56" spans="1:27" x14ac:dyDescent="0.25">
      <c r="A56">
        <v>12</v>
      </c>
      <c r="B56">
        <f>4*2</f>
        <v>8</v>
      </c>
      <c r="C56">
        <v>3</v>
      </c>
      <c r="R56">
        <v>12</v>
      </c>
      <c r="S56">
        <f>1*0.7</f>
        <v>0.7</v>
      </c>
    </row>
    <row r="57" spans="1:27" x14ac:dyDescent="0.25">
      <c r="R57">
        <v>13</v>
      </c>
      <c r="S57">
        <f>1.5*1.25</f>
        <v>1.875</v>
      </c>
    </row>
    <row r="58" spans="1:27" ht="30" x14ac:dyDescent="0.25">
      <c r="A58" s="17" t="s">
        <v>20</v>
      </c>
      <c r="B58" s="17" t="s">
        <v>1</v>
      </c>
      <c r="C58" s="17" t="s">
        <v>3</v>
      </c>
      <c r="D58" s="17" t="s">
        <v>2</v>
      </c>
      <c r="E58" s="17" t="s">
        <v>64</v>
      </c>
      <c r="F58" s="17" t="s">
        <v>38</v>
      </c>
      <c r="G58" s="17" t="s">
        <v>5</v>
      </c>
      <c r="H58" s="17" t="s">
        <v>62</v>
      </c>
      <c r="R58">
        <v>14</v>
      </c>
      <c r="S58">
        <f>1.9*1</f>
        <v>1.9</v>
      </c>
    </row>
    <row r="59" spans="1:27" x14ac:dyDescent="0.25">
      <c r="A59" s="3" t="s">
        <v>4</v>
      </c>
      <c r="B59" s="11">
        <v>43881</v>
      </c>
      <c r="C59" s="3"/>
      <c r="D59" s="4">
        <f>9/50</f>
        <v>0.18</v>
      </c>
      <c r="E59" s="4">
        <v>0.24</v>
      </c>
      <c r="F59" s="4">
        <f>9/21</f>
        <v>0.42857142857142855</v>
      </c>
      <c r="G59" s="5">
        <f>AVERAGE(B60:B71)</f>
        <v>23.833333333333332</v>
      </c>
      <c r="H59" s="8">
        <f>STDEV(B60:B68)/SQRT(9)</f>
        <v>4.7164384514871669</v>
      </c>
    </row>
    <row r="60" spans="1:27" x14ac:dyDescent="0.25">
      <c r="A60">
        <v>1</v>
      </c>
      <c r="B60">
        <f>6.5*3.5</f>
        <v>22.75</v>
      </c>
      <c r="C60">
        <v>6</v>
      </c>
    </row>
    <row r="61" spans="1:27" x14ac:dyDescent="0.25">
      <c r="A61">
        <v>2</v>
      </c>
      <c r="B61">
        <f>5.5*3.5</f>
        <v>19.25</v>
      </c>
      <c r="C61">
        <v>6</v>
      </c>
    </row>
    <row r="62" spans="1:27" x14ac:dyDescent="0.25">
      <c r="A62">
        <v>3</v>
      </c>
      <c r="B62">
        <f>7*3.5</f>
        <v>24.5</v>
      </c>
      <c r="C62">
        <v>5</v>
      </c>
    </row>
    <row r="63" spans="1:27" x14ac:dyDescent="0.25">
      <c r="A63">
        <v>4</v>
      </c>
      <c r="B63">
        <f>10*5</f>
        <v>50</v>
      </c>
      <c r="C63">
        <v>7</v>
      </c>
    </row>
    <row r="64" spans="1:27" x14ac:dyDescent="0.25">
      <c r="A64">
        <v>5</v>
      </c>
      <c r="B64">
        <f>9*4.5</f>
        <v>40.5</v>
      </c>
      <c r="C64">
        <v>8</v>
      </c>
    </row>
    <row r="65" spans="1:3" x14ac:dyDescent="0.25">
      <c r="A65">
        <v>6</v>
      </c>
      <c r="B65">
        <f>5*2.5</f>
        <v>12.5</v>
      </c>
      <c r="C65">
        <v>3</v>
      </c>
    </row>
    <row r="66" spans="1:3" x14ac:dyDescent="0.25">
      <c r="A66">
        <v>7</v>
      </c>
      <c r="B66">
        <f>7*4</f>
        <v>28</v>
      </c>
      <c r="C66">
        <v>6</v>
      </c>
    </row>
    <row r="67" spans="1:3" x14ac:dyDescent="0.25">
      <c r="A67">
        <v>8</v>
      </c>
      <c r="B67">
        <f>4*2</f>
        <v>8</v>
      </c>
      <c r="C67">
        <v>3</v>
      </c>
    </row>
    <row r="68" spans="1:3" x14ac:dyDescent="0.25">
      <c r="A68">
        <v>9</v>
      </c>
      <c r="B68">
        <f>4.5*2</f>
        <v>9</v>
      </c>
      <c r="C68">
        <v>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14EEF-6356-4C7B-B482-48FBABFD2632}">
  <dimension ref="A1:G18"/>
  <sheetViews>
    <sheetView topLeftCell="B1" workbookViewId="0">
      <selection activeCell="G21" sqref="G21"/>
    </sheetView>
  </sheetViews>
  <sheetFormatPr defaultRowHeight="15" x14ac:dyDescent="0.25"/>
  <cols>
    <col min="1" max="2" width="23.28515625" customWidth="1"/>
    <col min="3" max="3" width="21.28515625" customWidth="1"/>
    <col min="4" max="4" width="16" customWidth="1"/>
    <col min="5" max="5" width="11.28515625" customWidth="1"/>
    <col min="6" max="6" width="13.42578125" customWidth="1"/>
    <col min="7" max="7" width="19.28515625" customWidth="1"/>
    <col min="8" max="8" width="8.42578125" customWidth="1"/>
  </cols>
  <sheetData>
    <row r="1" spans="1:7" ht="17.25" customHeight="1" x14ac:dyDescent="0.25">
      <c r="A1" s="22" t="s">
        <v>45</v>
      </c>
      <c r="B1" s="22" t="s">
        <v>45</v>
      </c>
      <c r="C1" s="22" t="s">
        <v>43</v>
      </c>
      <c r="D1" s="3" t="s">
        <v>42</v>
      </c>
      <c r="E1" s="3" t="s">
        <v>40</v>
      </c>
      <c r="F1" s="3" t="s">
        <v>50</v>
      </c>
      <c r="G1" s="3" t="s">
        <v>51</v>
      </c>
    </row>
    <row r="2" spans="1:7" x14ac:dyDescent="0.25">
      <c r="A2" s="26" t="s">
        <v>44</v>
      </c>
      <c r="B2" s="26" t="s">
        <v>52</v>
      </c>
      <c r="C2" t="s">
        <v>47</v>
      </c>
      <c r="D2" s="23">
        <f>40/50</f>
        <v>0.8</v>
      </c>
      <c r="E2" s="1">
        <v>1</v>
      </c>
      <c r="F2" s="1">
        <v>0</v>
      </c>
      <c r="G2" s="2">
        <v>4.8637500000000005</v>
      </c>
    </row>
    <row r="3" spans="1:7" x14ac:dyDescent="0.25">
      <c r="A3" s="26"/>
      <c r="B3" s="26"/>
      <c r="C3" t="s">
        <v>48</v>
      </c>
      <c r="D3" s="23">
        <v>0.36</v>
      </c>
      <c r="E3" s="1">
        <v>1</v>
      </c>
      <c r="F3" s="1">
        <v>0</v>
      </c>
      <c r="G3" s="2">
        <v>4.2787499999999996</v>
      </c>
    </row>
    <row r="4" spans="1:7" x14ac:dyDescent="0.25">
      <c r="A4" s="26"/>
      <c r="B4" s="26"/>
      <c r="C4" t="s">
        <v>49</v>
      </c>
      <c r="D4" s="23">
        <v>0.57999999999999996</v>
      </c>
      <c r="E4" s="1">
        <v>1</v>
      </c>
      <c r="F4" s="1">
        <v>0</v>
      </c>
      <c r="G4" s="2">
        <v>4.7659482758620682</v>
      </c>
    </row>
    <row r="5" spans="1:7" x14ac:dyDescent="0.25">
      <c r="A5" s="26"/>
      <c r="B5" s="26"/>
      <c r="C5" t="s">
        <v>46</v>
      </c>
      <c r="D5" s="23">
        <f>42/50</f>
        <v>0.84</v>
      </c>
      <c r="E5" s="1">
        <f>36/42</f>
        <v>0.8571428571428571</v>
      </c>
      <c r="F5" s="1">
        <f>1-E5</f>
        <v>0.1428571428571429</v>
      </c>
      <c r="G5" s="2">
        <v>935.4</v>
      </c>
    </row>
    <row r="6" spans="1:7" x14ac:dyDescent="0.25">
      <c r="A6" s="26" t="s">
        <v>11</v>
      </c>
      <c r="B6" s="26" t="s">
        <v>53</v>
      </c>
      <c r="C6" t="s">
        <v>48</v>
      </c>
      <c r="D6" s="23">
        <v>0.4</v>
      </c>
      <c r="E6" s="1">
        <v>1</v>
      </c>
      <c r="F6" s="1">
        <v>0</v>
      </c>
      <c r="G6" s="2">
        <v>5.6</v>
      </c>
    </row>
    <row r="7" spans="1:7" x14ac:dyDescent="0.25">
      <c r="A7" s="26"/>
      <c r="B7" s="26"/>
      <c r="C7" t="s">
        <v>49</v>
      </c>
      <c r="D7" s="23">
        <v>0.5</v>
      </c>
      <c r="E7" s="1">
        <v>1</v>
      </c>
      <c r="F7" s="1">
        <v>0</v>
      </c>
      <c r="G7" s="2">
        <v>6.6</v>
      </c>
    </row>
    <row r="8" spans="1:7" x14ac:dyDescent="0.25">
      <c r="A8" s="26"/>
      <c r="B8" s="26"/>
      <c r="C8" t="s">
        <v>46</v>
      </c>
      <c r="D8" s="23">
        <f>16/40</f>
        <v>0.4</v>
      </c>
      <c r="E8" s="1">
        <v>0.75</v>
      </c>
      <c r="F8" s="1">
        <v>0.25</v>
      </c>
      <c r="G8" s="2">
        <v>82.458333333333329</v>
      </c>
    </row>
    <row r="9" spans="1:7" x14ac:dyDescent="0.25">
      <c r="A9" s="26" t="s">
        <v>8</v>
      </c>
      <c r="B9" s="26" t="s">
        <v>54</v>
      </c>
      <c r="C9" t="s">
        <v>47</v>
      </c>
      <c r="D9" s="1">
        <f>26/50</f>
        <v>0.52</v>
      </c>
      <c r="E9" s="1">
        <v>1</v>
      </c>
      <c r="F9" s="1">
        <v>0</v>
      </c>
      <c r="G9" s="2">
        <v>2.2000000000000002</v>
      </c>
    </row>
    <row r="10" spans="1:7" x14ac:dyDescent="0.25">
      <c r="A10" s="26"/>
      <c r="B10" s="26"/>
      <c r="C10" t="s">
        <v>48</v>
      </c>
      <c r="D10" s="23">
        <v>0.42</v>
      </c>
      <c r="E10" s="1">
        <v>1</v>
      </c>
      <c r="F10" s="1">
        <v>0</v>
      </c>
      <c r="G10" s="2">
        <v>2.1</v>
      </c>
    </row>
    <row r="11" spans="1:7" x14ac:dyDescent="0.25">
      <c r="A11" s="26"/>
      <c r="B11" s="26"/>
      <c r="C11" t="s">
        <v>49</v>
      </c>
      <c r="D11" s="23">
        <v>0.86</v>
      </c>
      <c r="E11" s="1">
        <v>1</v>
      </c>
      <c r="F11" s="1">
        <v>0</v>
      </c>
      <c r="G11" s="2">
        <v>2.4</v>
      </c>
    </row>
    <row r="12" spans="1:7" x14ac:dyDescent="0.25">
      <c r="A12" s="26"/>
      <c r="B12" s="26"/>
      <c r="C12" t="s">
        <v>46</v>
      </c>
      <c r="D12" s="23">
        <v>0.33</v>
      </c>
      <c r="E12" s="1">
        <v>0.54</v>
      </c>
      <c r="F12" s="1">
        <v>0.46</v>
      </c>
      <c r="G12">
        <v>23.6</v>
      </c>
    </row>
    <row r="13" spans="1:7" x14ac:dyDescent="0.25">
      <c r="A13" s="26" t="s">
        <v>9</v>
      </c>
      <c r="B13" s="26" t="s">
        <v>55</v>
      </c>
      <c r="C13" t="s">
        <v>48</v>
      </c>
      <c r="D13" s="23">
        <v>0.6</v>
      </c>
      <c r="E13" s="1">
        <v>1</v>
      </c>
      <c r="F13" s="1">
        <v>0</v>
      </c>
      <c r="G13" s="2">
        <v>1.8</v>
      </c>
    </row>
    <row r="14" spans="1:7" x14ac:dyDescent="0.25">
      <c r="A14" s="26"/>
      <c r="B14" s="26"/>
      <c r="C14" t="s">
        <v>46</v>
      </c>
      <c r="D14" s="23">
        <v>0.16</v>
      </c>
      <c r="E14" s="1">
        <v>0.5</v>
      </c>
      <c r="F14" s="1">
        <v>0.5</v>
      </c>
      <c r="G14" s="2">
        <v>39.8125</v>
      </c>
    </row>
    <row r="15" spans="1:7" x14ac:dyDescent="0.25">
      <c r="A15" s="26" t="s">
        <v>4</v>
      </c>
      <c r="B15" s="26" t="s">
        <v>56</v>
      </c>
      <c r="C15" t="s">
        <v>47</v>
      </c>
      <c r="D15" s="23">
        <v>0.2</v>
      </c>
      <c r="E15" s="1">
        <v>1</v>
      </c>
      <c r="F15" s="1">
        <v>0</v>
      </c>
      <c r="G15" s="2">
        <v>3.6</v>
      </c>
    </row>
    <row r="16" spans="1:7" x14ac:dyDescent="0.25">
      <c r="A16" s="26"/>
      <c r="B16" s="26"/>
      <c r="C16" t="s">
        <v>48</v>
      </c>
      <c r="D16" s="23">
        <v>0.28000000000000003</v>
      </c>
      <c r="E16" s="1">
        <v>1</v>
      </c>
      <c r="F16" s="1">
        <v>0</v>
      </c>
      <c r="G16" s="2">
        <v>2.2999999999999998</v>
      </c>
    </row>
    <row r="17" spans="1:7" x14ac:dyDescent="0.25">
      <c r="A17" s="26"/>
      <c r="B17" s="26"/>
      <c r="C17" t="s">
        <v>49</v>
      </c>
      <c r="D17" s="23">
        <v>0.2</v>
      </c>
      <c r="E17" s="1">
        <v>1</v>
      </c>
      <c r="F17" s="1">
        <v>0</v>
      </c>
      <c r="G17" s="2">
        <v>5.4</v>
      </c>
    </row>
    <row r="18" spans="1:7" x14ac:dyDescent="0.25">
      <c r="A18" s="26"/>
      <c r="B18" s="26"/>
      <c r="C18" t="s">
        <v>46</v>
      </c>
      <c r="D18" s="23">
        <v>0.42</v>
      </c>
      <c r="E18" s="1">
        <v>0.43</v>
      </c>
      <c r="F18" s="1">
        <v>0.56999999999999995</v>
      </c>
      <c r="G18">
        <v>23.8</v>
      </c>
    </row>
  </sheetData>
  <mergeCells count="10">
    <mergeCell ref="B2:B5"/>
    <mergeCell ref="B6:B8"/>
    <mergeCell ref="B9:B12"/>
    <mergeCell ref="B13:B14"/>
    <mergeCell ref="B15:B18"/>
    <mergeCell ref="A2:A5"/>
    <mergeCell ref="A6:A8"/>
    <mergeCell ref="A9:A12"/>
    <mergeCell ref="A13:A14"/>
    <mergeCell ref="A15:A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1B409-F505-48DF-AE96-EE001E1D43C4}">
  <dimension ref="A1:E18"/>
  <sheetViews>
    <sheetView tabSelected="1" workbookViewId="0">
      <selection activeCell="N18" sqref="N18"/>
    </sheetView>
  </sheetViews>
  <sheetFormatPr defaultRowHeight="15" x14ac:dyDescent="0.25"/>
  <cols>
    <col min="1" max="2" width="16.5703125" customWidth="1"/>
    <col min="3" max="4" width="24.28515625" customWidth="1"/>
  </cols>
  <sheetData>
    <row r="1" spans="1:5" x14ac:dyDescent="0.25">
      <c r="A1" t="s">
        <v>45</v>
      </c>
      <c r="B1" t="s">
        <v>43</v>
      </c>
      <c r="C1" t="s">
        <v>40</v>
      </c>
      <c r="D1" t="s">
        <v>50</v>
      </c>
    </row>
    <row r="2" spans="1:5" x14ac:dyDescent="0.25">
      <c r="A2" s="27" t="s">
        <v>52</v>
      </c>
      <c r="B2" s="24" t="s">
        <v>59</v>
      </c>
      <c r="C2" s="7">
        <v>0.8</v>
      </c>
      <c r="D2" s="7">
        <v>0</v>
      </c>
      <c r="E2" s="7">
        <f>AVERAGE(C2:C4)</f>
        <v>0.58000000000000007</v>
      </c>
    </row>
    <row r="3" spans="1:5" x14ac:dyDescent="0.25">
      <c r="A3" s="27"/>
      <c r="B3" s="24" t="s">
        <v>60</v>
      </c>
      <c r="C3" s="7">
        <v>0.36</v>
      </c>
      <c r="D3" s="7">
        <v>0</v>
      </c>
    </row>
    <row r="4" spans="1:5" x14ac:dyDescent="0.25">
      <c r="A4" s="27"/>
      <c r="B4" s="24" t="s">
        <v>61</v>
      </c>
      <c r="C4" s="7">
        <v>0.57999999999999996</v>
      </c>
      <c r="D4" s="7">
        <v>0</v>
      </c>
    </row>
    <row r="5" spans="1:5" x14ac:dyDescent="0.25">
      <c r="A5" s="27"/>
      <c r="B5" s="24" t="s">
        <v>58</v>
      </c>
      <c r="C5" s="1">
        <v>0.72</v>
      </c>
      <c r="D5" s="1">
        <v>0.12</v>
      </c>
    </row>
    <row r="6" spans="1:5" x14ac:dyDescent="0.25">
      <c r="A6" s="28" t="s">
        <v>53</v>
      </c>
      <c r="B6" s="24" t="s">
        <v>60</v>
      </c>
      <c r="C6" s="1">
        <v>0.5</v>
      </c>
      <c r="D6" s="7">
        <v>0</v>
      </c>
      <c r="E6" s="7">
        <f>AVERAGE(C6:C7)</f>
        <v>0.5625</v>
      </c>
    </row>
    <row r="7" spans="1:5" x14ac:dyDescent="0.25">
      <c r="A7" s="28"/>
      <c r="B7" s="24" t="s">
        <v>61</v>
      </c>
      <c r="C7" s="1">
        <v>0.625</v>
      </c>
      <c r="D7" s="7">
        <v>0</v>
      </c>
    </row>
    <row r="8" spans="1:5" x14ac:dyDescent="0.25">
      <c r="A8" s="28"/>
      <c r="B8" s="24" t="s">
        <v>58</v>
      </c>
      <c r="C8" s="7">
        <v>0.3</v>
      </c>
      <c r="D8" s="7">
        <v>0.1</v>
      </c>
    </row>
    <row r="9" spans="1:5" x14ac:dyDescent="0.25">
      <c r="A9" s="28" t="s">
        <v>54</v>
      </c>
      <c r="B9" s="24" t="s">
        <v>59</v>
      </c>
      <c r="C9" s="1">
        <v>0.52</v>
      </c>
      <c r="D9" s="7">
        <v>0</v>
      </c>
      <c r="E9" s="7">
        <f>AVERAGE(C9:C11)</f>
        <v>0.6</v>
      </c>
    </row>
    <row r="10" spans="1:5" x14ac:dyDescent="0.25">
      <c r="A10" s="28"/>
      <c r="B10" s="24" t="s">
        <v>60</v>
      </c>
      <c r="C10" s="1">
        <v>0.42</v>
      </c>
      <c r="D10" s="7">
        <v>0</v>
      </c>
    </row>
    <row r="11" spans="1:5" x14ac:dyDescent="0.25">
      <c r="A11" s="28"/>
      <c r="B11" s="24" t="s">
        <v>61</v>
      </c>
      <c r="C11" s="1">
        <v>0.86</v>
      </c>
      <c r="D11" s="7">
        <v>0</v>
      </c>
    </row>
    <row r="12" spans="1:5" x14ac:dyDescent="0.25">
      <c r="A12" s="28"/>
      <c r="B12" s="24" t="s">
        <v>58</v>
      </c>
      <c r="C12" s="1">
        <v>0.1</v>
      </c>
      <c r="D12" s="1">
        <f>8/50</f>
        <v>0.16</v>
      </c>
    </row>
    <row r="13" spans="1:5" x14ac:dyDescent="0.25">
      <c r="A13" s="28" t="s">
        <v>55</v>
      </c>
      <c r="B13" s="24" t="s">
        <v>60</v>
      </c>
      <c r="C13" s="1">
        <v>0.72</v>
      </c>
      <c r="D13" s="7">
        <v>0</v>
      </c>
      <c r="E13" s="7">
        <f>AVERAGE(C15:C17)</f>
        <v>0.22666666666666668</v>
      </c>
    </row>
    <row r="14" spans="1:5" x14ac:dyDescent="0.25">
      <c r="A14" s="28"/>
      <c r="B14" s="24" t="s">
        <v>58</v>
      </c>
      <c r="C14" s="1">
        <v>0.08</v>
      </c>
      <c r="D14" s="1">
        <f>4/50</f>
        <v>0.08</v>
      </c>
    </row>
    <row r="15" spans="1:5" x14ac:dyDescent="0.25">
      <c r="A15" s="28" t="s">
        <v>56</v>
      </c>
      <c r="B15" s="24" t="s">
        <v>59</v>
      </c>
      <c r="C15" s="1">
        <v>0.2</v>
      </c>
      <c r="D15" s="7">
        <v>0</v>
      </c>
    </row>
    <row r="16" spans="1:5" x14ac:dyDescent="0.25">
      <c r="A16" s="28"/>
      <c r="B16" s="24" t="s">
        <v>60</v>
      </c>
      <c r="C16" s="1">
        <v>0.28000000000000003</v>
      </c>
      <c r="D16" s="7">
        <v>0</v>
      </c>
    </row>
    <row r="17" spans="1:4" x14ac:dyDescent="0.25">
      <c r="A17" s="28"/>
      <c r="B17" s="24" t="s">
        <v>61</v>
      </c>
      <c r="C17" s="1">
        <v>0.2</v>
      </c>
      <c r="D17" s="7">
        <v>0</v>
      </c>
    </row>
    <row r="18" spans="1:4" x14ac:dyDescent="0.25">
      <c r="A18" s="28"/>
      <c r="B18" s="24" t="s">
        <v>58</v>
      </c>
      <c r="C18" s="4">
        <v>0.18</v>
      </c>
      <c r="D18" s="4">
        <v>0.24</v>
      </c>
    </row>
  </sheetData>
  <mergeCells count="5">
    <mergeCell ref="A2:A5"/>
    <mergeCell ref="A6:A8"/>
    <mergeCell ref="A9:A12"/>
    <mergeCell ref="A13:A14"/>
    <mergeCell ref="A15:A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D.fari</vt:lpstr>
      <vt:lpstr>D.gnoma</vt:lpstr>
      <vt:lpstr>D.pach</vt:lpstr>
      <vt:lpstr>D.stol</vt:lpstr>
      <vt:lpstr>D. trask</vt:lpstr>
      <vt:lpstr>IV vs EV Seed</vt:lpstr>
      <vt:lpstr>Survival.v.Mortality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Alison</dc:creator>
  <cp:lastModifiedBy>Kevin Alison</cp:lastModifiedBy>
  <dcterms:created xsi:type="dcterms:W3CDTF">2020-01-10T03:42:47Z</dcterms:created>
  <dcterms:modified xsi:type="dcterms:W3CDTF">2020-05-27T19:41:28Z</dcterms:modified>
</cp:coreProperties>
</file>