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709"/>
  <workbookPr autoCompressPictures="0"/>
  <bookViews>
    <workbookView xWindow="280" yWindow="0" windowWidth="25040" windowHeight="15460" tabRatio="500"/>
  </bookViews>
  <sheets>
    <sheet name="Sheet1" sheetId="1" r:id="rId1"/>
    <sheet name="countries" sheetId="2" r:id="rId2"/>
    <sheet name="continents" sheetId="3" r:id="rId3"/>
    <sheet name="mandates" sheetId="4" r:id="rId4"/>
  </sheets>
  <definedNames>
    <definedName name="_xlnm._FilterDatabase" localSheetId="0" hidden="1">Sheet1!$A$1:$AZ$698</definedName>
    <definedName name="_xlnm.Criteria" localSheetId="0">Sheet1!#REF!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Q34" i="1" l="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 i="1"/>
  <c r="Q4" i="1"/>
  <c r="Q2" i="1"/>
  <c r="B2" i="1"/>
  <c r="Z408" i="4"/>
  <c r="Y408" i="4"/>
  <c r="U408" i="4"/>
  <c r="R408" i="4"/>
  <c r="B408" i="4"/>
  <c r="AB698" i="1"/>
  <c r="Z698" i="1"/>
  <c r="B698" i="1"/>
  <c r="AB697" i="1"/>
  <c r="AA697" i="1"/>
  <c r="Z697" i="1"/>
  <c r="B697" i="1"/>
  <c r="AB696" i="1"/>
  <c r="Z696" i="1"/>
  <c r="B696" i="1"/>
  <c r="AB695" i="1"/>
  <c r="AA695" i="1"/>
  <c r="Z695" i="1"/>
  <c r="B695" i="1"/>
  <c r="AA694" i="1"/>
  <c r="Z694" i="1"/>
  <c r="B694" i="1"/>
  <c r="AB693" i="1"/>
  <c r="AA693" i="1"/>
  <c r="Z693" i="1"/>
  <c r="B693" i="1"/>
  <c r="AB692" i="1"/>
  <c r="AA692" i="1"/>
  <c r="Z692" i="1"/>
  <c r="B692" i="1"/>
  <c r="AB691" i="1"/>
  <c r="AA691" i="1"/>
  <c r="Z691" i="1"/>
  <c r="B691" i="1"/>
  <c r="AB690" i="1"/>
  <c r="AA690" i="1"/>
  <c r="Z690" i="1"/>
  <c r="B690" i="1"/>
  <c r="AZ689" i="1"/>
  <c r="AB689" i="1"/>
  <c r="AA689" i="1"/>
  <c r="Z689" i="1"/>
  <c r="B689" i="1"/>
  <c r="AB688" i="1"/>
  <c r="AA688" i="1"/>
  <c r="Z688" i="1"/>
  <c r="B688" i="1"/>
  <c r="AB687" i="1"/>
  <c r="AA687" i="1"/>
  <c r="Z687" i="1"/>
  <c r="B687" i="1"/>
  <c r="AB686" i="1"/>
  <c r="AA686" i="1"/>
  <c r="Z686" i="1"/>
  <c r="B686" i="1"/>
  <c r="AB685" i="1"/>
  <c r="AA685" i="1"/>
  <c r="Z685" i="1"/>
  <c r="B685" i="1"/>
  <c r="AZ684" i="1"/>
  <c r="AB684" i="1"/>
  <c r="AA684" i="1"/>
  <c r="Z684" i="1"/>
  <c r="B684" i="1"/>
  <c r="AB683" i="1"/>
  <c r="Z683" i="1"/>
  <c r="B683" i="1"/>
  <c r="AB682" i="1"/>
  <c r="AA682" i="1"/>
  <c r="Z682" i="1"/>
  <c r="B682" i="1"/>
  <c r="AB681" i="1"/>
  <c r="AA681" i="1"/>
  <c r="Z681" i="1"/>
  <c r="B681" i="1"/>
  <c r="AB680" i="1"/>
  <c r="AA680" i="1"/>
  <c r="Z680" i="1"/>
  <c r="B680" i="1"/>
  <c r="AB679" i="1"/>
  <c r="AA679" i="1"/>
  <c r="Z679" i="1"/>
  <c r="B679" i="1"/>
  <c r="AB678" i="1"/>
  <c r="Z678" i="1"/>
  <c r="B678" i="1"/>
  <c r="AB677" i="1"/>
  <c r="AA677" i="1"/>
  <c r="Z677" i="1"/>
  <c r="B677" i="1"/>
  <c r="AB676" i="1"/>
  <c r="AA676" i="1"/>
  <c r="Z676" i="1"/>
  <c r="B676" i="1"/>
  <c r="AB675" i="1"/>
  <c r="AA675" i="1"/>
  <c r="Z675" i="1"/>
  <c r="B675" i="1"/>
  <c r="AB674" i="1"/>
  <c r="AA674" i="1"/>
  <c r="Z674" i="1"/>
  <c r="B674" i="1"/>
  <c r="AB673" i="1"/>
  <c r="Z673" i="1"/>
  <c r="B673" i="1"/>
  <c r="AB672" i="1"/>
  <c r="AA672" i="1"/>
  <c r="Z672" i="1"/>
  <c r="B672" i="1"/>
  <c r="AZ671" i="1"/>
  <c r="AB671" i="1"/>
  <c r="AA671" i="1"/>
  <c r="Z671" i="1"/>
  <c r="B671" i="1"/>
  <c r="AB670" i="1"/>
  <c r="AA670" i="1"/>
  <c r="Z670" i="1"/>
  <c r="B670" i="1"/>
  <c r="AB669" i="1"/>
  <c r="AA669" i="1"/>
  <c r="Z669" i="1"/>
  <c r="B669" i="1"/>
  <c r="AB668" i="1"/>
  <c r="Z668" i="1"/>
  <c r="B668" i="1"/>
  <c r="AB667" i="1"/>
  <c r="AA667" i="1"/>
  <c r="Z667" i="1"/>
  <c r="B667" i="1"/>
  <c r="AB666" i="1"/>
  <c r="AA666" i="1"/>
  <c r="Z666" i="1"/>
  <c r="B666" i="1"/>
  <c r="Z665" i="1"/>
  <c r="B665" i="1"/>
  <c r="Z664" i="1"/>
  <c r="B664" i="1"/>
  <c r="AB663" i="1"/>
  <c r="AA663" i="1"/>
  <c r="Z663" i="1"/>
  <c r="B663" i="1"/>
  <c r="AB662" i="1"/>
  <c r="AA662" i="1"/>
  <c r="Z662" i="1"/>
  <c r="B662" i="1"/>
  <c r="Z661" i="1"/>
  <c r="B661" i="1"/>
  <c r="AA660" i="1"/>
  <c r="Z660" i="1"/>
  <c r="B660" i="1"/>
  <c r="AA659" i="1"/>
  <c r="Z659" i="1"/>
  <c r="B659" i="1"/>
  <c r="Z658" i="1"/>
  <c r="B658" i="1"/>
  <c r="Z657" i="1"/>
  <c r="B657" i="1"/>
  <c r="Z656" i="1"/>
  <c r="B656" i="1"/>
  <c r="Z655" i="1"/>
  <c r="B655" i="1"/>
  <c r="Z654" i="1"/>
  <c r="B654" i="1"/>
  <c r="Z653" i="1"/>
  <c r="B653" i="1"/>
  <c r="Z652" i="1"/>
  <c r="B652" i="1"/>
  <c r="Z651" i="1"/>
  <c r="B651" i="1"/>
  <c r="Z650" i="1"/>
  <c r="B650" i="1"/>
  <c r="Z649" i="1"/>
  <c r="B649" i="1"/>
  <c r="Z648" i="1"/>
  <c r="B648" i="1"/>
  <c r="Z647" i="1"/>
  <c r="B647" i="1"/>
  <c r="Z646" i="1"/>
  <c r="B646" i="1"/>
  <c r="Z645" i="1"/>
  <c r="B645" i="1"/>
  <c r="Z644" i="1"/>
  <c r="B644" i="1"/>
  <c r="AB643" i="1"/>
  <c r="AA643" i="1"/>
  <c r="Z643" i="1"/>
  <c r="B643" i="1"/>
  <c r="Z642" i="1"/>
  <c r="B642" i="1"/>
  <c r="Z641" i="1"/>
  <c r="B641" i="1"/>
  <c r="AA640" i="1"/>
  <c r="Z640" i="1"/>
  <c r="B640" i="1"/>
  <c r="Z639" i="1"/>
  <c r="B639" i="1"/>
  <c r="Z638" i="1"/>
  <c r="B638" i="1"/>
  <c r="AB637" i="1"/>
  <c r="AA637" i="1"/>
  <c r="Z637" i="1"/>
  <c r="B637" i="1"/>
  <c r="AA636" i="1"/>
  <c r="Z636" i="1"/>
  <c r="B636" i="1"/>
  <c r="AB635" i="1"/>
  <c r="AA635" i="1"/>
  <c r="Z635" i="1"/>
  <c r="B635" i="1"/>
  <c r="AB634" i="1"/>
  <c r="AA634" i="1"/>
  <c r="Z634" i="1"/>
  <c r="B634" i="1"/>
  <c r="AB633" i="1"/>
  <c r="AA633" i="1"/>
  <c r="Z633" i="1"/>
  <c r="B633" i="1"/>
  <c r="AB632" i="1"/>
  <c r="AA632" i="1"/>
  <c r="Z632" i="1"/>
  <c r="B632" i="1"/>
  <c r="Z631" i="1"/>
  <c r="B631" i="1"/>
  <c r="AB630" i="1"/>
  <c r="AA630" i="1"/>
  <c r="Z630" i="1"/>
  <c r="B630" i="1"/>
  <c r="AB629" i="1"/>
  <c r="AA629" i="1"/>
  <c r="Z629" i="1"/>
  <c r="B629" i="1"/>
  <c r="AB628" i="1"/>
  <c r="AA628" i="1"/>
  <c r="Z628" i="1"/>
  <c r="B628" i="1"/>
  <c r="AB627" i="1"/>
  <c r="AA627" i="1"/>
  <c r="Z627" i="1"/>
  <c r="B627" i="1"/>
  <c r="AB626" i="1"/>
  <c r="AA626" i="1"/>
  <c r="Z626" i="1"/>
  <c r="B626" i="1"/>
  <c r="AB625" i="1"/>
  <c r="AA625" i="1"/>
  <c r="Z625" i="1"/>
  <c r="B625" i="1"/>
  <c r="AB624" i="1"/>
  <c r="AA624" i="1"/>
  <c r="Z624" i="1"/>
  <c r="B624" i="1"/>
  <c r="AB623" i="1"/>
  <c r="AA623" i="1"/>
  <c r="Z623" i="1"/>
  <c r="B623" i="1"/>
  <c r="AB622" i="1"/>
  <c r="AA622" i="1"/>
  <c r="Z622" i="1"/>
  <c r="B622" i="1"/>
  <c r="AB621" i="1"/>
  <c r="AA621" i="1"/>
  <c r="Z621" i="1"/>
  <c r="B621" i="1"/>
  <c r="AB620" i="1"/>
  <c r="AA620" i="1"/>
  <c r="Z620" i="1"/>
  <c r="B620" i="1"/>
  <c r="AB619" i="1"/>
  <c r="AA619" i="1"/>
  <c r="Z619" i="1"/>
  <c r="B619" i="1"/>
  <c r="AB618" i="1"/>
  <c r="AA618" i="1"/>
  <c r="Z618" i="1"/>
  <c r="B618" i="1"/>
  <c r="AB617" i="1"/>
  <c r="Z617" i="1"/>
  <c r="B617" i="1"/>
  <c r="AA616" i="1"/>
  <c r="Z616" i="1"/>
  <c r="B616" i="1"/>
  <c r="AB615" i="1"/>
  <c r="AA615" i="1"/>
  <c r="Z615" i="1"/>
  <c r="B615" i="1"/>
  <c r="AZ614" i="1"/>
  <c r="AB614" i="1"/>
  <c r="AA614" i="1"/>
  <c r="Z614" i="1"/>
  <c r="B614" i="1"/>
  <c r="Z613" i="1"/>
  <c r="B613" i="1"/>
  <c r="AB612" i="1"/>
  <c r="AA612" i="1"/>
  <c r="Z612" i="1"/>
  <c r="B612" i="1"/>
  <c r="AZ611" i="1"/>
  <c r="AB611" i="1"/>
  <c r="Z611" i="1"/>
  <c r="B611" i="1"/>
  <c r="AB610" i="1"/>
  <c r="AA610" i="1"/>
  <c r="Z610" i="1"/>
  <c r="B610" i="1"/>
  <c r="AZ609" i="1"/>
  <c r="AB609" i="1"/>
  <c r="AA609" i="1"/>
  <c r="Z609" i="1"/>
  <c r="B609" i="1"/>
  <c r="AB608" i="1"/>
  <c r="Z608" i="1"/>
  <c r="B608" i="1"/>
  <c r="AB607" i="1"/>
  <c r="AA607" i="1"/>
  <c r="Z607" i="1"/>
  <c r="B607" i="1"/>
  <c r="AZ606" i="1"/>
  <c r="AB606" i="1"/>
  <c r="AA606" i="1"/>
  <c r="Z606" i="1"/>
  <c r="B606" i="1"/>
  <c r="AZ605" i="1"/>
  <c r="AB605" i="1"/>
  <c r="AA605" i="1"/>
  <c r="Z605" i="1"/>
  <c r="B605" i="1"/>
  <c r="AZ604" i="1"/>
  <c r="AB604" i="1"/>
  <c r="AA604" i="1"/>
  <c r="Z604" i="1"/>
  <c r="B604" i="1"/>
  <c r="AZ603" i="1"/>
  <c r="AB603" i="1"/>
  <c r="AA603" i="1"/>
  <c r="Z603" i="1"/>
  <c r="B603" i="1"/>
  <c r="AZ602" i="1"/>
  <c r="AB602" i="1"/>
  <c r="AA602" i="1"/>
  <c r="Z602" i="1"/>
  <c r="B602" i="1"/>
  <c r="AZ601" i="1"/>
  <c r="AB601" i="1"/>
  <c r="AA601" i="1"/>
  <c r="Z601" i="1"/>
  <c r="B601" i="1"/>
  <c r="AZ600" i="1"/>
  <c r="AB600" i="1"/>
  <c r="AA600" i="1"/>
  <c r="Z600" i="1"/>
  <c r="B600" i="1"/>
  <c r="AZ599" i="1"/>
  <c r="AB599" i="1"/>
  <c r="AA599" i="1"/>
  <c r="Z599" i="1"/>
  <c r="B599" i="1"/>
  <c r="AZ598" i="1"/>
  <c r="AB598" i="1"/>
  <c r="AA598" i="1"/>
  <c r="Z598" i="1"/>
  <c r="B598" i="1"/>
  <c r="AZ597" i="1"/>
  <c r="AB597" i="1"/>
  <c r="AA597" i="1"/>
  <c r="Z597" i="1"/>
  <c r="B597" i="1"/>
  <c r="AB596" i="1"/>
  <c r="AA596" i="1"/>
  <c r="Z596" i="1"/>
  <c r="B596" i="1"/>
  <c r="AB595" i="1"/>
  <c r="AA595" i="1"/>
  <c r="Z595" i="1"/>
  <c r="B595" i="1"/>
  <c r="AZ594" i="1"/>
  <c r="AB594" i="1"/>
  <c r="AA594" i="1"/>
  <c r="Z594" i="1"/>
  <c r="B594" i="1"/>
  <c r="AZ593" i="1"/>
  <c r="AB593" i="1"/>
  <c r="AA593" i="1"/>
  <c r="Z593" i="1"/>
  <c r="B593" i="1"/>
  <c r="AB592" i="1"/>
  <c r="AA592" i="1"/>
  <c r="Z592" i="1"/>
  <c r="B592" i="1"/>
  <c r="AZ591" i="1"/>
  <c r="AB591" i="1"/>
  <c r="AA591" i="1"/>
  <c r="Z591" i="1"/>
  <c r="B591" i="1"/>
  <c r="AB590" i="1"/>
  <c r="AA590" i="1"/>
  <c r="Z590" i="1"/>
  <c r="B590" i="1"/>
  <c r="AZ589" i="1"/>
  <c r="AB589" i="1"/>
  <c r="AA589" i="1"/>
  <c r="Z589" i="1"/>
  <c r="B589" i="1"/>
  <c r="AB588" i="1"/>
  <c r="AA588" i="1"/>
  <c r="Z588" i="1"/>
  <c r="B588" i="1"/>
  <c r="AB587" i="1"/>
  <c r="AA587" i="1"/>
  <c r="Z587" i="1"/>
  <c r="B587" i="1"/>
  <c r="AZ586" i="1"/>
  <c r="AB586" i="1"/>
  <c r="AA586" i="1"/>
  <c r="Z586" i="1"/>
  <c r="B586" i="1"/>
  <c r="AZ585" i="1"/>
  <c r="AB585" i="1"/>
  <c r="AA585" i="1"/>
  <c r="Z585" i="1"/>
  <c r="B585" i="1"/>
  <c r="AZ584" i="1"/>
  <c r="AB584" i="1"/>
  <c r="AA584" i="1"/>
  <c r="Z584" i="1"/>
  <c r="B584" i="1"/>
  <c r="AB583" i="1"/>
  <c r="Z583" i="1"/>
  <c r="B583" i="1"/>
  <c r="AB582" i="1"/>
  <c r="AA582" i="1"/>
  <c r="Z582" i="1"/>
  <c r="B582" i="1"/>
  <c r="AB581" i="1"/>
  <c r="Z581" i="1"/>
  <c r="B581" i="1"/>
  <c r="AB580" i="1"/>
  <c r="Z580" i="1"/>
  <c r="B580" i="1"/>
  <c r="AB579" i="1"/>
  <c r="AA579" i="1"/>
  <c r="Z579" i="1"/>
  <c r="B579" i="1"/>
  <c r="AB578" i="1"/>
  <c r="AA578" i="1"/>
  <c r="Z578" i="1"/>
  <c r="B578" i="1"/>
  <c r="AB577" i="1"/>
  <c r="AA577" i="1"/>
  <c r="Z577" i="1"/>
  <c r="B577" i="1"/>
  <c r="AB576" i="1"/>
  <c r="AA576" i="1"/>
  <c r="Z576" i="1"/>
  <c r="B576" i="1"/>
  <c r="AZ575" i="1"/>
  <c r="AB575" i="1"/>
  <c r="Z575" i="1"/>
  <c r="B575" i="1"/>
  <c r="AB574" i="1"/>
  <c r="AA574" i="1"/>
  <c r="Z574" i="1"/>
  <c r="B574" i="1"/>
  <c r="AA573" i="1"/>
  <c r="Z573" i="1"/>
  <c r="B573" i="1"/>
  <c r="AB572" i="1"/>
  <c r="AA572" i="1"/>
  <c r="Z572" i="1"/>
  <c r="B572" i="1"/>
  <c r="AZ571" i="1"/>
  <c r="AB571" i="1"/>
  <c r="AA571" i="1"/>
  <c r="Z571" i="1"/>
  <c r="B571" i="1"/>
  <c r="AZ570" i="1"/>
  <c r="AA570" i="1"/>
  <c r="Z570" i="1"/>
  <c r="B570" i="1"/>
  <c r="AB569" i="1"/>
  <c r="AA569" i="1"/>
  <c r="Z569" i="1"/>
  <c r="B569" i="1"/>
  <c r="AZ568" i="1"/>
  <c r="AB568" i="1"/>
  <c r="AA568" i="1"/>
  <c r="Z568" i="1"/>
  <c r="B568" i="1"/>
  <c r="AA567" i="1"/>
  <c r="Z567" i="1"/>
  <c r="B567" i="1"/>
  <c r="AZ566" i="1"/>
  <c r="AB566" i="1"/>
  <c r="AA566" i="1"/>
  <c r="Z566" i="1"/>
  <c r="B566" i="1"/>
  <c r="AB565" i="1"/>
  <c r="AA565" i="1"/>
  <c r="Z565" i="1"/>
  <c r="B565" i="1"/>
  <c r="AZ564" i="1"/>
  <c r="AB564" i="1"/>
  <c r="AA564" i="1"/>
  <c r="Z564" i="1"/>
  <c r="B564" i="1"/>
  <c r="AZ563" i="1"/>
  <c r="AB563" i="1"/>
  <c r="AA563" i="1"/>
  <c r="Z563" i="1"/>
  <c r="B563" i="1"/>
  <c r="AB562" i="1"/>
  <c r="AA562" i="1"/>
  <c r="Z562" i="1"/>
  <c r="B562" i="1"/>
  <c r="AB561" i="1"/>
  <c r="AA561" i="1"/>
  <c r="Z561" i="1"/>
  <c r="B561" i="1"/>
  <c r="AB560" i="1"/>
  <c r="AA560" i="1"/>
  <c r="Z560" i="1"/>
  <c r="B560" i="1"/>
  <c r="AB559" i="1"/>
  <c r="AA559" i="1"/>
  <c r="Z559" i="1"/>
  <c r="B559" i="1"/>
  <c r="AB558" i="1"/>
  <c r="AA558" i="1"/>
  <c r="Z558" i="1"/>
  <c r="B558" i="1"/>
  <c r="AB557" i="1"/>
  <c r="AA557" i="1"/>
  <c r="Z557" i="1"/>
  <c r="B557" i="1"/>
  <c r="AB556" i="1"/>
  <c r="AA556" i="1"/>
  <c r="Z556" i="1"/>
  <c r="B556" i="1"/>
  <c r="AB555" i="1"/>
  <c r="Z555" i="1"/>
  <c r="B555" i="1"/>
  <c r="AB554" i="1"/>
  <c r="AA554" i="1"/>
  <c r="Z554" i="1"/>
  <c r="B554" i="1"/>
  <c r="AB553" i="1"/>
  <c r="AA553" i="1"/>
  <c r="Z553" i="1"/>
  <c r="B553" i="1"/>
  <c r="AZ552" i="1"/>
  <c r="AB552" i="1"/>
  <c r="AA552" i="1"/>
  <c r="Z552" i="1"/>
  <c r="B552" i="1"/>
  <c r="AZ551" i="1"/>
  <c r="AB551" i="1"/>
  <c r="AA551" i="1"/>
  <c r="Z551" i="1"/>
  <c r="B551" i="1"/>
  <c r="AZ550" i="1"/>
  <c r="AB550" i="1"/>
  <c r="AA550" i="1"/>
  <c r="Z550" i="1"/>
  <c r="B550" i="1"/>
  <c r="AB549" i="1"/>
  <c r="AA549" i="1"/>
  <c r="Z549" i="1"/>
  <c r="B549" i="1"/>
  <c r="AB548" i="1"/>
  <c r="AA548" i="1"/>
  <c r="Z548" i="1"/>
  <c r="B548" i="1"/>
  <c r="AB547" i="1"/>
  <c r="AA547" i="1"/>
  <c r="Z547" i="1"/>
  <c r="B547" i="1"/>
  <c r="AB546" i="1"/>
  <c r="Z546" i="1"/>
  <c r="B546" i="1"/>
  <c r="AB545" i="1"/>
  <c r="AA545" i="1"/>
  <c r="Z545" i="1"/>
  <c r="B545" i="1"/>
  <c r="AZ544" i="1"/>
  <c r="AB544" i="1"/>
  <c r="AA544" i="1"/>
  <c r="Z544" i="1"/>
  <c r="B544" i="1"/>
  <c r="AB543" i="1"/>
  <c r="AA543" i="1"/>
  <c r="Z543" i="1"/>
  <c r="B543" i="1"/>
  <c r="AB542" i="1"/>
  <c r="AA542" i="1"/>
  <c r="Z542" i="1"/>
  <c r="B542" i="1"/>
  <c r="AB541" i="1"/>
  <c r="AA541" i="1"/>
  <c r="Z541" i="1"/>
  <c r="B541" i="1"/>
  <c r="AB540" i="1"/>
  <c r="AA540" i="1"/>
  <c r="Z540" i="1"/>
  <c r="B540" i="1"/>
  <c r="AB539" i="1"/>
  <c r="AA539" i="1"/>
  <c r="Z539" i="1"/>
  <c r="B539" i="1"/>
  <c r="AB538" i="1"/>
  <c r="AA538" i="1"/>
  <c r="Z538" i="1"/>
  <c r="B538" i="1"/>
  <c r="AB537" i="1"/>
  <c r="AA537" i="1"/>
  <c r="Z537" i="1"/>
  <c r="B537" i="1"/>
  <c r="AB536" i="1"/>
  <c r="AA536" i="1"/>
  <c r="Z536" i="1"/>
  <c r="B536" i="1"/>
  <c r="AZ535" i="1"/>
  <c r="AB535" i="1"/>
  <c r="AA535" i="1"/>
  <c r="Z535" i="1"/>
  <c r="B535" i="1"/>
  <c r="AB534" i="1"/>
  <c r="AA534" i="1"/>
  <c r="Z534" i="1"/>
  <c r="B534" i="1"/>
  <c r="AZ533" i="1"/>
  <c r="AB533" i="1"/>
  <c r="AA533" i="1"/>
  <c r="Z533" i="1"/>
  <c r="B533" i="1"/>
  <c r="AB532" i="1"/>
  <c r="AA532" i="1"/>
  <c r="Z532" i="1"/>
  <c r="B532" i="1"/>
  <c r="AB531" i="1"/>
  <c r="AA531" i="1"/>
  <c r="Z531" i="1"/>
  <c r="B531" i="1"/>
  <c r="AB530" i="1"/>
  <c r="AA530" i="1"/>
  <c r="Z530" i="1"/>
  <c r="B530" i="1"/>
  <c r="AZ529" i="1"/>
  <c r="AB529" i="1"/>
  <c r="AA529" i="1"/>
  <c r="Z529" i="1"/>
  <c r="B529" i="1"/>
  <c r="AB528" i="1"/>
  <c r="AA528" i="1"/>
  <c r="Z528" i="1"/>
  <c r="B528" i="1"/>
  <c r="AB527" i="1"/>
  <c r="AA527" i="1"/>
  <c r="Z527" i="1"/>
  <c r="B527" i="1"/>
  <c r="AB526" i="1"/>
  <c r="AA526" i="1"/>
  <c r="Z526" i="1"/>
  <c r="B526" i="1"/>
  <c r="AA525" i="1"/>
  <c r="Z525" i="1"/>
  <c r="B525" i="1"/>
  <c r="AZ524" i="1"/>
  <c r="AB524" i="1"/>
  <c r="AA524" i="1"/>
  <c r="Z524" i="1"/>
  <c r="B524" i="1"/>
  <c r="AB523" i="1"/>
  <c r="Z523" i="1"/>
  <c r="B523" i="1"/>
  <c r="AA522" i="1"/>
  <c r="Z522" i="1"/>
  <c r="B522" i="1"/>
  <c r="AZ521" i="1"/>
  <c r="AB521" i="1"/>
  <c r="AA521" i="1"/>
  <c r="Z521" i="1"/>
  <c r="B521" i="1"/>
  <c r="AB520" i="1"/>
  <c r="AA520" i="1"/>
  <c r="Z520" i="1"/>
  <c r="B520" i="1"/>
  <c r="AB519" i="1"/>
  <c r="AA519" i="1"/>
  <c r="Z519" i="1"/>
  <c r="B519" i="1"/>
  <c r="AB518" i="1"/>
  <c r="AA518" i="1"/>
  <c r="Z518" i="1"/>
  <c r="B518" i="1"/>
  <c r="AB517" i="1"/>
  <c r="AA517" i="1"/>
  <c r="Z517" i="1"/>
  <c r="B517" i="1"/>
  <c r="AB516" i="1"/>
  <c r="AA516" i="1"/>
  <c r="Z516" i="1"/>
  <c r="B516" i="1"/>
  <c r="AB515" i="1"/>
  <c r="AA515" i="1"/>
  <c r="Z515" i="1"/>
  <c r="B515" i="1"/>
  <c r="AB514" i="1"/>
  <c r="AA514" i="1"/>
  <c r="Z514" i="1"/>
  <c r="B514" i="1"/>
  <c r="AB513" i="1"/>
  <c r="AA513" i="1"/>
  <c r="Z513" i="1"/>
  <c r="B513" i="1"/>
  <c r="AB512" i="1"/>
  <c r="AA512" i="1"/>
  <c r="Z512" i="1"/>
  <c r="B512" i="1"/>
  <c r="AB511" i="1"/>
  <c r="AA511" i="1"/>
  <c r="Z511" i="1"/>
  <c r="B511" i="1"/>
  <c r="AA510" i="1"/>
  <c r="Z510" i="1"/>
  <c r="B510" i="1"/>
  <c r="AZ509" i="1"/>
  <c r="AB509" i="1"/>
  <c r="AA509" i="1"/>
  <c r="Z509" i="1"/>
  <c r="B509" i="1"/>
  <c r="AZ508" i="1"/>
  <c r="AB508" i="1"/>
  <c r="AA508" i="1"/>
  <c r="Z508" i="1"/>
  <c r="B508" i="1"/>
  <c r="AZ507" i="1"/>
  <c r="AB507" i="1"/>
  <c r="AA507" i="1"/>
  <c r="Z507" i="1"/>
  <c r="B507" i="1"/>
  <c r="AZ506" i="1"/>
  <c r="AB506" i="1"/>
  <c r="AA506" i="1"/>
  <c r="Z506" i="1"/>
  <c r="B506" i="1"/>
  <c r="AZ505" i="1"/>
  <c r="AB505" i="1"/>
  <c r="AA505" i="1"/>
  <c r="Z505" i="1"/>
  <c r="B505" i="1"/>
  <c r="Z504" i="1"/>
  <c r="B504" i="1"/>
  <c r="AZ503" i="1"/>
  <c r="AB503" i="1"/>
  <c r="AA503" i="1"/>
  <c r="Z503" i="1"/>
  <c r="B503" i="1"/>
  <c r="AA502" i="1"/>
  <c r="Z502" i="1"/>
  <c r="B502" i="1"/>
  <c r="AA501" i="1"/>
  <c r="Z501" i="1"/>
  <c r="B501" i="1"/>
  <c r="Z500" i="1"/>
  <c r="B500" i="1"/>
  <c r="AB499" i="1"/>
  <c r="Z499" i="1"/>
  <c r="B499" i="1"/>
  <c r="AB498" i="1"/>
  <c r="AA498" i="1"/>
  <c r="Z498" i="1"/>
  <c r="B498" i="1"/>
  <c r="AA497" i="1"/>
  <c r="Z497" i="1"/>
  <c r="B497" i="1"/>
  <c r="AB496" i="1"/>
  <c r="Z496" i="1"/>
  <c r="B496" i="1"/>
  <c r="AB495" i="1"/>
  <c r="AA495" i="1"/>
  <c r="Z495" i="1"/>
  <c r="B495" i="1"/>
  <c r="AB494" i="1"/>
  <c r="Z494" i="1"/>
  <c r="B494" i="1"/>
  <c r="AB493" i="1"/>
  <c r="Z493" i="1"/>
  <c r="B493" i="1"/>
  <c r="AB492" i="1"/>
  <c r="AA492" i="1"/>
  <c r="Z492" i="1"/>
  <c r="B492" i="1"/>
  <c r="AZ491" i="1"/>
  <c r="AB491" i="1"/>
  <c r="AA491" i="1"/>
  <c r="Z491" i="1"/>
  <c r="B491" i="1"/>
  <c r="AB490" i="1"/>
  <c r="AA490" i="1"/>
  <c r="Z490" i="1"/>
  <c r="B490" i="1"/>
  <c r="AB489" i="1"/>
  <c r="AA489" i="1"/>
  <c r="Z489" i="1"/>
  <c r="B489" i="1"/>
  <c r="AB488" i="1"/>
  <c r="AA488" i="1"/>
  <c r="Z488" i="1"/>
  <c r="B488" i="1"/>
  <c r="AB487" i="1"/>
  <c r="AA487" i="1"/>
  <c r="Z487" i="1"/>
  <c r="B487" i="1"/>
  <c r="AB486" i="1"/>
  <c r="Z486" i="1"/>
  <c r="B486" i="1"/>
  <c r="AZ485" i="1"/>
  <c r="AB485" i="1"/>
  <c r="AA485" i="1"/>
  <c r="Z485" i="1"/>
  <c r="B485" i="1"/>
  <c r="AB484" i="1"/>
  <c r="AA484" i="1"/>
  <c r="Z484" i="1"/>
  <c r="B484" i="1"/>
  <c r="AZ483" i="1"/>
  <c r="AB483" i="1"/>
  <c r="AA483" i="1"/>
  <c r="Z483" i="1"/>
  <c r="B483" i="1"/>
  <c r="AB482" i="1"/>
  <c r="AA482" i="1"/>
  <c r="Z482" i="1"/>
  <c r="B482" i="1"/>
  <c r="AB481" i="1"/>
  <c r="AA481" i="1"/>
  <c r="Z481" i="1"/>
  <c r="B481" i="1"/>
  <c r="AB480" i="1"/>
  <c r="Z480" i="1"/>
  <c r="B480" i="1"/>
  <c r="AB479" i="1"/>
  <c r="AA479" i="1"/>
  <c r="Z479" i="1"/>
  <c r="B479" i="1"/>
  <c r="AB478" i="1"/>
  <c r="AA478" i="1"/>
  <c r="Z478" i="1"/>
  <c r="B478" i="1"/>
  <c r="AZ477" i="1"/>
  <c r="AB477" i="1"/>
  <c r="AA477" i="1"/>
  <c r="Z477" i="1"/>
  <c r="B477" i="1"/>
  <c r="AA476" i="1"/>
  <c r="Z476" i="1"/>
  <c r="B476" i="1"/>
  <c r="AZ475" i="1"/>
  <c r="AB475" i="1"/>
  <c r="AA475" i="1"/>
  <c r="Z475" i="1"/>
  <c r="B475" i="1"/>
  <c r="AZ474" i="1"/>
  <c r="AB474" i="1"/>
  <c r="AA474" i="1"/>
  <c r="Z474" i="1"/>
  <c r="B474" i="1"/>
  <c r="AB473" i="1"/>
  <c r="AA473" i="1"/>
  <c r="Z473" i="1"/>
  <c r="B473" i="1"/>
  <c r="AB472" i="1"/>
  <c r="AA472" i="1"/>
  <c r="Z472" i="1"/>
  <c r="B472" i="1"/>
  <c r="AB471" i="1"/>
  <c r="AA471" i="1"/>
  <c r="Z471" i="1"/>
  <c r="B471" i="1"/>
  <c r="AB470" i="1"/>
  <c r="AA470" i="1"/>
  <c r="Z470" i="1"/>
  <c r="B470" i="1"/>
  <c r="Z469" i="1"/>
  <c r="B469" i="1"/>
  <c r="AB468" i="1"/>
  <c r="Z468" i="1"/>
  <c r="B468" i="1"/>
  <c r="AB467" i="1"/>
  <c r="AA467" i="1"/>
  <c r="Z467" i="1"/>
  <c r="P467" i="1"/>
  <c r="B467" i="1"/>
  <c r="AA466" i="1"/>
  <c r="Z466" i="1"/>
  <c r="B466" i="1"/>
  <c r="AB465" i="1"/>
  <c r="AA465" i="1"/>
  <c r="Z465" i="1"/>
  <c r="B465" i="1"/>
  <c r="AB464" i="1"/>
  <c r="AA464" i="1"/>
  <c r="Z464" i="1"/>
  <c r="B464" i="1"/>
  <c r="AB463" i="1"/>
  <c r="AA463" i="1"/>
  <c r="Z463" i="1"/>
  <c r="B463" i="1"/>
  <c r="AB462" i="1"/>
  <c r="Z462" i="1"/>
  <c r="B462" i="1"/>
  <c r="AB461" i="1"/>
  <c r="Z461" i="1"/>
  <c r="B461" i="1"/>
  <c r="Z460" i="1"/>
  <c r="B460" i="1"/>
  <c r="AB459" i="1"/>
  <c r="AA459" i="1"/>
  <c r="Z459" i="1"/>
  <c r="B459" i="1"/>
  <c r="Z458" i="1"/>
  <c r="B458" i="1"/>
  <c r="AB457" i="1"/>
  <c r="AA457" i="1"/>
  <c r="Z457" i="1"/>
  <c r="B457" i="1"/>
  <c r="AB456" i="1"/>
  <c r="AA456" i="1"/>
  <c r="Z456" i="1"/>
  <c r="B456" i="1"/>
  <c r="AB455" i="1"/>
  <c r="Z455" i="1"/>
  <c r="B455" i="1"/>
  <c r="AB454" i="1"/>
  <c r="AA454" i="1"/>
  <c r="Z454" i="1"/>
  <c r="B454" i="1"/>
  <c r="AB453" i="1"/>
  <c r="AA453" i="1"/>
  <c r="Z453" i="1"/>
  <c r="B453" i="1"/>
  <c r="Z452" i="1"/>
  <c r="B452" i="1"/>
  <c r="Z451" i="1"/>
  <c r="B451" i="1"/>
  <c r="Z450" i="1"/>
  <c r="B450" i="1"/>
  <c r="AB449" i="1"/>
  <c r="Z449" i="1"/>
  <c r="B449" i="1"/>
  <c r="AB448" i="1"/>
  <c r="Z448" i="1"/>
  <c r="B448" i="1"/>
  <c r="AA447" i="1"/>
  <c r="Z447" i="1"/>
  <c r="B447" i="1"/>
  <c r="AB446" i="1"/>
  <c r="AA446" i="1"/>
  <c r="Z446" i="1"/>
  <c r="B446" i="1"/>
  <c r="AB445" i="1"/>
  <c r="AA445" i="1"/>
  <c r="Z445" i="1"/>
  <c r="B445" i="1"/>
  <c r="Z444" i="1"/>
  <c r="B444" i="1"/>
  <c r="Z443" i="1"/>
  <c r="B443" i="1"/>
  <c r="AB442" i="1"/>
  <c r="Z442" i="1"/>
  <c r="B442" i="1"/>
  <c r="AB441" i="1"/>
  <c r="Z441" i="1"/>
  <c r="B441" i="1"/>
  <c r="AB440" i="1"/>
  <c r="Z440" i="1"/>
  <c r="B440" i="1"/>
  <c r="Z439" i="1"/>
  <c r="B439" i="1"/>
  <c r="AB438" i="1"/>
  <c r="Z438" i="1"/>
  <c r="B438" i="1"/>
  <c r="Z437" i="1"/>
  <c r="B437" i="1"/>
  <c r="AB436" i="1"/>
  <c r="AA436" i="1"/>
  <c r="Z436" i="1"/>
  <c r="B436" i="1"/>
  <c r="Z435" i="1"/>
  <c r="B435" i="1"/>
  <c r="AB434" i="1"/>
  <c r="AA434" i="1"/>
  <c r="Z434" i="1"/>
  <c r="B434" i="1"/>
  <c r="Z433" i="1"/>
  <c r="B433" i="1"/>
  <c r="AZ432" i="1"/>
  <c r="AB432" i="1"/>
  <c r="AA432" i="1"/>
  <c r="Z432" i="1"/>
  <c r="B432" i="1"/>
  <c r="AB431" i="1"/>
  <c r="AA431" i="1"/>
  <c r="Z431" i="1"/>
  <c r="B431" i="1"/>
  <c r="AB430" i="1"/>
  <c r="AA430" i="1"/>
  <c r="Z430" i="1"/>
  <c r="B430" i="1"/>
  <c r="AB429" i="1"/>
  <c r="Z429" i="1"/>
  <c r="B429" i="1"/>
  <c r="AB428" i="1"/>
  <c r="AA428" i="1"/>
  <c r="Z428" i="1"/>
  <c r="B428" i="1"/>
  <c r="AB427" i="1"/>
  <c r="AA427" i="1"/>
  <c r="Z427" i="1"/>
  <c r="B427" i="1"/>
  <c r="AB426" i="1"/>
  <c r="AA426" i="1"/>
  <c r="Z426" i="1"/>
  <c r="B426" i="1"/>
  <c r="AB425" i="1"/>
  <c r="AA425" i="1"/>
  <c r="Z425" i="1"/>
  <c r="B425" i="1"/>
  <c r="AB424" i="1"/>
  <c r="AA424" i="1"/>
  <c r="Z424" i="1"/>
  <c r="B424" i="1"/>
  <c r="AB423" i="1"/>
  <c r="AA423" i="1"/>
  <c r="Z423" i="1"/>
  <c r="B423" i="1"/>
  <c r="AA422" i="1"/>
  <c r="Z422" i="1"/>
  <c r="B422" i="1"/>
  <c r="AB421" i="1"/>
  <c r="AA421" i="1"/>
  <c r="Z421" i="1"/>
  <c r="B421" i="1"/>
  <c r="AB420" i="1"/>
  <c r="AA420" i="1"/>
  <c r="Z420" i="1"/>
  <c r="B420" i="1"/>
  <c r="AB419" i="1"/>
  <c r="AA419" i="1"/>
  <c r="Z419" i="1"/>
  <c r="B419" i="1"/>
  <c r="AB418" i="1"/>
  <c r="AA418" i="1"/>
  <c r="Z418" i="1"/>
  <c r="B418" i="1"/>
  <c r="AB417" i="1"/>
  <c r="AA417" i="1"/>
  <c r="Z417" i="1"/>
  <c r="B417" i="1"/>
  <c r="AB416" i="1"/>
  <c r="AA416" i="1"/>
  <c r="Z416" i="1"/>
  <c r="B416" i="1"/>
  <c r="AB415" i="1"/>
  <c r="AA415" i="1"/>
  <c r="Z415" i="1"/>
  <c r="B415" i="1"/>
  <c r="AB414" i="1"/>
  <c r="AA414" i="1"/>
  <c r="Z414" i="1"/>
  <c r="B414" i="1"/>
  <c r="AB413" i="1"/>
  <c r="AA413" i="1"/>
  <c r="Z413" i="1"/>
  <c r="B413" i="1"/>
  <c r="AB412" i="1"/>
  <c r="AA412" i="1"/>
  <c r="Z412" i="1"/>
  <c r="B412" i="1"/>
  <c r="AB411" i="1"/>
  <c r="AA411" i="1"/>
  <c r="Z411" i="1"/>
  <c r="B411" i="1"/>
  <c r="AB410" i="1"/>
  <c r="AA410" i="1"/>
  <c r="Z410" i="1"/>
  <c r="B410" i="1"/>
  <c r="AB409" i="1"/>
  <c r="AA409" i="1"/>
  <c r="Z409" i="1"/>
  <c r="B409" i="1"/>
  <c r="AB408" i="1"/>
  <c r="AA408" i="1"/>
  <c r="Z408" i="1"/>
  <c r="B408" i="1"/>
  <c r="AB407" i="1"/>
  <c r="AA407" i="1"/>
  <c r="Z407" i="1"/>
  <c r="B407" i="1"/>
  <c r="AB406" i="1"/>
  <c r="AA406" i="1"/>
  <c r="Z406" i="1"/>
  <c r="B406" i="1"/>
  <c r="AB405" i="1"/>
  <c r="AA405" i="1"/>
  <c r="Z405" i="1"/>
  <c r="B405" i="1"/>
  <c r="AB404" i="1"/>
  <c r="AA404" i="1"/>
  <c r="Z404" i="1"/>
  <c r="B404" i="1"/>
  <c r="AB403" i="1"/>
  <c r="AA403" i="1"/>
  <c r="Z403" i="1"/>
  <c r="B403" i="1"/>
  <c r="AB402" i="1"/>
  <c r="AA402" i="1"/>
  <c r="Z402" i="1"/>
  <c r="B402" i="1"/>
  <c r="AB401" i="1"/>
  <c r="AA401" i="1"/>
  <c r="Z401" i="1"/>
  <c r="B401" i="1"/>
  <c r="AB400" i="1"/>
  <c r="AA400" i="1"/>
  <c r="Z400" i="1"/>
  <c r="B400" i="1"/>
  <c r="AB399" i="1"/>
  <c r="AA399" i="1"/>
  <c r="Z399" i="1"/>
  <c r="B399" i="1"/>
  <c r="AB398" i="1"/>
  <c r="AA398" i="1"/>
  <c r="Z398" i="1"/>
  <c r="B398" i="1"/>
  <c r="AB397" i="1"/>
  <c r="AA397" i="1"/>
  <c r="Z397" i="1"/>
  <c r="B397" i="1"/>
  <c r="AB396" i="1"/>
  <c r="AA396" i="1"/>
  <c r="Z396" i="1"/>
  <c r="B396" i="1"/>
  <c r="AB395" i="1"/>
  <c r="AA395" i="1"/>
  <c r="Z395" i="1"/>
  <c r="B395" i="1"/>
  <c r="AB394" i="1"/>
  <c r="Z394" i="1"/>
  <c r="B394" i="1"/>
  <c r="AB393" i="1"/>
  <c r="AA393" i="1"/>
  <c r="Z393" i="1"/>
  <c r="B393" i="1"/>
  <c r="AB392" i="1"/>
  <c r="AA392" i="1"/>
  <c r="Z392" i="1"/>
  <c r="B392" i="1"/>
  <c r="AB391" i="1"/>
  <c r="AA391" i="1"/>
  <c r="Z391" i="1"/>
  <c r="B391" i="1"/>
  <c r="AB390" i="1"/>
  <c r="AA390" i="1"/>
  <c r="Z390" i="1"/>
  <c r="B390" i="1"/>
  <c r="AA389" i="1"/>
  <c r="Z389" i="1"/>
  <c r="O389" i="1"/>
  <c r="B389" i="1"/>
  <c r="AB388" i="1"/>
  <c r="AA388" i="1"/>
  <c r="Z388" i="1"/>
  <c r="B388" i="1"/>
  <c r="AB387" i="1"/>
  <c r="AA387" i="1"/>
  <c r="Z387" i="1"/>
  <c r="B387" i="1"/>
  <c r="AB386" i="1"/>
  <c r="Z386" i="1"/>
  <c r="B386" i="1"/>
  <c r="AB385" i="1"/>
  <c r="Z385" i="1"/>
  <c r="B385" i="1"/>
  <c r="AB384" i="1"/>
  <c r="AA384" i="1"/>
  <c r="Z384" i="1"/>
  <c r="B384" i="1"/>
  <c r="AB383" i="1"/>
  <c r="AA383" i="1"/>
  <c r="Z383" i="1"/>
  <c r="B383" i="1"/>
  <c r="AB382" i="1"/>
  <c r="AA382" i="1"/>
  <c r="Z382" i="1"/>
  <c r="B382" i="1"/>
  <c r="AB381" i="1"/>
  <c r="AA381" i="1"/>
  <c r="Z381" i="1"/>
  <c r="B381" i="1"/>
  <c r="AB380" i="1"/>
  <c r="Z380" i="1"/>
  <c r="B380" i="1"/>
  <c r="AZ379" i="1"/>
  <c r="AB379" i="1"/>
  <c r="Z379" i="1"/>
  <c r="B379" i="1"/>
  <c r="AB378" i="1"/>
  <c r="AA378" i="1"/>
  <c r="Z378" i="1"/>
  <c r="B378" i="1"/>
  <c r="AB377" i="1"/>
  <c r="Z377" i="1"/>
  <c r="B377" i="1"/>
  <c r="AB376" i="1"/>
  <c r="Z376" i="1"/>
  <c r="B376" i="1"/>
  <c r="AB375" i="1"/>
  <c r="AA375" i="1"/>
  <c r="Z375" i="1"/>
  <c r="B375" i="1"/>
  <c r="AB374" i="1"/>
  <c r="Z374" i="1"/>
  <c r="B374" i="1"/>
  <c r="AB373" i="1"/>
  <c r="Z373" i="1"/>
  <c r="B373" i="1"/>
  <c r="AB372" i="1"/>
  <c r="AA372" i="1"/>
  <c r="Z372" i="1"/>
  <c r="B372" i="1"/>
  <c r="AB371" i="1"/>
  <c r="AA371" i="1"/>
  <c r="Z371" i="1"/>
  <c r="B371" i="1"/>
  <c r="AB370" i="1"/>
  <c r="AA370" i="1"/>
  <c r="Z370" i="1"/>
  <c r="B370" i="1"/>
  <c r="AB369" i="1"/>
  <c r="AA369" i="1"/>
  <c r="Z369" i="1"/>
  <c r="B369" i="1"/>
  <c r="AB368" i="1"/>
  <c r="Z368" i="1"/>
  <c r="B368" i="1"/>
  <c r="AB367" i="1"/>
  <c r="Z367" i="1"/>
  <c r="B367" i="1"/>
  <c r="AB366" i="1"/>
  <c r="Z366" i="1"/>
  <c r="B366" i="1"/>
  <c r="AA365" i="1"/>
  <c r="Z365" i="1"/>
  <c r="B365" i="1"/>
  <c r="AA364" i="1"/>
  <c r="Z364" i="1"/>
  <c r="B364" i="1"/>
  <c r="AB363" i="1"/>
  <c r="AA363" i="1"/>
  <c r="Z363" i="1"/>
  <c r="B363" i="1"/>
  <c r="AB362" i="1"/>
  <c r="AA362" i="1"/>
  <c r="Z362" i="1"/>
  <c r="B362" i="1"/>
  <c r="AB361" i="1"/>
  <c r="AA361" i="1"/>
  <c r="Z361" i="1"/>
  <c r="B361" i="1"/>
  <c r="AB360" i="1"/>
  <c r="AA360" i="1"/>
  <c r="Z360" i="1"/>
  <c r="B360" i="1"/>
  <c r="AB359" i="1"/>
  <c r="Z359" i="1"/>
  <c r="B359" i="1"/>
  <c r="AB358" i="1"/>
  <c r="AA358" i="1"/>
  <c r="Z358" i="1"/>
  <c r="B358" i="1"/>
  <c r="AB357" i="1"/>
  <c r="AA357" i="1"/>
  <c r="Z357" i="1"/>
  <c r="B357" i="1"/>
  <c r="AB356" i="1"/>
  <c r="Z356" i="1"/>
  <c r="B356" i="1"/>
  <c r="AB355" i="1"/>
  <c r="AA355" i="1"/>
  <c r="Z355" i="1"/>
  <c r="B355" i="1"/>
  <c r="Z354" i="1"/>
  <c r="B354" i="1"/>
  <c r="AB353" i="1"/>
  <c r="AA353" i="1"/>
  <c r="Z353" i="1"/>
  <c r="B353" i="1"/>
  <c r="AB352" i="1"/>
  <c r="AA352" i="1"/>
  <c r="Z352" i="1"/>
  <c r="B352" i="1"/>
  <c r="AB351" i="1"/>
  <c r="AA351" i="1"/>
  <c r="Z351" i="1"/>
  <c r="B351" i="1"/>
  <c r="AB350" i="1"/>
  <c r="AA350" i="1"/>
  <c r="Z350" i="1"/>
  <c r="B350" i="1"/>
  <c r="AB349" i="1"/>
  <c r="Z349" i="1"/>
  <c r="B349" i="1"/>
  <c r="AB348" i="1"/>
  <c r="AA348" i="1"/>
  <c r="Z348" i="1"/>
  <c r="B348" i="1"/>
  <c r="AB347" i="1"/>
  <c r="AA347" i="1"/>
  <c r="Z347" i="1"/>
  <c r="B347" i="1"/>
  <c r="Z346" i="1"/>
  <c r="B346" i="1"/>
  <c r="AB345" i="1"/>
  <c r="Z345" i="1"/>
  <c r="B345" i="1"/>
  <c r="AB344" i="1"/>
  <c r="AA344" i="1"/>
  <c r="Z344" i="1"/>
  <c r="B344" i="1"/>
  <c r="Z343" i="1"/>
  <c r="B343" i="1"/>
  <c r="AB342" i="1"/>
  <c r="Z342" i="1"/>
  <c r="B342" i="1"/>
  <c r="AB341" i="1"/>
  <c r="Z341" i="1"/>
  <c r="B341" i="1"/>
  <c r="AB340" i="1"/>
  <c r="AA340" i="1"/>
  <c r="Z340" i="1"/>
  <c r="B340" i="1"/>
  <c r="AB339" i="1"/>
  <c r="Z339" i="1"/>
  <c r="B339" i="1"/>
  <c r="AB338" i="1"/>
  <c r="Z338" i="1"/>
  <c r="B338" i="1"/>
  <c r="AB337" i="1"/>
  <c r="Z337" i="1"/>
  <c r="B337" i="1"/>
  <c r="AA336" i="1"/>
  <c r="Z336" i="1"/>
  <c r="B336" i="1"/>
  <c r="AB335" i="1"/>
  <c r="AA335" i="1"/>
  <c r="Z335" i="1"/>
  <c r="B335" i="1"/>
  <c r="AZ334" i="1"/>
  <c r="AB334" i="1"/>
  <c r="AA334" i="1"/>
  <c r="Z334" i="1"/>
  <c r="B334" i="1"/>
  <c r="AB333" i="1"/>
  <c r="AA333" i="1"/>
  <c r="Z333" i="1"/>
  <c r="B333" i="1"/>
  <c r="AZ332" i="1"/>
  <c r="AA332" i="1"/>
  <c r="Z332" i="1"/>
  <c r="B332" i="1"/>
  <c r="AZ331" i="1"/>
  <c r="AB331" i="1"/>
  <c r="AA331" i="1"/>
  <c r="Z331" i="1"/>
  <c r="B331" i="1"/>
  <c r="AZ330" i="1"/>
  <c r="AB330" i="1"/>
  <c r="AA330" i="1"/>
  <c r="Z330" i="1"/>
  <c r="B330" i="1"/>
  <c r="AB329" i="1"/>
  <c r="AA329" i="1"/>
  <c r="Z329" i="1"/>
  <c r="B329" i="1"/>
  <c r="AB328" i="1"/>
  <c r="AA328" i="1"/>
  <c r="Z328" i="1"/>
  <c r="B328" i="1"/>
  <c r="AB327" i="1"/>
  <c r="AA327" i="1"/>
  <c r="Z327" i="1"/>
  <c r="B327" i="1"/>
  <c r="AB326" i="1"/>
  <c r="AA326" i="1"/>
  <c r="Z326" i="1"/>
  <c r="B326" i="1"/>
  <c r="AB325" i="1"/>
  <c r="AA325" i="1"/>
  <c r="Z325" i="1"/>
  <c r="B325" i="1"/>
  <c r="AB324" i="1"/>
  <c r="AA324" i="1"/>
  <c r="Z324" i="1"/>
  <c r="B324" i="1"/>
  <c r="AB323" i="1"/>
  <c r="AA323" i="1"/>
  <c r="Z323" i="1"/>
  <c r="B323" i="1"/>
  <c r="AB322" i="1"/>
  <c r="AA322" i="1"/>
  <c r="Z322" i="1"/>
  <c r="B322" i="1"/>
  <c r="AB321" i="1"/>
  <c r="AA321" i="1"/>
  <c r="Z321" i="1"/>
  <c r="B321" i="1"/>
  <c r="AB320" i="1"/>
  <c r="AA320" i="1"/>
  <c r="Z320" i="1"/>
  <c r="B320" i="1"/>
  <c r="AB319" i="1"/>
  <c r="AA319" i="1"/>
  <c r="Z319" i="1"/>
  <c r="B319" i="1"/>
  <c r="AB318" i="1"/>
  <c r="AA318" i="1"/>
  <c r="Z318" i="1"/>
  <c r="B318" i="1"/>
  <c r="AB317" i="1"/>
  <c r="AA317" i="1"/>
  <c r="Z317" i="1"/>
  <c r="B317" i="1"/>
  <c r="AZ316" i="1"/>
  <c r="AB316" i="1"/>
  <c r="AA316" i="1"/>
  <c r="Z316" i="1"/>
  <c r="B316" i="1"/>
  <c r="AB315" i="1"/>
  <c r="AA315" i="1"/>
  <c r="Z315" i="1"/>
  <c r="B315" i="1"/>
  <c r="AA314" i="1"/>
  <c r="Z314" i="1"/>
  <c r="B314" i="1"/>
  <c r="AB313" i="1"/>
  <c r="AA313" i="1"/>
  <c r="Z313" i="1"/>
  <c r="B313" i="1"/>
  <c r="AZ312" i="1"/>
  <c r="AB312" i="1"/>
  <c r="AA312" i="1"/>
  <c r="Z312" i="1"/>
  <c r="B312" i="1"/>
  <c r="Z311" i="1"/>
  <c r="B311" i="1"/>
  <c r="AA310" i="1"/>
  <c r="Z310" i="1"/>
  <c r="B310" i="1"/>
  <c r="AB309" i="1"/>
  <c r="Z309" i="1"/>
  <c r="B309" i="1"/>
  <c r="AA308" i="1"/>
  <c r="Z308" i="1"/>
  <c r="B308" i="1"/>
  <c r="AB307" i="1"/>
  <c r="AA307" i="1"/>
  <c r="Z307" i="1"/>
  <c r="B307" i="1"/>
  <c r="AB306" i="1"/>
  <c r="AA306" i="1"/>
  <c r="Z306" i="1"/>
  <c r="B306" i="1"/>
  <c r="AA305" i="1"/>
  <c r="Z305" i="1"/>
  <c r="B305" i="1"/>
  <c r="Z304" i="1"/>
  <c r="B304" i="1"/>
  <c r="AB303" i="1"/>
  <c r="Z303" i="1"/>
  <c r="B303" i="1"/>
  <c r="AB302" i="1"/>
  <c r="AA302" i="1"/>
  <c r="Z302" i="1"/>
  <c r="B302" i="1"/>
  <c r="AB301" i="1"/>
  <c r="AA301" i="1"/>
  <c r="Z301" i="1"/>
  <c r="B301" i="1"/>
  <c r="AB300" i="1"/>
  <c r="Z300" i="1"/>
  <c r="B300" i="1"/>
  <c r="AB299" i="1"/>
  <c r="AA299" i="1"/>
  <c r="Z299" i="1"/>
  <c r="B299" i="1"/>
  <c r="AB298" i="1"/>
  <c r="AA298" i="1"/>
  <c r="Z298" i="1"/>
  <c r="B298" i="1"/>
  <c r="AB297" i="1"/>
  <c r="Z297" i="1"/>
  <c r="B297" i="1"/>
  <c r="AB296" i="1"/>
  <c r="AA296" i="1"/>
  <c r="Z296" i="1"/>
  <c r="B296" i="1"/>
  <c r="AB295" i="1"/>
  <c r="AA295" i="1"/>
  <c r="Z295" i="1"/>
  <c r="B295" i="1"/>
  <c r="AB294" i="1"/>
  <c r="AA294" i="1"/>
  <c r="Z294" i="1"/>
  <c r="B294" i="1"/>
  <c r="AB293" i="1"/>
  <c r="AA293" i="1"/>
  <c r="Z293" i="1"/>
  <c r="B293" i="1"/>
  <c r="AA292" i="1"/>
  <c r="Z292" i="1"/>
  <c r="B292" i="1"/>
  <c r="AZ291" i="1"/>
  <c r="AA291" i="1"/>
  <c r="Z291" i="1"/>
  <c r="B291" i="1"/>
  <c r="AZ290" i="1"/>
  <c r="AB290" i="1"/>
  <c r="AA290" i="1"/>
  <c r="Z290" i="1"/>
  <c r="B290" i="1"/>
  <c r="AA289" i="1"/>
  <c r="Z289" i="1"/>
  <c r="B289" i="1"/>
  <c r="AB288" i="1"/>
  <c r="Z288" i="1"/>
  <c r="B288" i="1"/>
  <c r="AB287" i="1"/>
  <c r="AA287" i="1"/>
  <c r="Z287" i="1"/>
  <c r="B287" i="1"/>
  <c r="AB286" i="1"/>
  <c r="AA286" i="1"/>
  <c r="Z286" i="1"/>
  <c r="B286" i="1"/>
  <c r="AB285" i="1"/>
  <c r="AA285" i="1"/>
  <c r="Z285" i="1"/>
  <c r="B285" i="1"/>
  <c r="AB284" i="1"/>
  <c r="Z284" i="1"/>
  <c r="B284" i="1"/>
  <c r="AB283" i="1"/>
  <c r="Z283" i="1"/>
  <c r="B283" i="1"/>
  <c r="AA282" i="1"/>
  <c r="Z282" i="1"/>
  <c r="B282" i="1"/>
  <c r="AB281" i="1"/>
  <c r="AA281" i="1"/>
  <c r="Z281" i="1"/>
  <c r="B281" i="1"/>
  <c r="AB280" i="1"/>
  <c r="AA280" i="1"/>
  <c r="Z280" i="1"/>
  <c r="B280" i="1"/>
  <c r="AB279" i="1"/>
  <c r="Z279" i="1"/>
  <c r="B279" i="1"/>
  <c r="AB278" i="1"/>
  <c r="Z278" i="1"/>
  <c r="B278" i="1"/>
  <c r="AA277" i="1"/>
  <c r="Z277" i="1"/>
  <c r="B277" i="1"/>
  <c r="Z276" i="1"/>
  <c r="B276" i="1"/>
  <c r="AB275" i="1"/>
  <c r="AA275" i="1"/>
  <c r="Z275" i="1"/>
  <c r="B275" i="1"/>
  <c r="AB274" i="1"/>
  <c r="AA274" i="1"/>
  <c r="Z274" i="1"/>
  <c r="B274" i="1"/>
  <c r="AB273" i="1"/>
  <c r="AA273" i="1"/>
  <c r="Z273" i="1"/>
  <c r="B273" i="1"/>
  <c r="AB272" i="1"/>
  <c r="Z272" i="1"/>
  <c r="B272" i="1"/>
  <c r="AB271" i="1"/>
  <c r="Z271" i="1"/>
  <c r="B271" i="1"/>
  <c r="AB270" i="1"/>
  <c r="Z270" i="1"/>
  <c r="B270" i="1"/>
  <c r="AB269" i="1"/>
  <c r="AA269" i="1"/>
  <c r="Z269" i="1"/>
  <c r="B269" i="1"/>
  <c r="AB268" i="1"/>
  <c r="Z268" i="1"/>
  <c r="B268" i="1"/>
  <c r="AB267" i="1"/>
  <c r="Z267" i="1"/>
  <c r="B267" i="1"/>
  <c r="AB266" i="1"/>
  <c r="Z266" i="1"/>
  <c r="B266" i="1"/>
  <c r="AB265" i="1"/>
  <c r="Z265" i="1"/>
  <c r="B265" i="1"/>
  <c r="AB264" i="1"/>
  <c r="AA264" i="1"/>
  <c r="Z264" i="1"/>
  <c r="B264" i="1"/>
  <c r="AB263" i="1"/>
  <c r="AA263" i="1"/>
  <c r="Z263" i="1"/>
  <c r="B263" i="1"/>
  <c r="AB262" i="1"/>
  <c r="Z262" i="1"/>
  <c r="B262" i="1"/>
  <c r="AB261" i="1"/>
  <c r="Z261" i="1"/>
  <c r="B261" i="1"/>
  <c r="AB260" i="1"/>
  <c r="AA260" i="1"/>
  <c r="Z260" i="1"/>
  <c r="B260" i="1"/>
  <c r="AB259" i="1"/>
  <c r="AA259" i="1"/>
  <c r="Z259" i="1"/>
  <c r="B259" i="1"/>
  <c r="AA258" i="1"/>
  <c r="Z258" i="1"/>
  <c r="B258" i="1"/>
  <c r="AB257" i="1"/>
  <c r="Z257" i="1"/>
  <c r="B257" i="1"/>
  <c r="AB256" i="1"/>
  <c r="Z256" i="1"/>
  <c r="B256" i="1"/>
  <c r="AB255" i="1"/>
  <c r="Z255" i="1"/>
  <c r="B255" i="1"/>
  <c r="AB254" i="1"/>
  <c r="AA254" i="1"/>
  <c r="Z254" i="1"/>
  <c r="B254" i="1"/>
  <c r="AB253" i="1"/>
  <c r="Z253" i="1"/>
  <c r="B253" i="1"/>
  <c r="Z252" i="1"/>
  <c r="B252" i="1"/>
  <c r="AB251" i="1"/>
  <c r="Z251" i="1"/>
  <c r="B251" i="1"/>
  <c r="AB250" i="1"/>
  <c r="AA250" i="1"/>
  <c r="Z250" i="1"/>
  <c r="B250" i="1"/>
  <c r="AB249" i="1"/>
  <c r="AA249" i="1"/>
  <c r="Z249" i="1"/>
  <c r="B249" i="1"/>
  <c r="AA248" i="1"/>
  <c r="Z248" i="1"/>
  <c r="B248" i="1"/>
  <c r="AB247" i="1"/>
  <c r="AA247" i="1"/>
  <c r="Z247" i="1"/>
  <c r="B247" i="1"/>
  <c r="AB246" i="1"/>
  <c r="AA246" i="1"/>
  <c r="Z246" i="1"/>
  <c r="B246" i="1"/>
  <c r="AA245" i="1"/>
  <c r="Z245" i="1"/>
  <c r="B245" i="1"/>
  <c r="AB244" i="1"/>
  <c r="AA244" i="1"/>
  <c r="Z244" i="1"/>
  <c r="B244" i="1"/>
  <c r="AA243" i="1"/>
  <c r="Z243" i="1"/>
  <c r="B243" i="1"/>
  <c r="AB242" i="1"/>
  <c r="AA242" i="1"/>
  <c r="Z242" i="1"/>
  <c r="B242" i="1"/>
  <c r="AB241" i="1"/>
  <c r="AA241" i="1"/>
  <c r="Z241" i="1"/>
  <c r="B241" i="1"/>
  <c r="AA240" i="1"/>
  <c r="Z240" i="1"/>
  <c r="B240" i="1"/>
  <c r="AA239" i="1"/>
  <c r="Z239" i="1"/>
  <c r="B239" i="1"/>
  <c r="AB238" i="1"/>
  <c r="AA238" i="1"/>
  <c r="Z238" i="1"/>
  <c r="B238" i="1"/>
  <c r="AB237" i="1"/>
  <c r="AA237" i="1"/>
  <c r="Z237" i="1"/>
  <c r="B237" i="1"/>
  <c r="AB236" i="1"/>
  <c r="AA236" i="1"/>
  <c r="Z236" i="1"/>
  <c r="B236" i="1"/>
  <c r="AB235" i="1"/>
  <c r="AA235" i="1"/>
  <c r="Z235" i="1"/>
  <c r="B235" i="1"/>
  <c r="AB234" i="1"/>
  <c r="AA234" i="1"/>
  <c r="Z234" i="1"/>
  <c r="B234" i="1"/>
  <c r="AB233" i="1"/>
  <c r="AA233" i="1"/>
  <c r="Z233" i="1"/>
  <c r="B233" i="1"/>
  <c r="AB232" i="1"/>
  <c r="Z232" i="1"/>
  <c r="B232" i="1"/>
  <c r="AB231" i="1"/>
  <c r="Z231" i="1"/>
  <c r="B231" i="1"/>
  <c r="AB230" i="1"/>
  <c r="Z230" i="1"/>
  <c r="B230" i="1"/>
  <c r="AB229" i="1"/>
  <c r="Z229" i="1"/>
  <c r="B229" i="1"/>
  <c r="Z228" i="1"/>
  <c r="B228" i="1"/>
  <c r="AB227" i="1"/>
  <c r="Z227" i="1"/>
  <c r="B227" i="1"/>
  <c r="AB226" i="1"/>
  <c r="Z226" i="1"/>
  <c r="B226" i="1"/>
  <c r="AB225" i="1"/>
  <c r="Z225" i="1"/>
  <c r="B225" i="1"/>
  <c r="Z224" i="1"/>
  <c r="B224" i="1"/>
  <c r="AB223" i="1"/>
  <c r="Z223" i="1"/>
  <c r="B223" i="1"/>
  <c r="AB222" i="1"/>
  <c r="AA222" i="1"/>
  <c r="Z222" i="1"/>
  <c r="B222" i="1"/>
  <c r="AA221" i="1"/>
  <c r="Z221" i="1"/>
  <c r="B221" i="1"/>
  <c r="AB220" i="1"/>
  <c r="AA220" i="1"/>
  <c r="Z220" i="1"/>
  <c r="B220" i="1"/>
  <c r="AB219" i="1"/>
  <c r="AA219" i="1"/>
  <c r="Z219" i="1"/>
  <c r="B219" i="1"/>
  <c r="AA218" i="1"/>
  <c r="Z218" i="1"/>
  <c r="B218" i="1"/>
  <c r="AB217" i="1"/>
  <c r="AA217" i="1"/>
  <c r="Z217" i="1"/>
  <c r="B217" i="1"/>
  <c r="AA216" i="1"/>
  <c r="Z216" i="1"/>
  <c r="B216" i="1"/>
  <c r="AB215" i="1"/>
  <c r="Z215" i="1"/>
  <c r="B215" i="1"/>
  <c r="AB214" i="1"/>
  <c r="AA214" i="1"/>
  <c r="Z214" i="1"/>
  <c r="B214" i="1"/>
  <c r="AB213" i="1"/>
  <c r="AA213" i="1"/>
  <c r="Z213" i="1"/>
  <c r="B213" i="1"/>
  <c r="AB212" i="1"/>
  <c r="AA212" i="1"/>
  <c r="Z212" i="1"/>
  <c r="B212" i="1"/>
  <c r="AB211" i="1"/>
  <c r="AA211" i="1"/>
  <c r="Z211" i="1"/>
  <c r="B211" i="1"/>
  <c r="AB210" i="1"/>
  <c r="AA210" i="1"/>
  <c r="Z210" i="1"/>
  <c r="B210" i="1"/>
  <c r="AB209" i="1"/>
  <c r="AA209" i="1"/>
  <c r="Z209" i="1"/>
  <c r="B209" i="1"/>
  <c r="Z208" i="1"/>
  <c r="B208" i="1"/>
  <c r="AB207" i="1"/>
  <c r="AA207" i="1"/>
  <c r="Z207" i="1"/>
  <c r="B207" i="1"/>
  <c r="AZ206" i="1"/>
  <c r="AB206" i="1"/>
  <c r="AA206" i="1"/>
  <c r="Z206" i="1"/>
  <c r="B206" i="1"/>
  <c r="AB205" i="1"/>
  <c r="AA205" i="1"/>
  <c r="Z205" i="1"/>
  <c r="B205" i="1"/>
  <c r="Z204" i="1"/>
  <c r="B204" i="1"/>
  <c r="AB203" i="1"/>
  <c r="Z203" i="1"/>
  <c r="B203" i="1"/>
  <c r="AA202" i="1"/>
  <c r="Z202" i="1"/>
  <c r="B202" i="1"/>
  <c r="AB201" i="1"/>
  <c r="AA201" i="1"/>
  <c r="Z201" i="1"/>
  <c r="B201" i="1"/>
  <c r="AZ200" i="1"/>
  <c r="AB200" i="1"/>
  <c r="AA200" i="1"/>
  <c r="Z200" i="1"/>
  <c r="B200" i="1"/>
  <c r="Z199" i="1"/>
  <c r="B199" i="1"/>
  <c r="AB198" i="1"/>
  <c r="AA198" i="1"/>
  <c r="Z198" i="1"/>
  <c r="B198" i="1"/>
  <c r="AZ197" i="1"/>
  <c r="AB197" i="1"/>
  <c r="AA197" i="1"/>
  <c r="Z197" i="1"/>
  <c r="B197" i="1"/>
  <c r="AB196" i="1"/>
  <c r="AA196" i="1"/>
  <c r="Z196" i="1"/>
  <c r="B196" i="1"/>
  <c r="AB195" i="1"/>
  <c r="AA195" i="1"/>
  <c r="Z195" i="1"/>
  <c r="B195" i="1"/>
  <c r="AZ194" i="1"/>
  <c r="AB194" i="1"/>
  <c r="AA194" i="1"/>
  <c r="Z194" i="1"/>
  <c r="B194" i="1"/>
  <c r="AB193" i="1"/>
  <c r="AA193" i="1"/>
  <c r="Z193" i="1"/>
  <c r="B193" i="1"/>
  <c r="AZ192" i="1"/>
  <c r="AB192" i="1"/>
  <c r="AA192" i="1"/>
  <c r="Z192" i="1"/>
  <c r="B192" i="1"/>
  <c r="AZ191" i="1"/>
  <c r="AB191" i="1"/>
  <c r="AA191" i="1"/>
  <c r="Z191" i="1"/>
  <c r="B191" i="1"/>
  <c r="Z190" i="1"/>
  <c r="B190" i="1"/>
  <c r="AA189" i="1"/>
  <c r="Z189" i="1"/>
  <c r="B189" i="1"/>
  <c r="AB188" i="1"/>
  <c r="AA188" i="1"/>
  <c r="Z188" i="1"/>
  <c r="B188" i="1"/>
  <c r="AZ187" i="1"/>
  <c r="AB187" i="1"/>
  <c r="AA187" i="1"/>
  <c r="Z187" i="1"/>
  <c r="B187" i="1"/>
  <c r="AB186" i="1"/>
  <c r="AA186" i="1"/>
  <c r="Z186" i="1"/>
  <c r="B186" i="1"/>
  <c r="AZ185" i="1"/>
  <c r="AB185" i="1"/>
  <c r="AA185" i="1"/>
  <c r="Z185" i="1"/>
  <c r="B185" i="1"/>
  <c r="AZ184" i="1"/>
  <c r="AB184" i="1"/>
  <c r="AA184" i="1"/>
  <c r="Z184" i="1"/>
  <c r="B184" i="1"/>
  <c r="AZ183" i="1"/>
  <c r="AB183" i="1"/>
  <c r="AA183" i="1"/>
  <c r="Z183" i="1"/>
  <c r="B183" i="1"/>
  <c r="AB182" i="1"/>
  <c r="AA182" i="1"/>
  <c r="Z182" i="1"/>
  <c r="B182" i="1"/>
  <c r="Z181" i="1"/>
  <c r="B181" i="1"/>
  <c r="AZ180" i="1"/>
  <c r="AB180" i="1"/>
  <c r="AA180" i="1"/>
  <c r="Z180" i="1"/>
  <c r="B180" i="1"/>
  <c r="AA179" i="1"/>
  <c r="Z179" i="1"/>
  <c r="B179" i="1"/>
  <c r="AB178" i="1"/>
  <c r="Z178" i="1"/>
  <c r="B178" i="1"/>
  <c r="AB177" i="1"/>
  <c r="Z177" i="1"/>
  <c r="B177" i="1"/>
  <c r="AB176" i="1"/>
  <c r="AA176" i="1"/>
  <c r="Z176" i="1"/>
  <c r="B176" i="1"/>
  <c r="AB175" i="1"/>
  <c r="Z175" i="1"/>
  <c r="B175" i="1"/>
  <c r="AB174" i="1"/>
  <c r="AA174" i="1"/>
  <c r="Z174" i="1"/>
  <c r="B174" i="1"/>
  <c r="AB173" i="1"/>
  <c r="AA173" i="1"/>
  <c r="Z173" i="1"/>
  <c r="B173" i="1"/>
  <c r="AB172" i="1"/>
  <c r="Z172" i="1"/>
  <c r="B172" i="1"/>
  <c r="AB171" i="1"/>
  <c r="Z171" i="1"/>
  <c r="B171" i="1"/>
  <c r="AB170" i="1"/>
  <c r="AA170" i="1"/>
  <c r="Z170" i="1"/>
  <c r="B170" i="1"/>
  <c r="AA169" i="1"/>
  <c r="Z169" i="1"/>
  <c r="B169" i="1"/>
  <c r="AB168" i="1"/>
  <c r="Z168" i="1"/>
  <c r="B168" i="1"/>
  <c r="AB167" i="1"/>
  <c r="AA167" i="1"/>
  <c r="Z167" i="1"/>
  <c r="B167" i="1"/>
  <c r="AB166" i="1"/>
  <c r="AA166" i="1"/>
  <c r="Z166" i="1"/>
  <c r="B166" i="1"/>
  <c r="AA165" i="1"/>
  <c r="Z165" i="1"/>
  <c r="B165" i="1"/>
  <c r="AB164" i="1"/>
  <c r="Z164" i="1"/>
  <c r="B164" i="1"/>
  <c r="AB163" i="1"/>
  <c r="Z163" i="1"/>
  <c r="B163" i="1"/>
  <c r="AB162" i="1"/>
  <c r="AA162" i="1"/>
  <c r="Z162" i="1"/>
  <c r="B162" i="1"/>
  <c r="AB161" i="1"/>
  <c r="AA161" i="1"/>
  <c r="Z161" i="1"/>
  <c r="B161" i="1"/>
  <c r="AB160" i="1"/>
  <c r="AA160" i="1"/>
  <c r="Z160" i="1"/>
  <c r="B160" i="1"/>
  <c r="AB159" i="1"/>
  <c r="AA159" i="1"/>
  <c r="Z159" i="1"/>
  <c r="B159" i="1"/>
  <c r="AB158" i="1"/>
  <c r="AA158" i="1"/>
  <c r="Z158" i="1"/>
  <c r="B158" i="1"/>
  <c r="AB157" i="1"/>
  <c r="AA157" i="1"/>
  <c r="Z157" i="1"/>
  <c r="B157" i="1"/>
  <c r="AB156" i="1"/>
  <c r="AA156" i="1"/>
  <c r="Z156" i="1"/>
  <c r="B156" i="1"/>
  <c r="AB155" i="1"/>
  <c r="AA155" i="1"/>
  <c r="Z155" i="1"/>
  <c r="B155" i="1"/>
  <c r="AB154" i="1"/>
  <c r="AA154" i="1"/>
  <c r="Z154" i="1"/>
  <c r="B154" i="1"/>
  <c r="AB153" i="1"/>
  <c r="AA153" i="1"/>
  <c r="Z153" i="1"/>
  <c r="B153" i="1"/>
  <c r="AB152" i="1"/>
  <c r="AA152" i="1"/>
  <c r="Z152" i="1"/>
  <c r="B152" i="1"/>
  <c r="AB151" i="1"/>
  <c r="AA151" i="1"/>
  <c r="Z151" i="1"/>
  <c r="B151" i="1"/>
  <c r="AB150" i="1"/>
  <c r="AA150" i="1"/>
  <c r="Z150" i="1"/>
  <c r="B150" i="1"/>
  <c r="AB149" i="1"/>
  <c r="AA149" i="1"/>
  <c r="Z149" i="1"/>
  <c r="B149" i="1"/>
  <c r="AB148" i="1"/>
  <c r="AA148" i="1"/>
  <c r="Z148" i="1"/>
  <c r="B148" i="1"/>
  <c r="AB147" i="1"/>
  <c r="AA147" i="1"/>
  <c r="Z147" i="1"/>
  <c r="B147" i="1"/>
  <c r="AB146" i="1"/>
  <c r="AA146" i="1"/>
  <c r="Z146" i="1"/>
  <c r="B146" i="1"/>
  <c r="AB145" i="1"/>
  <c r="AA145" i="1"/>
  <c r="Z145" i="1"/>
  <c r="B145" i="1"/>
  <c r="AB144" i="1"/>
  <c r="AA144" i="1"/>
  <c r="Z144" i="1"/>
  <c r="B144" i="1"/>
  <c r="AB143" i="1"/>
  <c r="AA143" i="1"/>
  <c r="Z143" i="1"/>
  <c r="B143" i="1"/>
  <c r="AB142" i="1"/>
  <c r="AA142" i="1"/>
  <c r="Z142" i="1"/>
  <c r="B142" i="1"/>
  <c r="AB141" i="1"/>
  <c r="AA141" i="1"/>
  <c r="Z141" i="1"/>
  <c r="B141" i="1"/>
  <c r="AB140" i="1"/>
  <c r="AA140" i="1"/>
  <c r="Z140" i="1"/>
  <c r="B140" i="1"/>
  <c r="AB139" i="1"/>
  <c r="AA139" i="1"/>
  <c r="Z139" i="1"/>
  <c r="B139" i="1"/>
  <c r="AB138" i="1"/>
  <c r="AA138" i="1"/>
  <c r="Z138" i="1"/>
  <c r="B138" i="1"/>
  <c r="AB137" i="1"/>
  <c r="AA137" i="1"/>
  <c r="Z137" i="1"/>
  <c r="B137" i="1"/>
  <c r="AB136" i="1"/>
  <c r="AA136" i="1"/>
  <c r="Z136" i="1"/>
  <c r="B136" i="1"/>
  <c r="AB135" i="1"/>
  <c r="AA135" i="1"/>
  <c r="Z135" i="1"/>
  <c r="B135" i="1"/>
  <c r="AB134" i="1"/>
  <c r="AA134" i="1"/>
  <c r="Z134" i="1"/>
  <c r="B134" i="1"/>
  <c r="AA133" i="1"/>
  <c r="B133" i="1"/>
  <c r="AB132" i="1"/>
  <c r="AA132" i="1"/>
  <c r="Z132" i="1"/>
  <c r="B132" i="1"/>
  <c r="AB131" i="1"/>
  <c r="AA131" i="1"/>
  <c r="Z131" i="1"/>
  <c r="B131" i="1"/>
  <c r="AB130" i="1"/>
  <c r="AA130" i="1"/>
  <c r="Z130" i="1"/>
  <c r="B130" i="1"/>
  <c r="AB129" i="1"/>
  <c r="AA129" i="1"/>
  <c r="Z129" i="1"/>
  <c r="B129" i="1"/>
  <c r="AB128" i="1"/>
  <c r="AA128" i="1"/>
  <c r="Z128" i="1"/>
  <c r="B128" i="1"/>
  <c r="AA127" i="1"/>
  <c r="Z127" i="1"/>
  <c r="B127" i="1"/>
  <c r="AA126" i="1"/>
  <c r="Z126" i="1"/>
  <c r="B126" i="1"/>
  <c r="AB125" i="1"/>
  <c r="AA125" i="1"/>
  <c r="Z125" i="1"/>
  <c r="B125" i="1"/>
  <c r="AB124" i="1"/>
  <c r="AA124" i="1"/>
  <c r="Z124" i="1"/>
  <c r="B124" i="1"/>
  <c r="AB123" i="1"/>
  <c r="Z123" i="1"/>
  <c r="B123" i="1"/>
  <c r="AB122" i="1"/>
  <c r="AA122" i="1"/>
  <c r="Z122" i="1"/>
  <c r="B122" i="1"/>
  <c r="AB121" i="1"/>
  <c r="AA121" i="1"/>
  <c r="Z121" i="1"/>
  <c r="B121" i="1"/>
  <c r="AB120" i="1"/>
  <c r="AA120" i="1"/>
  <c r="Z120" i="1"/>
  <c r="B120" i="1"/>
  <c r="AA119" i="1"/>
  <c r="Z119" i="1"/>
  <c r="B119" i="1"/>
  <c r="AB118" i="1"/>
  <c r="AA118" i="1"/>
  <c r="Z118" i="1"/>
  <c r="B118" i="1"/>
  <c r="AB117" i="1"/>
  <c r="Z117" i="1"/>
  <c r="B117" i="1"/>
  <c r="AB116" i="1"/>
  <c r="AA116" i="1"/>
  <c r="Z116" i="1"/>
  <c r="B116" i="1"/>
  <c r="AB115" i="1"/>
  <c r="Z115" i="1"/>
  <c r="B115" i="1"/>
  <c r="AB114" i="1"/>
  <c r="AA114" i="1"/>
  <c r="Z114" i="1"/>
  <c r="B114" i="1"/>
  <c r="Z113" i="1"/>
  <c r="B113" i="1"/>
  <c r="AA112" i="1"/>
  <c r="Z112" i="1"/>
  <c r="B112" i="1"/>
  <c r="AA111" i="1"/>
  <c r="Z111" i="1"/>
  <c r="B111" i="1"/>
  <c r="AB110" i="1"/>
  <c r="Z110" i="1"/>
  <c r="B110" i="1"/>
  <c r="AZ109" i="1"/>
  <c r="AB109" i="1"/>
  <c r="AA109" i="1"/>
  <c r="Z109" i="1"/>
  <c r="B109" i="1"/>
  <c r="AZ108" i="1"/>
  <c r="AB108" i="1"/>
  <c r="AA108" i="1"/>
  <c r="Z108" i="1"/>
  <c r="B108" i="1"/>
  <c r="AZ107" i="1"/>
  <c r="AB107" i="1"/>
  <c r="AA107" i="1"/>
  <c r="Z107" i="1"/>
  <c r="B107" i="1"/>
  <c r="AB106" i="1"/>
  <c r="AA106" i="1"/>
  <c r="Z106" i="1"/>
  <c r="B106" i="1"/>
  <c r="AB105" i="1"/>
  <c r="Z105" i="1"/>
  <c r="B105" i="1"/>
  <c r="AZ104" i="1"/>
  <c r="AB104" i="1"/>
  <c r="AA104" i="1"/>
  <c r="Z104" i="1"/>
  <c r="B104" i="1"/>
  <c r="AA103" i="1"/>
  <c r="Z103" i="1"/>
  <c r="B103" i="1"/>
  <c r="AB102" i="1"/>
  <c r="AA102" i="1"/>
  <c r="Z102" i="1"/>
  <c r="B102" i="1"/>
  <c r="AB101" i="1"/>
  <c r="AA101" i="1"/>
  <c r="Z101" i="1"/>
  <c r="B101" i="1"/>
  <c r="AB100" i="1"/>
  <c r="AA100" i="1"/>
  <c r="Z100" i="1"/>
  <c r="B100" i="1"/>
  <c r="AB99" i="1"/>
  <c r="AA99" i="1"/>
  <c r="Z99" i="1"/>
  <c r="B99" i="1"/>
  <c r="AB98" i="1"/>
  <c r="AA98" i="1"/>
  <c r="Z98" i="1"/>
  <c r="B98" i="1"/>
  <c r="AB97" i="1"/>
  <c r="AA97" i="1"/>
  <c r="Z97" i="1"/>
  <c r="B97" i="1"/>
  <c r="Z96" i="1"/>
  <c r="B96" i="1"/>
  <c r="AB95" i="1"/>
  <c r="AA95" i="1"/>
  <c r="Z95" i="1"/>
  <c r="B95" i="1"/>
  <c r="AB94" i="1"/>
  <c r="Z94" i="1"/>
  <c r="B94" i="1"/>
  <c r="AB93" i="1"/>
  <c r="AA93" i="1"/>
  <c r="Z93" i="1"/>
  <c r="B93" i="1"/>
  <c r="AB92" i="1"/>
  <c r="AA92" i="1"/>
  <c r="Z92" i="1"/>
  <c r="B92" i="1"/>
  <c r="AB91" i="1"/>
  <c r="AA91" i="1"/>
  <c r="Z91" i="1"/>
  <c r="B91" i="1"/>
  <c r="AZ90" i="1"/>
  <c r="AB90" i="1"/>
  <c r="AA90" i="1"/>
  <c r="Z90" i="1"/>
  <c r="B90" i="1"/>
  <c r="AB89" i="1"/>
  <c r="AA89" i="1"/>
  <c r="Z89" i="1"/>
  <c r="B89" i="1"/>
  <c r="AB88" i="1"/>
  <c r="AA88" i="1"/>
  <c r="Z88" i="1"/>
  <c r="B88" i="1"/>
  <c r="AB87" i="1"/>
  <c r="AA87" i="1"/>
  <c r="Z87" i="1"/>
  <c r="B87" i="1"/>
  <c r="AZ86" i="1"/>
  <c r="AB86" i="1"/>
  <c r="AA86" i="1"/>
  <c r="Z86" i="1"/>
  <c r="B86" i="1"/>
  <c r="AB85" i="1"/>
  <c r="Z85" i="1"/>
  <c r="B85" i="1"/>
  <c r="AB84" i="1"/>
  <c r="AA84" i="1"/>
  <c r="Z84" i="1"/>
  <c r="B84" i="1"/>
  <c r="AB83" i="1"/>
  <c r="Z83" i="1"/>
  <c r="B83" i="1"/>
  <c r="AB82" i="1"/>
  <c r="AA82" i="1"/>
  <c r="Z82" i="1"/>
  <c r="B82" i="1"/>
  <c r="AB81" i="1"/>
  <c r="AA81" i="1"/>
  <c r="Z81" i="1"/>
  <c r="B81" i="1"/>
  <c r="AB80" i="1"/>
  <c r="AA80" i="1"/>
  <c r="Z80" i="1"/>
  <c r="B80" i="1"/>
  <c r="AB79" i="1"/>
  <c r="AA79" i="1"/>
  <c r="Z79" i="1"/>
  <c r="B79" i="1"/>
  <c r="AB78" i="1"/>
  <c r="AA78" i="1"/>
  <c r="Z78" i="1"/>
  <c r="B78" i="1"/>
  <c r="AB77" i="1"/>
  <c r="AA77" i="1"/>
  <c r="Z77" i="1"/>
  <c r="B77" i="1"/>
  <c r="AB76" i="1"/>
  <c r="AA76" i="1"/>
  <c r="Z76" i="1"/>
  <c r="B76" i="1"/>
  <c r="AB75" i="1"/>
  <c r="AA75" i="1"/>
  <c r="Z75" i="1"/>
  <c r="B75" i="1"/>
  <c r="AB74" i="1"/>
  <c r="AA74" i="1"/>
  <c r="Z74" i="1"/>
  <c r="B74" i="1"/>
  <c r="AB73" i="1"/>
  <c r="AA73" i="1"/>
  <c r="Z73" i="1"/>
  <c r="B73" i="1"/>
  <c r="AB72" i="1"/>
  <c r="AA72" i="1"/>
  <c r="Z72" i="1"/>
  <c r="B72" i="1"/>
  <c r="AB71" i="1"/>
  <c r="AA71" i="1"/>
  <c r="Z71" i="1"/>
  <c r="B71" i="1"/>
  <c r="AB70" i="1"/>
  <c r="AA70" i="1"/>
  <c r="Z70" i="1"/>
  <c r="B70" i="1"/>
  <c r="AB69" i="1"/>
  <c r="AA69" i="1"/>
  <c r="Z69" i="1"/>
  <c r="B69" i="1"/>
  <c r="AB68" i="1"/>
  <c r="AA68" i="1"/>
  <c r="Z68" i="1"/>
  <c r="B68" i="1"/>
  <c r="AA67" i="1"/>
  <c r="Z67" i="1"/>
  <c r="B67" i="1"/>
  <c r="Z66" i="1"/>
  <c r="B66" i="1"/>
  <c r="AB65" i="1"/>
  <c r="AA65" i="1"/>
  <c r="Z65" i="1"/>
  <c r="B65" i="1"/>
  <c r="AB64" i="1"/>
  <c r="Z64" i="1"/>
  <c r="B64" i="1"/>
  <c r="AB63" i="1"/>
  <c r="Z63" i="1"/>
  <c r="B63" i="1"/>
  <c r="AB62" i="1"/>
  <c r="AA62" i="1"/>
  <c r="Z62" i="1"/>
  <c r="B62" i="1"/>
  <c r="AB61" i="1"/>
  <c r="AA61" i="1"/>
  <c r="Z61" i="1"/>
  <c r="B61" i="1"/>
  <c r="AA60" i="1"/>
  <c r="Z60" i="1"/>
  <c r="B60" i="1"/>
  <c r="AB59" i="1"/>
  <c r="AA59" i="1"/>
  <c r="Z59" i="1"/>
  <c r="B59" i="1"/>
  <c r="AA58" i="1"/>
  <c r="Z58" i="1"/>
  <c r="B58" i="1"/>
  <c r="AB57" i="1"/>
  <c r="AA57" i="1"/>
  <c r="Z57" i="1"/>
  <c r="B57" i="1"/>
  <c r="AB56" i="1"/>
  <c r="Z56" i="1"/>
  <c r="B56" i="1"/>
  <c r="AB55" i="1"/>
  <c r="AA55" i="1"/>
  <c r="Z55" i="1"/>
  <c r="B55" i="1"/>
  <c r="AB54" i="1"/>
  <c r="Z54" i="1"/>
  <c r="B54" i="1"/>
  <c r="AB53" i="1"/>
  <c r="AA53" i="1"/>
  <c r="Z53" i="1"/>
  <c r="B53" i="1"/>
  <c r="AA52" i="1"/>
  <c r="Z52" i="1"/>
  <c r="B52" i="1"/>
  <c r="AA51" i="1"/>
  <c r="Z51" i="1"/>
  <c r="B51" i="1"/>
  <c r="AB50" i="1"/>
  <c r="AA50" i="1"/>
  <c r="Z50" i="1"/>
  <c r="B50" i="1"/>
  <c r="AB49" i="1"/>
  <c r="AA49" i="1"/>
  <c r="Z49" i="1"/>
  <c r="B49" i="1"/>
  <c r="AZ48" i="1"/>
  <c r="AB48" i="1"/>
  <c r="AA48" i="1"/>
  <c r="Z48" i="1"/>
  <c r="B48" i="1"/>
  <c r="AB47" i="1"/>
  <c r="AA47" i="1"/>
  <c r="Z47" i="1"/>
  <c r="B47" i="1"/>
  <c r="AZ46" i="1"/>
  <c r="AB46" i="1"/>
  <c r="AA46" i="1"/>
  <c r="Z46" i="1"/>
  <c r="B46" i="1"/>
  <c r="AZ45" i="1"/>
  <c r="AA45" i="1"/>
  <c r="Z45" i="1"/>
  <c r="B45" i="1"/>
  <c r="AB44" i="1"/>
  <c r="AA44" i="1"/>
  <c r="Z44" i="1"/>
  <c r="B44" i="1"/>
  <c r="AA43" i="1"/>
  <c r="Z43" i="1"/>
  <c r="B43" i="1"/>
  <c r="AB42" i="1"/>
  <c r="AA42" i="1"/>
  <c r="Z42" i="1"/>
  <c r="B42" i="1"/>
  <c r="AB41" i="1"/>
  <c r="AA41" i="1"/>
  <c r="Z41" i="1"/>
  <c r="B41" i="1"/>
  <c r="AB40" i="1"/>
  <c r="AA40" i="1"/>
  <c r="Z40" i="1"/>
  <c r="B40" i="1"/>
  <c r="AB39" i="1"/>
  <c r="AA39" i="1"/>
  <c r="Z39" i="1"/>
  <c r="B39" i="1"/>
  <c r="AB38" i="1"/>
  <c r="Z38" i="1"/>
  <c r="B38" i="1"/>
  <c r="AB37" i="1"/>
  <c r="Z37" i="1"/>
  <c r="B37" i="1"/>
  <c r="AB36" i="1"/>
  <c r="AA36" i="1"/>
  <c r="Z36" i="1"/>
  <c r="B36" i="1"/>
  <c r="AB35" i="1"/>
  <c r="Z35" i="1"/>
  <c r="B35" i="1"/>
  <c r="AB34" i="1"/>
  <c r="AA34" i="1"/>
  <c r="Z34" i="1"/>
  <c r="B34" i="1"/>
  <c r="AB33" i="1"/>
  <c r="AA33" i="1"/>
  <c r="Z33" i="1"/>
  <c r="B33" i="1"/>
  <c r="AB32" i="1"/>
  <c r="AA32" i="1"/>
  <c r="Z32" i="1"/>
  <c r="B32" i="1"/>
  <c r="AB31" i="1"/>
  <c r="AA31" i="1"/>
  <c r="Z31" i="1"/>
  <c r="B31" i="1"/>
  <c r="AB30" i="1"/>
  <c r="AA30" i="1"/>
  <c r="Z30" i="1"/>
  <c r="B30" i="1"/>
  <c r="AB29" i="1"/>
  <c r="AA29" i="1"/>
  <c r="Z29" i="1"/>
  <c r="B29" i="1"/>
  <c r="AB28" i="1"/>
  <c r="AA28" i="1"/>
  <c r="Z28" i="1"/>
  <c r="B28" i="1"/>
  <c r="AB27" i="1"/>
  <c r="AA27" i="1"/>
  <c r="Z27" i="1"/>
  <c r="B27" i="1"/>
  <c r="AB26" i="1"/>
  <c r="AA26" i="1"/>
  <c r="Z26" i="1"/>
  <c r="B26" i="1"/>
  <c r="AB25" i="1"/>
  <c r="AA25" i="1"/>
  <c r="Z25" i="1"/>
  <c r="B25" i="1"/>
  <c r="Z24" i="1"/>
  <c r="B24" i="1"/>
  <c r="AB23" i="1"/>
  <c r="AA23" i="1"/>
  <c r="Z23" i="1"/>
  <c r="B23" i="1"/>
  <c r="AB22" i="1"/>
  <c r="AA22" i="1"/>
  <c r="Z22" i="1"/>
  <c r="B22" i="1"/>
  <c r="AB21" i="1"/>
  <c r="AA21" i="1"/>
  <c r="Z21" i="1"/>
  <c r="B21" i="1"/>
  <c r="AB20" i="1"/>
  <c r="AA20" i="1"/>
  <c r="Z20" i="1"/>
  <c r="B20" i="1"/>
  <c r="AB19" i="1"/>
  <c r="AA19" i="1"/>
  <c r="Z19" i="1"/>
  <c r="B19" i="1"/>
  <c r="Z18" i="1"/>
  <c r="B18" i="1"/>
  <c r="AB17" i="1"/>
  <c r="AA17" i="1"/>
  <c r="Z17" i="1"/>
  <c r="B17" i="1"/>
  <c r="AB16" i="1"/>
  <c r="AA16" i="1"/>
  <c r="Z16" i="1"/>
  <c r="B16" i="1"/>
  <c r="AB15" i="1"/>
  <c r="AA15" i="1"/>
  <c r="Z15" i="1"/>
  <c r="B15" i="1"/>
  <c r="AB14" i="1"/>
  <c r="AA14" i="1"/>
  <c r="Z14" i="1"/>
  <c r="B14" i="1"/>
  <c r="AB13" i="1"/>
  <c r="AA13" i="1"/>
  <c r="Z13" i="1"/>
  <c r="B13" i="1"/>
  <c r="AA12" i="1"/>
  <c r="Z12" i="1"/>
  <c r="B12" i="1"/>
  <c r="AB11" i="1"/>
  <c r="AA11" i="1"/>
  <c r="Z11" i="1"/>
  <c r="B11" i="1"/>
  <c r="AB10" i="1"/>
  <c r="Z10" i="1"/>
  <c r="B10" i="1"/>
  <c r="AB9" i="1"/>
  <c r="AA9" i="1"/>
  <c r="Z9" i="1"/>
  <c r="B9" i="1"/>
  <c r="AB8" i="1"/>
  <c r="AA8" i="1"/>
  <c r="Z8" i="1"/>
  <c r="B8" i="1"/>
  <c r="AB7" i="1"/>
  <c r="AA7" i="1"/>
  <c r="Z7" i="1"/>
  <c r="N7" i="1"/>
  <c r="B7" i="1"/>
  <c r="Z6" i="1"/>
  <c r="B6" i="1"/>
  <c r="AA5" i="1"/>
  <c r="Z5" i="1"/>
  <c r="B5" i="1"/>
  <c r="AB4" i="1"/>
  <c r="Z4" i="1"/>
  <c r="B4" i="1"/>
  <c r="AB3" i="1"/>
  <c r="Z3" i="1"/>
  <c r="B3" i="1"/>
  <c r="AZ2" i="1"/>
  <c r="AB2" i="1"/>
  <c r="Z2" i="1"/>
</calcChain>
</file>

<file path=xl/sharedStrings.xml><?xml version="1.0" encoding="utf-8"?>
<sst xmlns="http://schemas.openxmlformats.org/spreadsheetml/2006/main" count="40102" uniqueCount="3948">
  <si>
    <t>eprintid</t>
  </si>
  <si>
    <t>ROARMAP_URL</t>
  </si>
  <si>
    <t>rev_number</t>
  </si>
  <si>
    <t>eprint_status</t>
  </si>
  <si>
    <t>userid</t>
  </si>
  <si>
    <t>dir</t>
  </si>
  <si>
    <t>datestamp</t>
  </si>
  <si>
    <t>lastmod</t>
  </si>
  <si>
    <t>status_changed</t>
  </si>
  <si>
    <t>type</t>
  </si>
  <si>
    <t>metadata_visibility</t>
  </si>
  <si>
    <t>title</t>
  </si>
  <si>
    <t>policy_colour</t>
  </si>
  <si>
    <t>policy_comments</t>
  </si>
  <si>
    <t>research_process_comments</t>
  </si>
  <si>
    <t>added_by</t>
  </si>
  <si>
    <t>country</t>
  </si>
  <si>
    <t>Country_name</t>
  </si>
  <si>
    <t>country-zeros</t>
  </si>
  <si>
    <t>Continent</t>
  </si>
  <si>
    <t>country_inclusive</t>
  </si>
  <si>
    <t>policymaker_type</t>
  </si>
  <si>
    <t>policymaker_name</t>
  </si>
  <si>
    <t>policymaker_url</t>
  </si>
  <si>
    <t>policy_url</t>
  </si>
  <si>
    <t>repository_url</t>
  </si>
  <si>
    <t>policy_adoption</t>
  </si>
  <si>
    <t>policy_effecive</t>
  </si>
  <si>
    <t>last_revision</t>
  </si>
  <si>
    <t>source_of_policy</t>
  </si>
  <si>
    <t>deposit_of_item</t>
  </si>
  <si>
    <t>locus_of_deposit</t>
  </si>
  <si>
    <t>date_of_deposit</t>
  </si>
  <si>
    <t>mandate_content_types</t>
  </si>
  <si>
    <t>journal_article_version</t>
  </si>
  <si>
    <t>can_deposit_be_waived</t>
  </si>
  <si>
    <t>making_deposit_open</t>
  </si>
  <si>
    <t>waive_open_access</t>
  </si>
  <si>
    <t>date_made_open</t>
  </si>
  <si>
    <t>iliege_hefce_model</t>
  </si>
  <si>
    <t>rights_holding</t>
  </si>
  <si>
    <t>rights_retention_waivable</t>
  </si>
  <si>
    <t>open_access_waivable</t>
  </si>
  <si>
    <t>embargo_sci_tech_med</t>
  </si>
  <si>
    <t>embargo_hum_soc</t>
  </si>
  <si>
    <t>maximal_embargo_waivable</t>
  </si>
  <si>
    <t>open_licensing_conditions</t>
  </si>
  <si>
    <t>gold_oa_options</t>
  </si>
  <si>
    <t>apc_funding</t>
  </si>
  <si>
    <t>apc_fun_url</t>
  </si>
  <si>
    <t>Northern Africa</t>
  </si>
  <si>
    <t>Africa</t>
  </si>
  <si>
    <t>Afghanistan</t>
  </si>
  <si>
    <t>South America</t>
  </si>
  <si>
    <t>Albania</t>
  </si>
  <si>
    <t>Oceania</t>
  </si>
  <si>
    <t>Western Africa</t>
  </si>
  <si>
    <t>Algeria</t>
  </si>
  <si>
    <t>Central America</t>
  </si>
  <si>
    <t>Eastern Africa</t>
  </si>
  <si>
    <t>American Samoa</t>
  </si>
  <si>
    <t>Middle Africa</t>
  </si>
  <si>
    <t>Southern Africa</t>
  </si>
  <si>
    <t>Americas</t>
  </si>
  <si>
    <t>Americas excluding Northern America</t>
  </si>
  <si>
    <t>Andorra</t>
  </si>
  <si>
    <t>Northern America</t>
  </si>
  <si>
    <t>Angola</t>
  </si>
  <si>
    <t>Antigua and Barbuda</t>
  </si>
  <si>
    <t>Caribbean</t>
  </si>
  <si>
    <t>Eastern Asia</t>
  </si>
  <si>
    <t>Azerbaijan</t>
  </si>
  <si>
    <t>Argentina</t>
  </si>
  <si>
    <t>Southern Asia</t>
  </si>
  <si>
    <t>South-Eastern Asia</t>
  </si>
  <si>
    <t>Australia</t>
  </si>
  <si>
    <t>Southern Europe</t>
  </si>
  <si>
    <t>Austria</t>
  </si>
  <si>
    <t>Bahamas</t>
  </si>
  <si>
    <t>Bahrain</t>
  </si>
  <si>
    <t>Bangladesh</t>
  </si>
  <si>
    <t>Armenia</t>
  </si>
  <si>
    <t>Barbados</t>
  </si>
  <si>
    <t>Australia and New Zealand</t>
  </si>
  <si>
    <t>Melanesia</t>
  </si>
  <si>
    <t>Belgium</t>
  </si>
  <si>
    <t>Micronesia</t>
  </si>
  <si>
    <t>Bermuda</t>
  </si>
  <si>
    <t>Polynesia</t>
  </si>
  <si>
    <t>Bhutan</t>
  </si>
  <si>
    <t>Bolivia (Plurinational State of)</t>
  </si>
  <si>
    <t>Bosnia and Herzegovina</t>
  </si>
  <si>
    <t>Botswana</t>
  </si>
  <si>
    <t>Brazil</t>
  </si>
  <si>
    <t>Belize</t>
  </si>
  <si>
    <t>Solomon Islands</t>
  </si>
  <si>
    <t>Western Asia</t>
  </si>
  <si>
    <t>British Virgin Islands</t>
  </si>
  <si>
    <t>archive</t>
  </si>
  <si>
    <t>Brunei Darussalam</t>
  </si>
  <si>
    <t>disk0/00/00/07/75</t>
  </si>
  <si>
    <t>Bulgaria</t>
  </si>
  <si>
    <t>Eastern Europe</t>
  </si>
  <si>
    <t>article</t>
  </si>
  <si>
    <t>Myanmar</t>
  </si>
  <si>
    <t>show</t>
  </si>
  <si>
    <t>Burundi</t>
  </si>
  <si>
    <t>University of Bouira</t>
  </si>
  <si>
    <t>Western Europe</t>
  </si>
  <si>
    <t>Bouira University Digital Space</t>
  </si>
  <si>
    <t>Belarus</t>
  </si>
  <si>
    <t>Cambodia</t>
  </si>
  <si>
    <t>Message Description archive of our university and/or Remarks:
The University of Bouira offers visitors from Bouira University Digital
Space a free downloadable files (memories doctoral, master, master,
courses in different technological and literary disciplines, proceedings
of scientific conferences and scientific articles of high level.</t>
  </si>
  <si>
    <t>Cameroon</t>
  </si>
  <si>
    <t>Canada</t>
  </si>
  <si>
    <t>Cabo Verde</t>
  </si>
  <si>
    <t>Cayman Islands</t>
  </si>
  <si>
    <t>Central African Republic</t>
  </si>
  <si>
    <t>Asia</t>
  </si>
  <si>
    <t>Asia excluding Japan</t>
  </si>
  <si>
    <t>Central Asia</t>
  </si>
  <si>
    <t>Sri Lanka</t>
  </si>
  <si>
    <t>Chad</t>
  </si>
  <si>
    <t>Europe</t>
  </si>
  <si>
    <t>Chile</t>
  </si>
  <si>
    <t>Northern Europe</t>
  </si>
  <si>
    <t>China</t>
  </si>
  <si>
    <t>Colombia</t>
  </si>
  <si>
    <t>Comoros</t>
  </si>
  <si>
    <t>Mayotte</t>
  </si>
  <si>
    <t>Congo</t>
  </si>
  <si>
    <t>Democratic Republic of the Congo</t>
  </si>
  <si>
    <t>Cook Islands</t>
  </si>
  <si>
    <t>Costa Rica</t>
  </si>
  <si>
    <t>Croatia</t>
  </si>
  <si>
    <t>Cuba</t>
  </si>
  <si>
    <t>Cyprus</t>
  </si>
  <si>
    <t>Czech Republic</t>
  </si>
  <si>
    <t>Benin</t>
  </si>
  <si>
    <t>Denmark</t>
  </si>
  <si>
    <t>Dominica</t>
  </si>
  <si>
    <t>Dominican Republic</t>
  </si>
  <si>
    <t>Ecuador</t>
  </si>
  <si>
    <t>El Salvador</t>
  </si>
  <si>
    <t>Equatorial Guinea</t>
  </si>
  <si>
    <t>Ethiopia</t>
  </si>
  <si>
    <t>Eritrea</t>
  </si>
  <si>
    <t>Estonia</t>
  </si>
  <si>
    <t>Faeroe Islands</t>
  </si>
  <si>
    <t>Falkland Islands (Malvinas)</t>
  </si>
  <si>
    <t>Fiji</t>
  </si>
  <si>
    <t>Finland</t>
  </si>
  <si>
    <t>Åland Islands</t>
  </si>
  <si>
    <t>France</t>
  </si>
  <si>
    <t>French Guiana</t>
  </si>
  <si>
    <t>French Polynesia</t>
  </si>
  <si>
    <t>Djibouti</t>
  </si>
  <si>
    <t>Gabon</t>
  </si>
  <si>
    <t>un_geoscheme</t>
  </si>
  <si>
    <t>Georgia</t>
  </si>
  <si>
    <t>research_org</t>
  </si>
  <si>
    <t>Gambia</t>
  </si>
  <si>
    <t>State of Palestine</t>
  </si>
  <si>
    <t>Germany</t>
  </si>
  <si>
    <t>Ghana</t>
  </si>
  <si>
    <t>Gibraltar</t>
  </si>
  <si>
    <t>Kiribati</t>
  </si>
  <si>
    <t>Greece</t>
  </si>
  <si>
    <t>Greenland</t>
  </si>
  <si>
    <t>Grenada</t>
  </si>
  <si>
    <t>Guadeloupe</t>
  </si>
  <si>
    <t>Guam</t>
  </si>
  <si>
    <t>Guatemala</t>
  </si>
  <si>
    <t>Guinea</t>
  </si>
  <si>
    <t>Guyana</t>
  </si>
  <si>
    <t>Haiti</t>
  </si>
  <si>
    <t>Holy See</t>
  </si>
  <si>
    <t>administrative</t>
  </si>
  <si>
    <t>required</t>
  </si>
  <si>
    <t>Honduras</t>
  </si>
  <si>
    <t>institution_repo</t>
  </si>
  <si>
    <t>pub_permit</t>
  </si>
  <si>
    <t>manuscript</t>
  </si>
  <si>
    <t>published</t>
  </si>
  <si>
    <t>China, Hong Kong Special Administrative Region</t>
  </si>
  <si>
    <t>no</t>
  </si>
  <si>
    <t>Hungary</t>
  </si>
  <si>
    <t>acceptance</t>
  </si>
  <si>
    <t>Iceland</t>
  </si>
  <si>
    <t>yes</t>
  </si>
  <si>
    <t>inst_retains</t>
  </si>
  <si>
    <t>India</t>
  </si>
  <si>
    <t>Indonesia</t>
  </si>
  <si>
    <t>longer</t>
  </si>
  <si>
    <t>Iran (Islamic Republic of)</t>
  </si>
  <si>
    <t>req_open</t>
  </si>
  <si>
    <t>reqired</t>
  </si>
  <si>
    <t>Iraq</t>
  </si>
  <si>
    <t>researcher_grants</t>
  </si>
  <si>
    <t>Ireland</t>
  </si>
  <si>
    <t>Israel</t>
  </si>
  <si>
    <t>Italy</t>
  </si>
  <si>
    <t>Cote d'Ivoire</t>
  </si>
  <si>
    <t>Jamaica</t>
  </si>
  <si>
    <t>Japan</t>
  </si>
  <si>
    <t>Kazakhstan</t>
  </si>
  <si>
    <t>Jordan</t>
  </si>
  <si>
    <t>Kenya</t>
  </si>
  <si>
    <t>Democratic People's Republic of Korea</t>
  </si>
  <si>
    <t>disk0/00/00/06/53</t>
  </si>
  <si>
    <t>Republic of Korea</t>
  </si>
  <si>
    <t>Kuwait</t>
  </si>
  <si>
    <t>Université M'hamed Bougara - Boumerdes</t>
  </si>
  <si>
    <t>Kyrgyzstan</t>
  </si>
  <si>
    <t>Cannot locate policies online.  Have emailed Iryna in hope she can obtain from EIFL partners.</t>
  </si>
  <si>
    <t>EOS</t>
  </si>
  <si>
    <t>Lao People's Democratic Republic</t>
  </si>
  <si>
    <t>Latin America and the Caribbean</t>
  </si>
  <si>
    <t>Lebanon</t>
  </si>
  <si>
    <t>Lesotho</t>
  </si>
  <si>
    <t>Latvia</t>
  </si>
  <si>
    <t>Liberia</t>
  </si>
  <si>
    <t>Libya</t>
  </si>
  <si>
    <t>Liechtenstein</t>
  </si>
  <si>
    <t>Lithuania</t>
  </si>
  <si>
    <t>Luxembourg</t>
  </si>
  <si>
    <t>China, Macao Special Administrative Region</t>
  </si>
  <si>
    <t>Madagascar</t>
  </si>
  <si>
    <t>Malawi</t>
  </si>
  <si>
    <t>Malaysia</t>
  </si>
  <si>
    <t>Maldives</t>
  </si>
  <si>
    <t>Mali</t>
  </si>
  <si>
    <t>Malta</t>
  </si>
  <si>
    <t>Martinique</t>
  </si>
  <si>
    <t>Mauritania</t>
  </si>
  <si>
    <t>Mauritius</t>
  </si>
  <si>
    <t>Mexico</t>
  </si>
  <si>
    <t>Monaco</t>
  </si>
  <si>
    <t>Mongolia</t>
  </si>
  <si>
    <t>Awaiting Details</t>
  </si>
  <si>
    <t>Republic of Moldova</t>
  </si>
  <si>
    <t>Montenegro</t>
  </si>
  <si>
    <t>Montserrat</t>
  </si>
  <si>
    <t>Morocco</t>
  </si>
  <si>
    <t>not_specified</t>
  </si>
  <si>
    <t>Mozambique</t>
  </si>
  <si>
    <t>Oman</t>
  </si>
  <si>
    <t>not_mentioned</t>
  </si>
  <si>
    <t>Namibia</t>
  </si>
  <si>
    <t>Nauru</t>
  </si>
  <si>
    <t>Nepal</t>
  </si>
  <si>
    <t>Netherlands</t>
  </si>
  <si>
    <t>Curaçao</t>
  </si>
  <si>
    <t>Aruba</t>
  </si>
  <si>
    <t>Sint Maarten (Dutch part)</t>
  </si>
  <si>
    <t>Bonaire, Sint Eustatius and Saba</t>
  </si>
  <si>
    <t>disk0/00/00/06/54</t>
  </si>
  <si>
    <t>New Caledonia</t>
  </si>
  <si>
    <t>Vanuatu</t>
  </si>
  <si>
    <t>Baku Higher Oil School</t>
  </si>
  <si>
    <t>New Zealand</t>
  </si>
  <si>
    <t>Nicaragua</t>
  </si>
  <si>
    <t>Niger</t>
  </si>
  <si>
    <t>Nigeria</t>
  </si>
  <si>
    <t>Niue</t>
  </si>
  <si>
    <t>Norfolk Island</t>
  </si>
  <si>
    <t>Norway</t>
  </si>
  <si>
    <t>Northern Mariana Islands</t>
  </si>
  <si>
    <t>Micronesia (Federated States of)</t>
  </si>
  <si>
    <t>Marshall Islands</t>
  </si>
  <si>
    <t>Palau</t>
  </si>
  <si>
    <t>Pakistan</t>
  </si>
  <si>
    <t>Panama</t>
  </si>
  <si>
    <t>Papua New Guinea</t>
  </si>
  <si>
    <t>Paraguay</t>
  </si>
  <si>
    <t>Peru</t>
  </si>
  <si>
    <t>Philippines</t>
  </si>
  <si>
    <t>Pitcairn</t>
  </si>
  <si>
    <t>Poland</t>
  </si>
  <si>
    <t>Portugal</t>
  </si>
  <si>
    <t>Guinea-Bissau</t>
  </si>
  <si>
    <t>Guinea Bissau</t>
  </si>
  <si>
    <t>Timor-Leste</t>
  </si>
  <si>
    <t>Puerto Rico</t>
  </si>
  <si>
    <t>Qatar</t>
  </si>
  <si>
    <t>Réunion</t>
  </si>
  <si>
    <t>Romania</t>
  </si>
  <si>
    <t>Russian Federation</t>
  </si>
  <si>
    <t>not_applicable</t>
  </si>
  <si>
    <t>Rwanda</t>
  </si>
  <si>
    <t>Saint-Barthélemy</t>
  </si>
  <si>
    <t>Saint Helena</t>
  </si>
  <si>
    <t>Saint Kitts and Nevis</t>
  </si>
  <si>
    <t>Anguilla</t>
  </si>
  <si>
    <t>Saint Lucia</t>
  </si>
  <si>
    <t>Saint Martin (French part)</t>
  </si>
  <si>
    <t>Saint Pierre and Miquelon</t>
  </si>
  <si>
    <t>Saint Vincent and the Grenadines</t>
  </si>
  <si>
    <t>San Marino</t>
  </si>
  <si>
    <t>Sao Tome and Principe</t>
  </si>
  <si>
    <t>Sark</t>
  </si>
  <si>
    <t>Saudi Arabia</t>
  </si>
  <si>
    <t>disk0/00/00/00/12</t>
  </si>
  <si>
    <t>Senegal</t>
  </si>
  <si>
    <t>Serbia</t>
  </si>
  <si>
    <t>Khazar University</t>
  </si>
  <si>
    <t>Seychelles</t>
  </si>
  <si>
    <t>pink</t>
  </si>
  <si>
    <t>Sierra Leone</t>
  </si>
  <si>
    <t>Unable to access the policy from the Khazar University Library website due to a repeated error message.  A draft policy was availble and the website is provided in the appropriate column.  The policy encourages open access.</t>
  </si>
  <si>
    <t>Singapore</t>
  </si>
  <si>
    <t>Slovakia</t>
  </si>
  <si>
    <t>Khazar University is developing a new website.  The link to the repository on the university's website is not working.  The links from ROARMAP to the university home page and the repository are broken.  The university has provided a link to the "old" website which does not seem to be fully functional.</t>
  </si>
  <si>
    <t>Viet Nam</t>
  </si>
  <si>
    <t>Slovenia</t>
  </si>
  <si>
    <t>Somalia</t>
  </si>
  <si>
    <t>South Africa</t>
  </si>
  <si>
    <t>Zimbabwe</t>
  </si>
  <si>
    <t>Small island developing States</t>
  </si>
  <si>
    <t>Spain</t>
  </si>
  <si>
    <t>South Sudan</t>
  </si>
  <si>
    <t>Sudan</t>
  </si>
  <si>
    <t>Western Sahara</t>
  </si>
  <si>
    <t>Suriname</t>
  </si>
  <si>
    <t>Svalbard and Jan Mayen Islands</t>
  </si>
  <si>
    <t>Swaziland</t>
  </si>
  <si>
    <t>Sweden</t>
  </si>
  <si>
    <t>Switzerland</t>
  </si>
  <si>
    <t>Syrian Arab Republic</t>
  </si>
  <si>
    <t>Tajikistan</t>
  </si>
  <si>
    <t>Thailand</t>
  </si>
  <si>
    <t>Togo</t>
  </si>
  <si>
    <t>Tokelau</t>
  </si>
  <si>
    <t>requested</t>
  </si>
  <si>
    <t>Tonga</t>
  </si>
  <si>
    <t>Trinidad and Tobago</t>
  </si>
  <si>
    <t>United Arab Emirates</t>
  </si>
  <si>
    <t>Tunisia</t>
  </si>
  <si>
    <t>Turkey</t>
  </si>
  <si>
    <t>no_req</t>
  </si>
  <si>
    <t>Turkmenistan</t>
  </si>
  <si>
    <t>reccomended</t>
  </si>
  <si>
    <t>Turks and Caicos Islands</t>
  </si>
  <si>
    <t>Tuvalu</t>
  </si>
  <si>
    <t>Uganda</t>
  </si>
  <si>
    <t>Ukraine</t>
  </si>
  <si>
    <t>The former Yugoslav Republic of Macedonia</t>
  </si>
  <si>
    <t>disk0/00/00/06/02</t>
  </si>
  <si>
    <t>Egypt</t>
  </si>
  <si>
    <t>United Kingdom</t>
  </si>
  <si>
    <t>Argentine Ministry of Science, Technology &amp; Innovative Production</t>
  </si>
  <si>
    <t>Channel Islands</t>
  </si>
  <si>
    <t>black</t>
  </si>
  <si>
    <t>Guernsey</t>
  </si>
  <si>
    <t>No policy found: "http://www.mincyt.gob.ar/noticias/noticias_detalles.php?id_noticia=959"; information from http://www.mincyt.gob.ar/noticias/se-democratiza-el-acceso-a-la-informacion-cientifica-de-todo-el-pais-4498, which had preliminary approval by the House - unclear whether this has received further approval; policy applies to scholarly work, technical reports, theses, research data;</t>
  </si>
  <si>
    <t>Jersey</t>
  </si>
  <si>
    <t>[Pablo] This is a step in the passing of the National OA Law referenced below, not a policy as such: "OA law approved by the Congress", http://www.mincyt.gob.ar/noticias/se-democratiza-el-acceso-a-la-informacion-cientifica-de-todo-el-pais-4498. This Roarmap entry should be deleted.</t>
  </si>
  <si>
    <t>Isle of Man</t>
  </si>
  <si>
    <t>United Republic of Tanzania</t>
  </si>
  <si>
    <t>United States of America</t>
  </si>
  <si>
    <t>United States Virgin Islands</t>
  </si>
  <si>
    <t>Burkina Faso</t>
  </si>
  <si>
    <t>Uruguay</t>
  </si>
  <si>
    <t>Uzbekistan</t>
  </si>
  <si>
    <t>funder_and_research_org</t>
  </si>
  <si>
    <t>Venezuela (Bolivarian Republic of)</t>
  </si>
  <si>
    <t>Wallis and Futuna Islands</t>
  </si>
  <si>
    <t>Samoa</t>
  </si>
  <si>
    <t>Yemen</t>
  </si>
  <si>
    <t>Zambia</t>
  </si>
  <si>
    <t>any_repo</t>
  </si>
  <si>
    <t>other</t>
  </si>
  <si>
    <t>disk0/00/00/06/03</t>
  </si>
  <si>
    <t>Senate of Argentina</t>
  </si>
  <si>
    <t>green</t>
  </si>
  <si>
    <t>[Pablo] This National OA policy is issued by the Ministry of Science, Technology and Innovative Production as stated in the previous entry: the Senate just passed the Law as stated in http://www.mincyt.gob.ar/noticias/es-ley-el-acceso-libre-a-la-informacion-cientifica-9521. This should be updated when the previous entry is removed (otherwise it'd be a duplicate)</t>
  </si>
  <si>
    <t>funder</t>
  </si>
  <si>
    <t>embarg</t>
  </si>
  <si>
    <t>embargo</t>
  </si>
  <si>
    <t>6m</t>
  </si>
  <si>
    <t>disk0/00/00/06/04</t>
  </si>
  <si>
    <t>Universidad Nacional de La Plata</t>
  </si>
  <si>
    <t>Thesis policy, needs translation; embargo period of 24 months; mention that publication and preservation in IR is nonexclusive</t>
  </si>
  <si>
    <t>Used Google translate, so this may need review</t>
  </si>
  <si>
    <t>research_org_subunit</t>
  </si>
  <si>
    <t>etd</t>
  </si>
  <si>
    <t>none</t>
  </si>
  <si>
    <t>disk0/00/00/06/05</t>
  </si>
  <si>
    <t>Universidad Nacional de Mar del Plata, Faculdad de Ciencias Económicas y Sociales</t>
  </si>
  <si>
    <t>Needs translation</t>
  </si>
  <si>
    <t>Google translate didn't work; emailing Alma for help [Processed by Pablo]</t>
  </si>
  <si>
    <t>taiwan</t>
  </si>
  <si>
    <t>publication</t>
  </si>
  <si>
    <t>author_final</t>
  </si>
  <si>
    <t>author_retains</t>
  </si>
  <si>
    <t>12m</t>
  </si>
  <si>
    <t>disk0/00/00/05/64</t>
  </si>
  <si>
    <t>Australian Defence Force Academy @ UNSW</t>
  </si>
  <si>
    <t>No policy found</t>
  </si>
  <si>
    <t>ROARMAP indicates a thesis mandate (http://roarmap.eprints.org/150/), but no language found (see also)</t>
  </si>
  <si>
    <t>disk0/00/00/05/65</t>
  </si>
  <si>
    <t>Australian National University</t>
  </si>
  <si>
    <t>Policy statement, rather than mandate; deposit is "encouraged"; the policy is "directed especially at Scholarly Works, but provides advice about other scholarly publication"; policy also indicates "all HDR students commencing their candidature on 1 January 2011 will be required to deposit a digital version to the University in addition to their final bound printed copies. The bibliographic information and abstract for every thesis will be made available through the ANU Research repository"; statement "encourages authors to retain copyright in their work where possible"</t>
  </si>
  <si>
    <t>Verified by Anne Lahey
Email: anne.lahey@anu.edu.au
20/11/14</t>
  </si>
  <si>
    <t>disk0/00/00/05/66</t>
  </si>
  <si>
    <t>Australian Research Council</t>
  </si>
  <si>
    <t>Deposit must occur within a 12-month timeframe and includes "any publications arising from an ARC supported research project"; "[S]ome researchers may not be able to meet the new requirements initially because of current legal or contractual obligations. In these cases, Final Reports must provide reasons why publications derived from a Project, Award, or Fellowship have not been deposited in an open access institutional repository within the twelve month period"; either the final peer-reviewed manuscript or the published version may be deposited;</t>
  </si>
  <si>
    <t>disk0/00/00/05/67</t>
  </si>
  <si>
    <t>Bond University</t>
  </si>
  <si>
    <t>Deposit is "encouraged" "where possible" and covers funder research publications and data, theses, and conference publications; both the submitted and accepted versions are noted as being suitable for deposit; "the University actively supports publishing and copyright agreements that allow authors to retain copyright"</t>
  </si>
  <si>
    <t>disk0/00/00/05/68</t>
  </si>
  <si>
    <t>Charles Sturt University</t>
  </si>
  <si>
    <t>Policy applies to content "which would be included under the Higher Education Research Data Collection (HERDC)"; the final peer-reviewed and publishers versions are elligible for deposit; policy grants nonexclusive license</t>
  </si>
  <si>
    <t>disk0/00/00/05/69</t>
  </si>
  <si>
    <t>Curtin University</t>
  </si>
  <si>
    <t>Thesis mandate; "Students shall own the Copyright in their theses, unless the Student agrees otherwise in writing"</t>
  </si>
  <si>
    <t>disk0/00/00/05/70</t>
  </si>
  <si>
    <t>Deakin University</t>
  </si>
  <si>
    <t>The relevant portions of the Research Conduct Policy are sections 51-54; policy states research will be OA "except where this is restricted by copyright law and publisher policy"</t>
  </si>
  <si>
    <t>disk0/00/00/05/71</t>
  </si>
  <si>
    <t>Edith Cowan University</t>
  </si>
  <si>
    <t>Policy applies to the following work: "refereed research articles and conference papers at the post-review stage (author’s accepted manuscript); refereed research articles and conference papers at the pre-review stage (author’s submitted manuscript) with corrigenda added following peer review if necessary; books and book chapters; unrefereed research literature, conference contributions, chapters in proceedings (the accepted draft); data sets; theses submitted by Higher Degree by Research candidates; published patents; creative works with a research component; and other collections or resources developed or published by ECU staff, postgraduate students and authors affiliated with the University"; pre-review and post-review materials are recommended versions for deposit; deposit may be made at any time; "Staff should deposit the complete version of their works, subject to copyright and commercial in-confidence considerations"</t>
  </si>
  <si>
    <t>disk0/00/00/05/72</t>
  </si>
  <si>
    <t>Griffith University</t>
  </si>
  <si>
    <t>ROARMAP indicates there is a thesis mandate, but there isn't any language on the Griffith Univeristy site to this end. Griffith University participates in the Australian Digital Theses Program, but again there isn't any language available regarding policy</t>
  </si>
  <si>
    <t>disk0/00/00/05/73</t>
  </si>
  <si>
    <t>James Cook University</t>
  </si>
  <si>
    <t>Policy states deposit is required as specified by grant funding and encouraged for other work; policy refers to "research outputs"; APCs are paid if "the publishing medium (e.g., journal) is deemed to be Gold Open Access” and the “research publication is eligible for HERDC or ERA”</t>
  </si>
  <si>
    <t>institutional_funding</t>
  </si>
  <si>
    <t>disk0/00/00/05/74</t>
  </si>
  <si>
    <t>Macquarie University</t>
  </si>
  <si>
    <t>Policy states deposit may occur any time after acceptance; "Copyright remains with the author or publisher as per the publishing agreement"</t>
  </si>
  <si>
    <t>disk0/00/00/05/75</t>
  </si>
  <si>
    <t>Monash university</t>
  </si>
  <si>
    <t>Thesis policy; deposit is "encouraged"; “For students choosing to publish their eThesis online, this form serves as the publishing agreement between the student and the University. The student provides certain warranties for the University, indicating that they have the full power and right to grant Monash University the right to publish the thesis”
"Candidates who enrolled before 2005 are also exempt from submitting an electronic copy of their thesis."</t>
  </si>
  <si>
    <t>disk0/00/00/05/76</t>
  </si>
  <si>
    <t>Murdoch University</t>
  </si>
  <si>
    <t>Thesis policy; policy is not available, but "Research and Developement" guidelines give some indication of policy intent; since "2003 theses were required to be submitted in print and electronic format";</t>
  </si>
  <si>
    <t>disk0/00/00/05/77</t>
  </si>
  <si>
    <t>National Health &amp; Medical Research Council (NHMRC)</t>
  </si>
  <si>
    <t>NHMRC requires that any peer-reviewed journal publication arising from NHMRC supported research must be deposited into an open access institutional repository and/or made available in another open access format within a twelve month period from the date of publication. A detailed guide is available in the Policy URL.</t>
  </si>
  <si>
    <t>Verification provided by Dr Wee-Ming Boon
Email: wee-ming.boon@nhmrc.gov.au
03/12/14</t>
  </si>
  <si>
    <t>permitted</t>
  </si>
  <si>
    <t>disk0/00/00/05/78</t>
  </si>
  <si>
    <t>Northern Melbourne Institute of TAFE</t>
  </si>
  <si>
    <t>This info available in ROARMAP: http://www.eprints.org/openaccess/policysignup/fullinfo.php?inst=Northern%20Melbourne%20Institute%20of%20TAFE, but no policy found</t>
  </si>
  <si>
    <t>disk0/00/00/05/79</t>
  </si>
  <si>
    <t>Queensland University of Technology</t>
  </si>
  <si>
    <t>Policy "in effect it applies to the corpus of refereed research literature, conference papers, selected creative works and other non-refereed output, including research data"; peer-reviewed articles and theses must be included, other works may be included</t>
  </si>
  <si>
    <t>disk0/00/00/05/80</t>
  </si>
  <si>
    <t>RMIT University</t>
  </si>
  <si>
    <t>ROARMAP indicates a thesis policy; thesis policy only states "Whatever form the published work takes it is necessary that it should, at the very least, have been accessible within the public domain and have undergone a refereed or substantive peer review process"; repository FAQs states: "Most Masters, Doctor of Philosophy (PhD) and Professional Doctorate theses are also included and these date from approx 2006. Those under embargo have been excluded from the repository until expiry"</t>
  </si>
  <si>
    <t>disk0/00/00/05/81</t>
  </si>
  <si>
    <t>Swinburne University</t>
  </si>
  <si>
    <t>Thesis policy; students provide a "final electronic copy as part of the final presentation"</t>
  </si>
  <si>
    <t>disk0/00/00/05/82</t>
  </si>
  <si>
    <t>University of Adelaide</t>
  </si>
  <si>
    <t>Thesis policy</t>
  </si>
  <si>
    <t>Verified by Angela Mills 
Email: angela.mills@adelaide.edu.au
18/11/14</t>
  </si>
  <si>
    <t>24m</t>
  </si>
  <si>
    <t>disk0/00/00/05/85</t>
  </si>
  <si>
    <t>University of Central Queensland</t>
  </si>
  <si>
    <t>Thesis policy; deposit is to the Australian Digital Thesis Program and deposit to CQUniversity's repository is recommended; "Restricted access is normally approved for up to one year in the first instance. Any extension beyond this period will be at the discretion of the DSGR"</t>
  </si>
  <si>
    <t>suject_repo</t>
  </si>
  <si>
    <t>disk0/00/00/05/83</t>
  </si>
  <si>
    <t>University of Melbourne</t>
  </si>
  <si>
    <t>Thesis policy; thesis will be "open access subject to copyright clearance and with the agreement of your principal supervisor and/or head of department"</t>
  </si>
  <si>
    <t>disk0/00/00/05/86</t>
  </si>
  <si>
    <t>University of New South Wales</t>
  </si>
  <si>
    <t>red</t>
  </si>
  <si>
    <t>Thesis policy; copyright statement on p. 11 of policy, "grant the University of New South Wales or its agents 
the right to archive and to make available my thesis or dissertation in whole or part in the University libraries"</t>
  </si>
  <si>
    <t>disk0/00/00/05/87</t>
  </si>
  <si>
    <t>University of Newcastle</t>
  </si>
  <si>
    <t>"The deposit of material into NOVA does not transfer copyright to the University of Newcastle. Inclusion, use and access of full-text material in the repository is subject to copyright law and agreement with the copyright owner."</t>
  </si>
  <si>
    <t>disk0/00/00/05/84</t>
  </si>
  <si>
    <t>University of Queensland</t>
  </si>
  <si>
    <t>Policy indicates work should be made available "as soon as possible following acceptance of the publication, taking into account any restrictions imposed by the publisher" and applies to "publications arising from their research"; policy "recommends the transfer of copyright to the publisher be avoided";</t>
  </si>
  <si>
    <t>Verified by Andrew Heath 
Email: a.heath@library.uq.edu.au
20/11/14</t>
  </si>
  <si>
    <t>faculty</t>
  </si>
  <si>
    <t>recommended</t>
  </si>
  <si>
    <t>disk0/00/00/05/88</t>
  </si>
  <si>
    <t>University of Southern Australia</t>
  </si>
  <si>
    <t>Research outputs which are subject to confidentiality, privacy, trade secrets, national security, commercial interests and to intellectual property rights (other than intellectual property rights solely held by the University) shall only be accessible in open access by formal agreement with all parties. In addition any data, know-how or information in whatever form which is held by private parties or by public/private partnerships prior to the conduct of research shall not fall under this policy. "Refereed outputs to be deposited include book chapters, journal articles, peer reviewed conference papers, creative textual works, reports and University research theses." Unrefereed scholarly outputs are also to be deposited. "An electronic copy of the final refereed, revised draft (post-print) of each research or scholarly output of the University is to be deposited in the URA by the author within one month of acceptance for publication." Deposit post-print and final version where publishers allow."Open access to the full-text will be available as soon as is practicable and not later than twelve months after publication. Embargoes and access restrictions will be applied as necessary."</t>
  </si>
  <si>
    <t>LInk to policy from public website so no longer waiting for authorisation to enter into ROARMAP</t>
  </si>
  <si>
    <t>disk0/00/00/05/89</t>
  </si>
  <si>
    <t>University of Southern Queensland</t>
  </si>
  <si>
    <t>No policy found; ROARMAP indicates a thesis madate, but the language on the website doesn't indicate this is mandatory: "theses listed below should be entered into USQ ePrints"</t>
  </si>
  <si>
    <t>disk0/00/00/06/79</t>
  </si>
  <si>
    <t>University of Sydney</t>
  </si>
  <si>
    <t>disk0/00/00/05/90</t>
  </si>
  <si>
    <t>University of Tasmania</t>
  </si>
  <si>
    <t>No policy found; ROARMAP indicates a thesis and institutional mandate, but no language found</t>
  </si>
  <si>
    <t>See http://utas.libanswers.com/a.php?qid=174556</t>
  </si>
  <si>
    <t>disk0/00/00/05/91</t>
  </si>
  <si>
    <t>University of Tasmania School of Computing</t>
  </si>
  <si>
    <t>No policy found; ROARMAP indicates a department mandate, but no language found</t>
  </si>
  <si>
    <t>See http://eprints.utas.edu.au/information.html</t>
  </si>
  <si>
    <t>disk0/00/00/05/92</t>
  </si>
  <si>
    <t>University of Technology, Sydney</t>
  </si>
  <si>
    <t>Approved by Academic Board. "Both the accepted manuscripts and published versions must be deposited in the digital repository ... The UTS Intellectual Property Policy articulates the rights of the University to a nonexclusive, royalty-free, perpetual, irrevocable worldwide licence to reproduce and distribute staff and student research or scholarly outputs for the purposes of the University."</t>
  </si>
  <si>
    <t>Verified by Julie-Anne Marshall 
Email: Julie-Anne.Marshall@uts.edu.au
10/11/14</t>
  </si>
  <si>
    <t>SE</t>
  </si>
  <si>
    <t>disk0/00/00/05/93</t>
  </si>
  <si>
    <t>University of Western Australia</t>
  </si>
  <si>
    <t>Thesis policy; ROARMAP indicates a policy, but no policy found; only statement re theses deposited to the IR reads: "Students who commenced their candidature after March 2003 are required to lodge their thesis with the Repository, and will have been advised of this requirement by the Graduate Research School."</t>
  </si>
  <si>
    <t>disk0/00/00/05/94</t>
  </si>
  <si>
    <t>University of Wollongong</t>
  </si>
  <si>
    <t>"deposit of material into the institutional repository does not transfer ownership of copyright to the University of Wollongong"; policy covers "post-peer reviewed research articles", "[o]ther refereed material,", and "[u]n-refereed research publications"; "Gold Open Access may be supported and funded at the faculty level where strategically or otherwise appropriate."</t>
  </si>
  <si>
    <t>disk0/00/00/05/95</t>
  </si>
  <si>
    <t>Victoria University</t>
  </si>
  <si>
    <t>Policy grants a nonexclusive license; both pre- and post-print versions are mentioned as being depositable; "All submissions will be assessed for compliance with this policy before they are made available for open access"</t>
  </si>
  <si>
    <t>disk0/00/00/07/73</t>
  </si>
  <si>
    <t>Academy of Fine Arts Vienna</t>
  </si>
  <si>
    <t>Andreas Ferus</t>
  </si>
  <si>
    <t>disk0/00/00/00/76</t>
  </si>
  <si>
    <t>Austrian Academy of Sciences</t>
  </si>
  <si>
    <t>disk0/00/00/00/77</t>
  </si>
  <si>
    <t>Austrian Science Fund (FWF)</t>
  </si>
  <si>
    <t>For projects that are filed on 01.01.2016, ORCID is mandatory.
Project leaders are required to acknowledge support from the FWF in every presentation and/or publication of research results. The following naming convention must be observed in all cases: 
Austrian Science Fund (FWF): project number.
Gold: The fees for Open Access journals are capped at €2,500 per item. If these above, the difference can still be covered by the global budget or from other sources.
Hybrid: The ransom for Open Access is capped at € 1,500 per item. If the cost about the difference may continue to be covered by the global budget or from other sources.
Caps are valid for all projects funded after 1/11/2014.
Applicants for research grants are explicitly asked to budget funds for processing, archiving and re-using open research data.</t>
  </si>
  <si>
    <t>Verified by Falk J. Reckling 14/04/15 
Email: falk.reckling@fwf.ac.at  
Content types specified under the mandate: all peer-reviewed publications
Is deposit a precondition for research evaluation (the 'Liège/HEFCE Model')?: yes, starting in 2016</t>
  </si>
  <si>
    <t>req_cc_by</t>
  </si>
  <si>
    <t>additional_funding</t>
  </si>
  <si>
    <t>disk0/00/00/00/78</t>
  </si>
  <si>
    <t>Institute of Science and Technology (IST)</t>
  </si>
  <si>
    <t>Missing in ROARMAP</t>
  </si>
  <si>
    <t>disk0/00/00/00/79</t>
  </si>
  <si>
    <t>University of Graz</t>
  </si>
  <si>
    <t>disk0/00/00/00/80</t>
  </si>
  <si>
    <t>University of Vienna</t>
  </si>
  <si>
    <t>Deposit a requirement unless legal reasons don't allow.</t>
  </si>
  <si>
    <t>disk0/00/00/00/83</t>
  </si>
  <si>
    <t>Académie universitaire 'Louvain'</t>
  </si>
  <si>
    <t>blue</t>
  </si>
  <si>
    <t>Documents from the Academic Council are available to university affiliates  at &lt;http://www.uclouvain.be/cac.html&gt;.  The home page for DIAL the institutional repository for the Académie Louvain provides information about open access and a link to a FAQ page on open access and the university's mandate at &lt;http://dial.academielouvain.be/vital/access/manager/FAQ&gt;.  Information about copyright and rights retention is provided. The Guide du déposant is a thorough document and also offers information about the mandate &lt;http://dial.academielouvain.be/valet/guide.pdf&gt; ... "... depending on your copyright, the type of access allowed: [a] Access denied [b] Restricted access to the institution [c] Free access [d] Access denied until ... (embargo) and then: open or restricted access to UCL"</t>
  </si>
  <si>
    <t>The link to the policy in ROARMAP is dead.  Links within several announcements about the policy are also dead: [1] &lt;http://sparceurope.org/significant-new-deposit-mandates-announced/&gt; [2] http://openaccess.cmb.med.rug.nl/?p=16142 [3] &lt;http://legacy.earlham.edu/~peters/fos/2009/03/new-oa-mandate-and-ir-for-academie.html&gt; [4] &lt;http://openaccess.eprints.org/index.php?/archives/559-guid.html&gt;</t>
  </si>
  <si>
    <t>disk0/00/00/00/85</t>
  </si>
  <si>
    <t>DIAL (Dépôt Institutionel de l’Université catholique de Louvain et de l’Université Saint-Louis)</t>
  </si>
  <si>
    <t>RESOURCES: [1] &lt;http://www.uclouvain.be/395562.html#BTECdepotdroit&gt; The linked document references the mandate active since January 1, 2013 and provides links to the FAQ &lt;http://dial.academielouvain.be/vital/access/manager/FAQ&gt; and Guide &lt;http://dial.academielouvain.be/valet/guide.pdf&gt; "... depending on your copyright, the type of access allowed: [a] Access denied [b] Restricted access to the institution [c] Free access [d] Access denied until ... (embargo) and then: open or restricted access to UCL"</t>
  </si>
  <si>
    <t>Senate Council reports and documents are only available to university affiliates.</t>
  </si>
  <si>
    <t>disk0/00/00/06/80</t>
  </si>
  <si>
    <t>European Commission: Horizon 2020</t>
  </si>
  <si>
    <t>disk0/00/00/06/83</t>
  </si>
  <si>
    <t>European Research Council (ERC)</t>
  </si>
  <si>
    <t>disk0/00/00/00/86</t>
  </si>
  <si>
    <t>FRS/FNRS Belgium</t>
  </si>
  <si>
    <t>[1] A post by Stevan Harnad on the importance of the FRS/FNRS mandate. &lt;http://openaccess.eprints.org/index.php?/archives/864-.html&gt;</t>
  </si>
  <si>
    <t>disk0/00/00/00/87</t>
  </si>
  <si>
    <t>Flanders Marine Institute</t>
  </si>
  <si>
    <t>RESOURCES: [1] VLIZ has a data policy &lt;http://www.vliz.be/en/data-policy&gt; that follows the recommendations of the IOC &lt;http://www.iode.org/index.php?option=com_content&amp;view=article&amp;id=51&amp;Itemid=100040&gt; [2] Overview of the Open Marine Archive &lt;http://www.vliz.be/en/imis?module=ref&amp;refid=222859&gt; [3] Annual Report 2007 &lt;http://www.vliz.be/en/vliz-annual-report&gt; See pp 48-50 re: Library and Open Marine Archive [4] Items in the OMA can be read but not reproduced or used commercially.</t>
  </si>
  <si>
    <t>disk0/00/00/00/88</t>
  </si>
  <si>
    <t>Ghent University</t>
  </si>
  <si>
    <t>The University provides information about the mandate on the home page for the institutional repository.  Additional information is provided here &lt;https://biblio.ugent.be/pages/openaccessugent.html&gt; The record of decision by the Board of Directors is linked to the same webpage and is available to university affiliates. The policy strongly recommends that authors retain key rights.  Evaluating deposits is used to measure level of departmental funding by institution. The university has purchased memberships with PLoS and BMC.</t>
  </si>
  <si>
    <t>disk0/00/00/00/89</t>
  </si>
  <si>
    <t>Institute of Tropical Medicine</t>
  </si>
  <si>
    <t>disk0/00/00/00/90</t>
  </si>
  <si>
    <t>Katholieke Universiteit Leuven</t>
  </si>
  <si>
    <t>[1] Dissertation mandate has been in place since 2005 &lt;http://www.kuleuven.be/research/phd/my_phd.html#doctwat&gt; [2] The university provides information about open access here &lt;http://bib.kuleuven.be/english/ub/target-group-research/open-access/KULeuvenOA&gt; [3] Announcement of open access proposal &lt;http://centrallibkuleuven.wordpress.com/2011/07/25/implementation-open-access-at-k-u-leuven/&gt; as noted in ROARMAP [4] The university does not provide funds for APCs &lt;http://bib.kuleuven.be/english/ub/target-group-research/open-access/OpenAccessJournals&gt; [5] University encourages author to retain key rights.</t>
  </si>
  <si>
    <t>Verified by Hannelore Vanhaverbeke 
Email: Hannelore.Vanhaverbeke@doc.kuleuven.be
07/10/14
[1] The FAQ on open access is very helpful &lt;http://bib.kuleuven.be/english/ub/target-group-research/open-access/FAQ&gt; [2] The presentation &lt;http://www.kuleuven.be/onderzoek/lirias/lirias.pdf&gt; shows that open access is part of assessment [3] Updated from document provided by J-CK 30/7/14</t>
  </si>
  <si>
    <t>disk0/00/00/00/91</t>
  </si>
  <si>
    <t>Research Foundation Flanders</t>
  </si>
  <si>
    <t>[1] Peter's original announcement &lt;http://legacy.earlham.edu/~peters/fos/2007/04/oa-funder-mandate-from-flanders.html&gt; [2] From a blog post by Bernard Rentier &lt;http://recteur.blogs.ulg.ac.be/?cat=10&amp;paged=6&gt; [3] Policy advises researchers to deposit data.</t>
  </si>
  <si>
    <t>disk0/00/00/00/92</t>
  </si>
  <si>
    <t>Saint-Louis University Brussels</t>
  </si>
  <si>
    <t>Policy requires researchers to "These full versions are made ​​available free of charge as soon as possible, taking into account the constraints imposed in some cases by the editors. If a unable to open access than 18 months after publication, the author of the article inform the President of the Research Council."</t>
  </si>
  <si>
    <t>disk0/00/00/00/93</t>
  </si>
  <si>
    <t>Science Europe</t>
  </si>
  <si>
    <t>RESOURCES: [1] &lt;http://www.scienceeurope.org/uploads/PublicDocumentsAndSpeeches/SE_OA_Pos_Statement.pdf&gt; [2] &lt;http://www.scienceeurope.org/uploads/PublicDocumentsAndSpeeches/ScienceEurope_Roadmap.pdf&gt; [3] &lt;http://www.scienceeurope.org/uploads/PublicDocumentsAndSpeeches/SE_Humanities_Paper_FIN.pdf&gt;</t>
  </si>
  <si>
    <t>"Science Europe is an association of European Research Funding Organisations (RFO) and Research Performing Organisations (RPO), based in Brussels." ScienceEurope recommends that funders provide "clear and binding mandates for green open access" while supporting gold open access.  ScienceEurope supports the use of re-use licenses.</t>
  </si>
  <si>
    <t>disk0/00/00/00/84</t>
  </si>
  <si>
    <t>Universiteit Antwerpen</t>
  </si>
  <si>
    <t>Policy is not yet available on policy URL page</t>
  </si>
  <si>
    <t>disk0/00/00/00/94</t>
  </si>
  <si>
    <t>University of Liege</t>
  </si>
  <si>
    <t>RESOURCES: [1] http://www.ulg.ac.be/cms/c_17700/open-access [2] Thesis mandate &lt;http://bictel.ulg.ac.be/&gt;[3] From the ULg Library website [a] &lt;http://libnet.ulg.ac.be/fr/content/open-access-l-ulg&gt; [b] positions oa APCs and avalable funds &lt;http://libnet.ulg.ac.be/fr/content/choisir-votre-couleur-d-oa&gt; [d] &lt;http://orbi.ulg.ac.be/project?id=01&gt;</t>
  </si>
  <si>
    <t>Verified by Cécile Dohogne
Email: orbi@misc.ulg.ac.be
07/10/14</t>
  </si>
  <si>
    <t>disk0/00/00/00/96</t>
  </si>
  <si>
    <t>University of Mons</t>
  </si>
  <si>
    <t>disk0/00/00/00/97</t>
  </si>
  <si>
    <t>University of Namur</t>
  </si>
  <si>
    <t>disk0/00/00/00/95</t>
  </si>
  <si>
    <t>Université libre de Bruxelles</t>
  </si>
  <si>
    <t>disk0/00/00/06/06</t>
  </si>
  <si>
    <t>Universidad Autónoma Gabriel René Moreno (UAGRM). Escuela de Postgrado</t>
  </si>
  <si>
    <t>ROARMAP indicates there is a thesis policy, no policy found</t>
  </si>
  <si>
    <t>[Pablo] Availability of a catalogue of institutional dissertations at http://bit.ly/1jheTW7 could be a (feeble) evidence for an OA policy, references to which are otherwise missing at EPG website. An email has been sent to colleagues at UAGRM to try to collect additional info</t>
  </si>
  <si>
    <t>disk0/00/00/06/07</t>
  </si>
  <si>
    <t>Brazil House of Representatives</t>
  </si>
  <si>
    <t>Policy needs translation; applies to universities and resaerchers receiving government funding; not complying with the policy makes university/research organization ineligible for additonal funding</t>
  </si>
  <si>
    <t>disk0/00/00/06/08</t>
  </si>
  <si>
    <t>Escola Nacional de Saúde Pública Sergio Arouca/Fiocruz</t>
  </si>
  <si>
    <t>Policy needs translation; grants a nonexclusive license;</t>
  </si>
  <si>
    <t>Used Google translate, so this may need review [Pablo: done]</t>
  </si>
  <si>
    <t>disk0/00/00/06/18</t>
  </si>
  <si>
    <t>Fundação João Pinheiro (FJP)</t>
  </si>
  <si>
    <t>Links not working</t>
  </si>
  <si>
    <t>UMinho</t>
  </si>
  <si>
    <t>disk0/00/00/06/22</t>
  </si>
  <si>
    <t>Fundação Oswaldo Cruz (FIOCRUZ)</t>
  </si>
  <si>
    <t>disk0/00/00/06/15</t>
  </si>
  <si>
    <t>Universidade Federal da Bahia (UFBA)</t>
  </si>
  <si>
    <t>disk0/00/00/06/09</t>
  </si>
  <si>
    <t>Universidade Federal de Lavras</t>
  </si>
  <si>
    <t>Policy needs translation; applies to "any production is considered technical, scientific, artistic or cultural"</t>
  </si>
  <si>
    <t>disk0/00/00/06/19</t>
  </si>
  <si>
    <t>Universidade Federal de Ouro Preto (UFOP)</t>
  </si>
  <si>
    <t>The link didn't work!</t>
  </si>
  <si>
    <t>disk0/00/00/06/10</t>
  </si>
  <si>
    <t>Universidade Federal de Sergipe</t>
  </si>
  <si>
    <t>[Pablo] Policy available at https://ri.ufs.br/files/politica-ri-ufs.pdf</t>
  </si>
  <si>
    <t>disk0/00/00/06/16</t>
  </si>
  <si>
    <t>Universidade Federal do Ceará (UFC)</t>
  </si>
  <si>
    <t>disk0/00/00/06/21</t>
  </si>
  <si>
    <t>Universidade Federal do Recôncavo da Bahia</t>
  </si>
  <si>
    <t>disk0/00/00/06/12</t>
  </si>
  <si>
    <t>Universidade Federal do Rio Grande (FURG)</t>
  </si>
  <si>
    <t>Policy needs translation; policy applies to research output</t>
  </si>
  <si>
    <t>disk0/00/00/06/17</t>
  </si>
  <si>
    <t>Universidade Federal do Rio Grande do Norte (UFRN)</t>
  </si>
  <si>
    <t>disk0/00/00/06/11</t>
  </si>
  <si>
    <t>Universidade Federal do Rio Grande do Sul (UFRGS)</t>
  </si>
  <si>
    <t>Policy needs translation</t>
  </si>
  <si>
    <t>on_deposit</t>
  </si>
  <si>
    <t>disk0/00/00/06/20</t>
  </si>
  <si>
    <t>Universidade Tecnológica Federal do Paraná (UTFPR)</t>
  </si>
  <si>
    <t>disk0/00/00/06/13</t>
  </si>
  <si>
    <t>Universidade de Brasilia</t>
  </si>
  <si>
    <t>[Pablo] Policy available at http://repositorio.unb.br/termo/resolucao.pdf (but wasn't earlier)</t>
  </si>
  <si>
    <t>disk0/00/00/06/14</t>
  </si>
  <si>
    <t>Universidade de São Paulo - USP</t>
  </si>
  <si>
    <t>Verified by Célia Rosa
Email: atendimento@dt.sibi.usp.br
04/11/14
We emphasize that the policy of the repository: www.producao.usp.br, was translated into English and Spanish: http://www.producao.usp.br/page/politicaAcessoEnUS, http://www.producao.usp.br/page/politicaAcessoEs.
Furthermore, complementing the option "Content Types specified under the policy", the institutional repository has the following submission types: articles (preprint, posprint, published version), books, books sections, event communication, learning objects (videos). 
The version of journal article to be deposited are: published version, preprint, postprint.</t>
  </si>
  <si>
    <t>req_cc_by_nc</t>
  </si>
  <si>
    <t>disk0/00/00/00/81</t>
  </si>
  <si>
    <t>Belarus National Technical University Library</t>
  </si>
  <si>
    <t>RESOURCES: [1] The article &lt;http://rep.bntu.by/handle/data/5324&gt; contains the same language as ROARMAP entry. [2] Paper on library marketing uses the same language &lt;http://rep.bntu.by/handle/data/4220&gt; [3] 3rd article with the same text &lt;http://rep.bntu.by/handle/data/5323&gt; [4] Book chapter discussing OA mandate &lt;http://rep.bntu.by/handle/data/5622&gt; ETDS are deposited but not made OA.</t>
  </si>
  <si>
    <t>could not find a mandate.</t>
  </si>
  <si>
    <t>disk0/00/00/00/82</t>
  </si>
  <si>
    <t>Belarusian State University</t>
  </si>
  <si>
    <t>amber</t>
  </si>
  <si>
    <t>RESOURCES: [1] &lt;http://www.bsu.by/ru/main.aspx?guid=196461&gt; Webpage entitled "Deposition at BSU" with supporting documents.  I am not sure that I understood the Google translation -- is this for all documents (?) , ETDS (?) ... [2] Author can decide if commercial reuse is allowed.</t>
  </si>
  <si>
    <t>Policy needs translation.  Could not find the orignal mandate on the BSU website. Could not find forms for copyright agreements mentioned in the English translation from Google as "Annex 2" and "Annex 4."</t>
  </si>
  <si>
    <t>disk0/00/00/04/14</t>
  </si>
  <si>
    <t>Athabasca University</t>
  </si>
  <si>
    <t>AU requests that faculty, academic and professional staff deposit an electronic copy of any published research articles (as elsewhere accepted for publication) in an AU repository. The contract with the publisher determines whether the article is restricted (lives in the repository as a record of the AU's research but is not accessible online by searchers) or open access (accessible online by searchers).</t>
  </si>
  <si>
    <t>http://ous.athabascau.ca/policy/research/openaccess.htm.  Lnk broken, see http://ous.athabascau.ca/policy/research.php.</t>
  </si>
  <si>
    <t>disk0/00/00/04/15</t>
  </si>
  <si>
    <t>Brock University</t>
  </si>
  <si>
    <t>Only thesis policy.  Are part of Canada's draft Tri-Agency Open Access Policy - currently in consultation period, final policy to be announced 'Fall 2014'.</t>
  </si>
  <si>
    <t>Contacted Elizabeth Yates for clarification . "I would love to have an institutional mandate for OA but don’t see it happening anytime soon, despite the coming Tri-Agency OA policy"</t>
  </si>
  <si>
    <t>author_grants</t>
  </si>
  <si>
    <t>disk0/00/00/04/17</t>
  </si>
  <si>
    <t>Canadian Cancer Society (CCS)</t>
  </si>
  <si>
    <t>Deposit required asap or no later than 12 months after the final publication date.  All outputs to be made OA. Reference for repository: http://roarmap.eprints.org/id/eprint/100</t>
  </si>
  <si>
    <t>disk0/00/00/04/18</t>
  </si>
  <si>
    <t>Canadian Health Services Research Foundation (CHSRF)</t>
  </si>
  <si>
    <t>Deposit requested asap or no later than six months after final publication date. Reference for repository: http://roarmap.eprints.org/id/eprint/130</t>
  </si>
  <si>
    <t>Name change: Canadian Foundation for Healthcare Improvement (CFHI)</t>
  </si>
  <si>
    <t>disk0/00/00/04/19</t>
  </si>
  <si>
    <t>Canadian Institutes of Health Research (CIHR)</t>
  </si>
  <si>
    <t>Deposit requested asap or no later than 12 months after final publication date.  Peer-reviewed manuscripts and publication-related biomedical research data.</t>
  </si>
  <si>
    <t>disk0/00/00/04/20</t>
  </si>
  <si>
    <t>Concordia University</t>
  </si>
  <si>
    <t>disk0/00/00/04/21</t>
  </si>
  <si>
    <t>Fonds de la recherche en sante Quebec (FRSQ)</t>
  </si>
  <si>
    <t>Deposit all research outputs (published &amp; unpublished) "ideally, no later than six months after publication or presentation".  Reference for repository: http://roarmap.eprints.org/id/eprint/109</t>
  </si>
  <si>
    <t>disk0/00/00/04/22</t>
  </si>
  <si>
    <t>Genome Canada</t>
  </si>
  <si>
    <t>Deposit asap or no later than six months after publication. Reference for repository: http://roarmap.eprints.org/id/eprint/131</t>
  </si>
  <si>
    <t>disk0/00/00/04/23</t>
  </si>
  <si>
    <t>Heart &amp; Stroke Foundation of Canada</t>
  </si>
  <si>
    <t>HSF defines research outputs as peer-reviewed journal publications, research data, and the results of clinical trials that will not be published in peer-reviewed journals. Preferably, post the final results on the International Standard Randomized Controlled Trial Number (ISRCTN) Register (www.controlled-trials.com), or ClinicalTrials.gov or a pharma or industry website within six months of completion of the trial.
Alternatively, deposit (archive) the final trial results report in your institutional repository or personal website within six months of completion of the trial.  Reference for repository: http://roarmap.eprints.org/id/eprint/288</t>
  </si>
  <si>
    <t>disk0/00/00/04/24</t>
  </si>
  <si>
    <t>International Development Research Centre</t>
  </si>
  <si>
    <t>No policy available yet</t>
  </si>
  <si>
    <t>Emailed info@idrc.ca for policy info. Mélanie Brunet: "We do not have one yet.  However, it is in the works and our OA policy should be unveiled in the next few months"</t>
  </si>
  <si>
    <t>disk0/00/00/04/25</t>
  </si>
  <si>
    <t>McGill University Library</t>
  </si>
  <si>
    <t>***Unable to locate policy other than one already included in ROARMAP as a .pdf document. Emailed Amy Buckland for more info</t>
  </si>
  <si>
    <t>disk0/00/00/04/26</t>
  </si>
  <si>
    <t>Michael Smith Foundation for Health Research (MSFHR)</t>
  </si>
  <si>
    <t>Emailed for more info</t>
  </si>
  <si>
    <t>disk0/00/00/04/27</t>
  </si>
  <si>
    <t>Mount Saint Vincent University</t>
  </si>
  <si>
    <t>disk0/00/00/04/28</t>
  </si>
  <si>
    <t>National Research Council Canada (NRC)</t>
  </si>
  <si>
    <t>disk0/00/00/04/29</t>
  </si>
  <si>
    <t>Natural Sciences &amp; Engineering Research Council of Canada (NSERC)</t>
  </si>
  <si>
    <t>disk0/00/00/04/30</t>
  </si>
  <si>
    <t>Ontario Institute for Cancer Research (OICR)</t>
  </si>
  <si>
    <t>Answers refer to Nov 2009 policy. OICR will limit the open access policy to peer-reviewed journal publications and publication-related biomedical research data, as well as software (source code developed  for research purposes), which are typically deposited into public databases as a condition of publication. If journal embargo period is 12 months articles will be made available at the OICR-IR through a reprint request service for the interval between six (6) and twelve (12) months following publication. Reference for repository: http://roarmap.eprints.org/id/eprint/86</t>
  </si>
  <si>
    <t>No link to actual policy, but referred to in press release: http://oicr.on.ca/news/portal-news/open-access-policy-will-give-researchers-worldwide-immediate-access-oicr-data.  Found policy details as part of general policy document (Nov 2009) here: http://oicr.on.ca/research-grants/policies.  Emailed to ask for up-to-date policy and link to IR which is mentioned but not linked to.</t>
  </si>
  <si>
    <t>disk0/00/00/04/31</t>
  </si>
  <si>
    <t>Queen's University Library Faculty</t>
  </si>
  <si>
    <t>Policy found as MSWord file, by Googling. Could not locate through institutional website or IR.</t>
  </si>
  <si>
    <t>disk0/00/00/06/82</t>
  </si>
  <si>
    <t>Social Sciences and Humanities Research Council of Canada (SSHRC)</t>
  </si>
  <si>
    <t>disk0/00/00/04/32</t>
  </si>
  <si>
    <t>Télé-université</t>
  </si>
  <si>
    <t>Policy in French.  Translated from French (using Google translate).</t>
  </si>
  <si>
    <t>Cannot find repository URL.</t>
  </si>
  <si>
    <t>disk0/00/00/04/33</t>
  </si>
  <si>
    <t>University of Calgary Library &amp; Cultural Resources</t>
  </si>
  <si>
    <t>LCR academic staff commit to deposit their scholarly output in the University of Calgary’s open access scholarly repository. Moratorium on payment of APCs for hybrid journals from central University fund due April 2015</t>
  </si>
  <si>
    <t>disk0/00/00/04/34</t>
  </si>
  <si>
    <t>University of Guelph</t>
  </si>
  <si>
    <t>Cannot find policy - emailed for more info.</t>
  </si>
  <si>
    <t>disk0/00/00/04/35</t>
  </si>
  <si>
    <t>University of Guelph Faculty of Environmental Sciences</t>
  </si>
  <si>
    <t>Policy guidance found on repository SES Community page.</t>
  </si>
  <si>
    <t>disk0/00/00/04/36</t>
  </si>
  <si>
    <t>University of Ottawa</t>
  </si>
  <si>
    <t>Graduate students are required to submit the final version of their thesis electronically using uO Research, the University's institutional repository.</t>
  </si>
  <si>
    <t>Email from Jeanette.Hatherill@uottawa.ca - No general policy, only for theses (consists of line at top of IR ETD submission form)
Verified by Jeanette Hatherill
Email: Jeanette.Hatherill@uottawa.ca
25/11/14</t>
  </si>
  <si>
    <t>disk0/00/00/04/37</t>
  </si>
  <si>
    <t>University of Toronto</t>
  </si>
  <si>
    <t>Policy details refer to ISE faculty only.</t>
  </si>
  <si>
    <t>Email from  Julie Hannaford &lt;j.hannaford@utoronto.ca&gt; - No institutional OA policy, only Ontario Institute for Studies in Education faculty.</t>
  </si>
  <si>
    <t>disk0/00/00/04/38</t>
  </si>
  <si>
    <t>York University Librarians and Archivists</t>
  </si>
  <si>
    <t>Works should be deposited in YorkSpace as soon as is possible. This policy applies to all scholarly and professional work (inc. Scholarly and professional articles; Substantive presentations, including slides and text; Books/book chapters; Reports; Substantive pedagogical materials such as online tutorials.)</t>
  </si>
  <si>
    <t>disk0/00/00/04/39</t>
  </si>
  <si>
    <t>École de technologie supérieure</t>
  </si>
  <si>
    <t>Can only find reference to deposit of theses.</t>
  </si>
  <si>
    <t>Emailed for more info. Website translated from French</t>
  </si>
  <si>
    <t>disk0/00/00/00/13</t>
  </si>
  <si>
    <t>Chinese Academy of Sciences (CAS)</t>
  </si>
  <si>
    <t>Refers to"research articles". Make the final article publicly available within 12 months of the official date of  publication. Make previous versions OA in Irs. Supports Gold publishing in "open access journals with reliable quality control and reasonable APCs".</t>
  </si>
  <si>
    <t>Seems as though Stevan has entered it into ROARMAP after your excel. Did not sent email to ask for approval from CAS therefore.</t>
  </si>
  <si>
    <t>disk0/00/00/00/14</t>
  </si>
  <si>
    <t>Chinese Ministry of Science &amp; Technology</t>
  </si>
  <si>
    <t>Link to the policy in ROARMAP is dead.  [1] Tony Hey &lt;http://tonyhey.net/2013/08/08/a-global-view-of-open-access-part-3/&gt; recently wrote about OA progrees in China.   [2] "Strategies for Preservation of and Open Access to Scientific Data in China" published by the National Academies Press &lt;http://www.nap.edu/openbook.php?record_id=11710&gt;.  [3] Peter blogged about the data mandate -- based on an article published by SciDevNet &lt;http://www.scidev.net/global/capacity-building/news/china-unveils-plans-to-boost-scientific-data-shari.html&gt;.  [4] Powerpoint by Guanhua
Xu (MoST) Minister for Science &amp; Technology of China at 20th CODATA International Conference - Beijing, October 23, 2006 &lt;http://www.codata.org/06conf/presentations/Keynotes/GuanhuaXU-OpenAccesstotheScientificData.pdf&gt; [5] &lt;http://openaccess.mpg.de/1364249/Session-3-Zhang.pdf&gt; Development of Open Access in China&gt;</t>
  </si>
  <si>
    <t>2006-10-00</t>
  </si>
  <si>
    <t>data</t>
  </si>
  <si>
    <t>disk0/00/00/00/15</t>
  </si>
  <si>
    <t>National Natural Science Foundation of China (NSFC)</t>
  </si>
  <si>
    <t>Deposit the final manuscript no later than 12 months afterwards. If published in an OA publication or the publisher allows OA final version deposit, immediate deposit is required.</t>
  </si>
  <si>
    <t>PDF on policy received from Iryna from Xiaolin Xiaolin. No link as yet. Seems as though Stevan has entered it into ROARMAP after your excel. Did not sent email to ask for approval from them therefore.</t>
  </si>
  <si>
    <t>disk0/00/00/00/16</t>
  </si>
  <si>
    <t>National Science Library, Chinese Academy of Sciences</t>
  </si>
  <si>
    <t>RESOURCES: [1] http://www.eifl.net/news/open-access-mandate-national-science-library- [2] http://old.nlb.by/eifl/store/file/open_access_en/142-lin-en.pdf [3] http://tonyhey.net/2013/08/08/a-global-view-of-open-access-part-3/ [4] http://openaccess.mpg.de/1364249/Session-3-Zhang.pdf [5] http://www.globalresearchcouncil.org/statement-principles-research-integrity [6] http://www.irgrid.ac.cn/  [7] http://www.open-access.net.cn/</t>
  </si>
  <si>
    <t>[1] National Library of Science Open Access Promotion Portal &lt;http://www.open-access.net.cn/&gt; [2] Development of open access in China: strategies, practices, challenges -- Dr Xiaolin Zhang --Affiliation: National Science Library, Chinese Academy of Sciences &lt;http://uksg.metapress.com/content/p4t2157824453387/fulltext.html&gt;</t>
  </si>
  <si>
    <t>2009-02-00</t>
  </si>
  <si>
    <t>disk0/00/00/06/24</t>
  </si>
  <si>
    <t>Universidad Icesi</t>
  </si>
  <si>
    <t>No policy found; ROARMAP links to http://www.icesi.edu.co/servicios_apoyo/recursos_biblioteca_digital.php which doesn't appear to be a policy page but a description of the IR content; default license is Creative Commons: Attribution-Noncommercial-No Derivative Works</t>
  </si>
  <si>
    <t>disk0/00/00/06/25</t>
  </si>
  <si>
    <t>Universidad Nacional de Colombia</t>
  </si>
  <si>
    <t>disk0/00/00/06/26</t>
  </si>
  <si>
    <t>Universidad del Rosario</t>
  </si>
  <si>
    <t>disk0/00/00/07/45</t>
  </si>
  <si>
    <t>Rudjer Boskovic Institute</t>
  </si>
  <si>
    <t>disk0/00/00/00/98</t>
  </si>
  <si>
    <t>University of Zagreb, Faculty of Electrical Engineering and Computing</t>
  </si>
  <si>
    <t>[1] Implementing Open Access Mandates in Europe: OpenAIRE Study on the Development of Open Access Repository Communities in Europe provides general information about OA in Croatia.  See pp. 79-80. [2] Blog post from Omega Alpha|Open Access also provides a good overview of recent activities &lt;http://oaopenaccess.wordpress.com/2013/02/04/croatian-open-access-declaration-the-hamster-portal-and-open-access-theology-journals/&gt; [3] Open Access to Scientific Information in Croatia : Increasing Research Impact of a Scientifically Peripheral Country &lt;Open Access to Scientific Information in Croatia : Increasing Research Impact of a Scientifically Peripheral Country [4] Croation Open Access Declaration &lt;http://www.fer.unizg.hr/oa2012/declaration&gt; [5] Presentation given by Ruđer Bošković Institute / University of Zadar &lt;http://www.serscida.eu/en/component/attachments/download/48&gt; [6] &lt;http://www.hidd.hr/&gt; Croatian Information and Documentation Society (HID) has a link from the home page to the Statute priding OA encouragement in Article 7.</t>
  </si>
  <si>
    <t>Unable to locate any policies or mandates.  The Croation Open Access Declaration provides encouragement and a foundation for continued advocacy. There is a portal called Hrčak run by the University of Zagreb for Croation open access journals. Several other institutional repositories are in formative stages.</t>
  </si>
  <si>
    <t>disk0/00/00/00/99</t>
  </si>
  <si>
    <t>Academy of Sciences of the Czech Republic (ASCR)</t>
  </si>
  <si>
    <t>HAS</t>
  </si>
  <si>
    <t>multiple_research_orgs</t>
  </si>
  <si>
    <t>disk0/00/00/06/55</t>
  </si>
  <si>
    <t>Brno University of Technology</t>
  </si>
  <si>
    <t>disk0/00/00/06/74</t>
  </si>
  <si>
    <t>Tomas Bata University in Zlin</t>
  </si>
  <si>
    <t>Rector's decision RR/11/2011, as amended by RR/2/2014</t>
  </si>
  <si>
    <t>Research outputs are mandated to be reported to the Research, Development and Innovation Council (an advisory body to the Government of the Czech Republic) annually.</t>
  </si>
  <si>
    <t>Rector's decision</t>
  </si>
  <si>
    <t>disk0/00/00/01/00</t>
  </si>
  <si>
    <t>Aalborg University</t>
  </si>
  <si>
    <t>http://www.vbn-office.aau.dk/Open+Access/.  See http://www.vbn-redaktionen.aau.dk/open-access/</t>
  </si>
  <si>
    <t>disk0/00/00/01/01</t>
  </si>
  <si>
    <t>Aarhus University</t>
  </si>
  <si>
    <t>disk0/00/00/01/02</t>
  </si>
  <si>
    <t>Copenhagen Business School</t>
  </si>
  <si>
    <t>[1] PhD Theses &lt;http://openarchive.cbs.dk/page/about&gt; [2] Research &lt;http://research.cbs.dk/portal/en/about.html&gt;</t>
  </si>
  <si>
    <t>Link to Policymaker URL in ROARMAP is broken. Link to the Policy in ROARMAP is broken.</t>
  </si>
  <si>
    <t>disk0/00/00/01/03</t>
  </si>
  <si>
    <t>Danish Council for Independent Research (DFF), the Danish Council for Strategic Research, the Danish National Research Foundations, the Danish Advanced Technology Foundation, and the Danish Council for Technology and Innovation</t>
  </si>
  <si>
    <t>[1] Policy indicates an "expectation" to deposit data. [2] Recommendations for Implementation of Open Access in Denmark &lt;http://ufm.dk/en/publications/2011/files-2011/recommendations-for-implementation-of-open-access-in-denmark-final-report-from-the-open-access-committee.pdf&gt; [3] Policy for Public Sector Research Councils &lt;http://ufm.dk/en/research-and-innovation/councils-and-commissions/the-danish-council-for-independent-research/open-access-policy?searchterm=open%0A%20%20%20%20%20%20%20%20%20%20%20%20%20%20%20access&gt; [4] From SHERPA Juliet &lt;http://www.sherpa.ac.uk/juliet/index.php?fPersistentID=662&amp;la=en&amp;mode=simple&gt;</t>
  </si>
  <si>
    <t>Danish Council for Independent Research (DFF), the Danish Council for 
Strategic Research, the Danish National Research Foundations, the Danish
Advanced Technology Foundation, and the Danish Council for Technology 
and Innovation</t>
  </si>
  <si>
    <t>disk0/00/00/01/04</t>
  </si>
  <si>
    <t>Danish Ministry of Science, Technology &amp; Innovation</t>
  </si>
  <si>
    <t>[1] Article from sciecominfo with a clear timeline for policy development in Denmark &lt;http://journals.lub.lu.se/ojs/index.php/sciecominfo/article/view/5149/4603&gt; [2] GOAP entry for Denmark &lt;http://www.unesco.org/new/en/communication-and-information/portals-and-platforms/goap/access-by-region/europe-and-north-america/denmark/&gt; [3] Recommendations for Implementation 
of Open Access in Denmark: Final report from the Open Access Committee &lt;http://ufm.dk/en/publications/2011/recommendations-for-implementation-of-open-access-in-denmark&gt; [4] Danish National Strategy for OA released 23/07/14 &lt;http://ufm.dk/en/research-and-innovation/cooperation-between-research-and-innovation/open-science/open-access-to-research-publications/engelsk-version-national-strategy-for-open-access.pdf&gt;</t>
  </si>
  <si>
    <t>Part of the Ministry for Higher Education and Science, the Agency for Science, Technology and Innovation was tasked with developing recommendations for an open access policy.  The agency completed its final report in 2011. See the resources provided in Line 69, Column A.    In 2012, five Danish Research Councils adopted an open access policy including the Danish Research Council For Independent Research (DFF).  The DFF is part of the Agency for Science, Technology and Innovation.  Please see line 68.</t>
  </si>
  <si>
    <t>disk0/00/00/01/05</t>
  </si>
  <si>
    <t>Nordic Council of Ministers</t>
  </si>
  <si>
    <t>[1] "The Nordic Council of Ministers (NCM) is a publically funded co-operation between the governments of the Nordic countries (www.norden.org). Therefore all written publications published or funded by the NCM should be made publically accessible – open access – to the benefit of the Nordic and wider international community ... As an initial step, the NCM is introducing an Open Access mandate which applies to all written publications published by the NCM from 1 June 2014 onwards ... In a second step, planned to be initiated during 2014, the Open Access mandate will be further developed and made applicable also to all written publications funded or co-funded by NCM grants or under NCM contract ..."</t>
  </si>
  <si>
    <t>0m</t>
  </si>
  <si>
    <t>disk0/00/00/01/06</t>
  </si>
  <si>
    <t>Roskilde University</t>
  </si>
  <si>
    <t>[1] &lt;http://webcache.googleusercontent.com/search?q=cache:LWZay3Fd3IIJ:www.ruc.dk/%3FeID%3Dminute%26m%3D1673%26t%3D179%26docID%3D25430+&amp;cd=1&amp;hl=en&amp;ct=clnk&amp;gl=us&gt; January 2014 minutes of a meeting of the Academic Council which permits gold OA publishing with fund from outside the university as an alternative to green OA mandate.</t>
  </si>
  <si>
    <t>disk0/00/00/01/07</t>
  </si>
  <si>
    <t>University of Southern Denmark</t>
  </si>
  <si>
    <t>disk0/00/00/01/77</t>
  </si>
  <si>
    <t>Estonian Research Council</t>
  </si>
  <si>
    <t>According to the regulations on personal research funding,  it is required that any publications arising from supported research project or research grant must be deposited in to the Estonian Research Information System ETIS (www.etis.ee). The researchers are responsible for providing the publication metadata (i.e. journal name, title, author list, volume, issue, page numbers etc.) and the appropriate copy of the publication immediately. Self-archiving of the full texts of publications is mandatory but the access can be restricted for internal use until the end of publisher embargo.</t>
  </si>
  <si>
    <t>N.B. Locus of deposit - National CRIS</t>
  </si>
  <si>
    <t>LMT</t>
  </si>
  <si>
    <t>disk0/00/00/01/76</t>
  </si>
  <si>
    <t>Ministry of Education and Research</t>
  </si>
  <si>
    <t>According to the regulations on institutional research funding,  it is required that any publications arising from supported research project or research grant must be deposited in to the Estonian Research Information System ETIS (www.etis.ee). The researchers are responsible for providing the publication metadata (i.e. journal name, title, author list, volume, issue, page numbers etc.) and the appropriate copy of the publication immediately. Self-archiving of the full texts of publications is mandatory but the access can be restricted for internal use until the end of publisher embargo.</t>
  </si>
  <si>
    <t>disk0/00/00/01/75</t>
  </si>
  <si>
    <t>Ministry of Education and Research; Ministry of Economic Affairs and Communications</t>
  </si>
  <si>
    <t>The Estonian Research and Development and Innovation Strategy 2014-2020 "Knowledge-based Estonia" encourages to open access to output of publicly funded research and to develop further information systems in order to enable all the stakeholders (incl. governmental agencies and business sector) to find experts, information on output of research activity and funded research projects.</t>
  </si>
  <si>
    <t>Ministry of Education and Research; Ministry of Economic Affairs and  Communications</t>
  </si>
  <si>
    <t>http://www.hm.ee/?1;  http://www.mkm.ee/index.php?keel=en</t>
  </si>
  <si>
    <t>disk0/00/00/06/78</t>
  </si>
  <si>
    <t>Aalto University</t>
  </si>
  <si>
    <t>disk0/00/00/01/08</t>
  </si>
  <si>
    <t>Arcada</t>
  </si>
  <si>
    <t>[1] &lt;http://submissions.theseus.fi/&gt; "Theseus repository is based on the principles of Open Access" linking to FinnOA recommendations. [2] Policy also mandates deposits of works published by the university. [3] Policy also recommends archiving conference proceedings, university publications, "popular articles," and teaching materials.  The mandate does not apply to books.  [4] The Rectors Council/Arene Assoiciation Mandate applies to 26 Finnish Polytechnic Universities. [5] &lt;http://www.oamk.fi/epooki/2013/avoimet-julkaisuarkistot-open-access-ja-rinnakkaistallentami/&gt; Article makes it clear that for theses, authors can opt out.  Could not find a similar provision for teachers.</t>
  </si>
  <si>
    <t>[1] Website for ARENE: The Rectors' Conference of Finnish Universities of Applied Sciences &lt;http://www.arene.fi/?id=27&gt; [2] &lt;http://www.nationallibrary.fi/libraries/doria.html&gt; The National Library is responsible for managing Doria and Theseus. [3] The National Library recently launched the Juuli Portal to collect information from about every university publication.  Publications are ranked (given points) which contribute to funding decisions.  Some publications are OA.  Many are metadata only but it is easy to see how this could evolve &lt;http://www.minedu.fi/OPM/Verkkouutiset/2013/06/juuli.html?lang=en&gt;</t>
  </si>
  <si>
    <t>disk0/00/00/01/09</t>
  </si>
  <si>
    <t>Central Ostrobothnia University of Applied Sciences</t>
  </si>
  <si>
    <t>[1] "http://submissions.theseus.fi/&gt; Instructions for submitting works to the respository and is guided by the recommendations of FinnOA [2] Repository provides guidance for open licenses.  See: Creative Commons FAQ [http://submissions.theseus.fi/ohje5.htm] [3] Open Access Manual &lt;https://wiki.helsinki.fi/pages/viewpage.action?pageId=63123101&gt; The manual from Helsinki University provides guidance on copyright/licensing, versions to be deposited, opting out, and embargoes.  But, it is unclear how these guidelines are practiced by UAS members who have agreed to the ARENE policy.</t>
  </si>
  <si>
    <t>disk0/00/00/01/10</t>
  </si>
  <si>
    <t>Diaconia University of Applied Sciences</t>
  </si>
  <si>
    <t>See entries for lines 70-71</t>
  </si>
  <si>
    <t>disk0/00/00/01/11</t>
  </si>
  <si>
    <t>HAAGA-HELIA University of Applied Sciences</t>
  </si>
  <si>
    <t>disk0/00/00/01/12</t>
  </si>
  <si>
    <t>HAMK University of Applied Sciences</t>
  </si>
  <si>
    <t>[1] See entries for lines 70-71 [2] HAMK University posted the document &lt;http://portal.hamk.fi/portal/page/portal/HAMKJulkisetDokumentit/Yleisopalvelut/Kirjasto/AMK_julkaisutiedonkeruu_2012.pdf&gt; from the Ministry of Culture and the Ministry of Education providing research assessment guidelines for Polythechnic Universities. OA guidelines are provided for data, article versions, and embargoes (see pg. 13).  [3] A presentation given by librarian Sari Säynäjoki recommends CC licenses for theses &lt;http://portal.hamk.fi/portal/page/portal/HAMKJulkisetDokumentit/Ohjeet/henkilosto/portaali/infot/theseus_esittely_14032012.ppt&gt;</t>
  </si>
  <si>
    <t>disk0/00/00/01/13</t>
  </si>
  <si>
    <t>HUMAK University of Applied Sciences</t>
  </si>
  <si>
    <t>disk0/00/00/01/14</t>
  </si>
  <si>
    <t>Helsinki Metropolia University of Applied Sciences</t>
  </si>
  <si>
    <t>[1] See entries for lines 70-71  [2] The university has provided some OER/data resources &lt;http://www.metropolia.fi/en/about-us/news-and-events/?tx_ttnews%5Bpointer%5D=5&amp;tx_ttnews%5Btt_news%5D=4438&amp;cHash=2a89857aaeb0e1234e8c6e91395fb68a&gt;</t>
  </si>
  <si>
    <t>disk0/00/00/01/15</t>
  </si>
  <si>
    <t>JAMK University of Applied Sciences</t>
  </si>
  <si>
    <t>Link to policy provider in ROARMAP is broken.</t>
  </si>
  <si>
    <t>disk0/00/00/01/16</t>
  </si>
  <si>
    <t>Kajaani University of Applied Sciences</t>
  </si>
  <si>
    <t>disk0/00/00/01/17</t>
  </si>
  <si>
    <t>Kemi-Tornio University of Applied Sciences</t>
  </si>
  <si>
    <t>From the university website: "Evolution and revolution! The operations of Kemi-Tornio University of Applied Sciences and Rovaniemi University of Applied Sciences will merge on 1 January 2014 ..."</t>
  </si>
  <si>
    <t>disk0/00/00/01/18</t>
  </si>
  <si>
    <t>Kymenlaakso University of Applied Sciences</t>
  </si>
  <si>
    <t>disk0/00/00/01/19</t>
  </si>
  <si>
    <t>Lahti University of Applied Sciences</t>
  </si>
  <si>
    <t>[1] Report outlines projected changes to the UAS system through 2020 &lt;http://www.lamk.fi/english/about/strategy/PublishingImages/fuas_liittoumastrategia_eng.pdf&gt;</t>
  </si>
  <si>
    <t>disk0/00/00/01/26</t>
  </si>
  <si>
    <t>Lapland University of Applied Sciences</t>
  </si>
  <si>
    <t>"From the university website: "Evolution and revolution! The operations of Kemi-Tornio University of Applied Sciences and Rovaniemi University of Applied Sciences will merge on 1 January 2014 ..." See line 77 as the universities are now combined as Lapland University of Applied Sciences.</t>
  </si>
  <si>
    <t>disk0/00/00/01/20</t>
  </si>
  <si>
    <t>Laurea University of Applied Sciences</t>
  </si>
  <si>
    <t>disk0/00/00/01/21</t>
  </si>
  <si>
    <t>Mikkeli University of Applied Sciences</t>
  </si>
  <si>
    <t>&lt;http://www.mamk.fi/tutkimus_ja_kehitys/sahkoinen_arkistointi_ja_digipalvelut&gt; The university is part of a collaboration for data storage, archiving and preservation of digital collections, and is using FLOSS. Could not find a related policy.</t>
  </si>
  <si>
    <t>disk0/00/00/01/22</t>
  </si>
  <si>
    <t>North Karelia University of Applied Sciences</t>
  </si>
  <si>
    <t>Link in ROARMAP for provider URL is broken</t>
  </si>
  <si>
    <t>disk0/00/00/01/23</t>
  </si>
  <si>
    <t>Novia University of Applied Sciences</t>
  </si>
  <si>
    <t>[1] See entries for lines 70-71 [2] Could not find a link from the university website to Theseus.</t>
  </si>
  <si>
    <t>[1] &lt;http://www.unesco.org/new/en/communication-and-information/portals-and-platforms/goap/access-by-region/europe-and-north-america/finland/&gt; Summary of OA development in Finland [2] Novia partners with Åbo Akademi on the Aronia Institute and some co-authored publications can be found in Doria.</t>
  </si>
  <si>
    <t>disk0/00/00/01/24</t>
  </si>
  <si>
    <t>Oulu University of Applied Sciences</t>
  </si>
  <si>
    <t>[1] &lt;http://www.oamk.fi/epooki/2013/avoimet-julkaisuarkistot-open-access-ja-rinnakkaistallentami/&gt; Great article on OA for UAS and for Oulu University. [2] &lt;http://www.oamk.fi/epooki/ohjeita-kirjoittajalle/julkaisuperiaatteet&gt; Clearly states that publicly funded research will be made accessible on the internet.</t>
  </si>
  <si>
    <t>disk0/00/00/01/27</t>
  </si>
  <si>
    <t>Saimaa University of Applied Sciences</t>
  </si>
  <si>
    <t>The university shares library services with Lappeenranta University of Technology. Students continue to deposit works in Theseus while faculty can use LUTPub.</t>
  </si>
  <si>
    <t>disk0/00/00/01/28</t>
  </si>
  <si>
    <t>Satakunta University of Applied Sciences</t>
  </si>
  <si>
    <t>disk0/00/00/01/29</t>
  </si>
  <si>
    <t>Savonia University of Applied Sciences</t>
  </si>
  <si>
    <t>disk0/00/00/01/30</t>
  </si>
  <si>
    <t>Seinäjoki University of Applied Sciences</t>
  </si>
  <si>
    <t>[1] Research Project Database &lt;http://www.seamk.fi/en/Research--Development/Projects/Project-Database&gt;</t>
  </si>
  <si>
    <t>disk0/00/00/01/31</t>
  </si>
  <si>
    <t>TAMK University of Applied Sciences</t>
  </si>
  <si>
    <t>See entries for lines 70-71.  [1] Students are instructed to submit theses to Theseus &lt;http://www.tamk.fi/cms/library.nsf/$all/AD9EC31BECA9B0AAC225768F0020910B&gt; [2] Faculty are instructed to use Doria &lt;http://www.tamk.fi/cms/library.nsf/$all/B6519268A1853D38C22576A5002D3CDF&gt;</t>
  </si>
  <si>
    <t>"TAMK University of Applied Sciences and PIRAMK University of Applied sciences merged on the 1st of January 2010. The new name is Tampere University of Applied Sciences (TAMK), but the name of owner institution is Pirkanmaa University of Applied Sciences Ltd. The new university has  10 000 students and 800 members of staff."</t>
  </si>
  <si>
    <t>disk0/00/00/01/32</t>
  </si>
  <si>
    <t>Turku University of Applied Sciences</t>
  </si>
  <si>
    <t>See lines 70-71</t>
  </si>
  <si>
    <t>disk0/00/00/01/33</t>
  </si>
  <si>
    <t>University of Helsinki</t>
  </si>
  <si>
    <t>[1] Open access to research publications in the University of Helsinki &lt;http://www.helsinki.fi/openaccess/open%20access/english/decision260508_eng.pdf&gt;
[2] See &lt;http://www.helsinki.fi/openaccess/open%20access/english/index.html&gt; For information about OA at the University of Helsinki.</t>
  </si>
  <si>
    <t>disk0/00/00/01/34</t>
  </si>
  <si>
    <t>University of Tampere</t>
  </si>
  <si>
    <t>"According to the proposal of the work group the Rector would ... request researchers working at the University as of 1 January 2011 to deposit copies of their research articles accepted for publication in scientific journals in the institutional repository provided by the University of Tampere ... In addition to the research articles referred to in the Decision, other kinds of publications which may be stored in the open depository provided by the University of Tampere include popular articles, other published written texts, serial publications of University departments, teaching material and, if the publication agreements allow, also monographs."</t>
  </si>
  <si>
    <t>[1] See "Self Archiving Instructions" &lt;http://www.uta.fi/english/research/OA/self-archiving/instructions.html&gt; for recommendations on versions and publisher embargoes. [2] See "Checking the right to self-archiving" &lt;http://www.uta.fi/english/research/OA/self-archiving/instructions/checking.html&gt; for recommendations to the author about retaining rights.</t>
  </si>
  <si>
    <t>disk0/00/00/01/35</t>
  </si>
  <si>
    <t>Vaasa University of Applied Sciences</t>
  </si>
  <si>
    <t>disk0/00/00/01/36</t>
  </si>
  <si>
    <t>Agence National de la recherche (ANR)</t>
  </si>
  <si>
    <t>disk0/00/00/01/37</t>
  </si>
  <si>
    <t>Agence National de la recherche (ANR) Humanities &amp; Social Sciences Branch</t>
  </si>
  <si>
    <t>Unable to locate the original policy</t>
  </si>
  <si>
    <t>[1] Found the following blog post excerpting the policy statement &lt;http://openaccess.cmb.med.rug.nl/?p=137&gt;</t>
  </si>
  <si>
    <t>2008-07-00</t>
  </si>
  <si>
    <t>disk0/00/00/07/41</t>
  </si>
  <si>
    <t>Arts et Métiers ParisTech</t>
  </si>
  <si>
    <t>disk0/00/00/01/38</t>
  </si>
  <si>
    <t>Association des Directeurs des Bibliothèques Universitaires</t>
  </si>
  <si>
    <t>The "policy" is a statement of support for green Open Access and the use of HAL, providing an overview of the benefits and sustainability of this route. The policy recommends using a mandate that is linked to assessment.  "Platinum" OA is permitted as an alternative.  Embargoes should be shortenend.  Authors encouraged to maintain key rights.</t>
  </si>
  <si>
    <t>This is not an Open Access policy or mandate but rather a 'goodwill declaration'. Some agreement should be reached on what the scope of Roarmap should be. Solid OA policies require two supporting elements: 1. A URL where the policy is unequivocally expressed. 2. A URL to the repository/archive where the documents should be deposited. While a policy or statement can be taken even if one of these is missing providing it's ratified by an appropriate source, this is not the case here</t>
  </si>
  <si>
    <t>2012-10-00</t>
  </si>
  <si>
    <t>disk0/00/00/01/39</t>
  </si>
  <si>
    <t>CNRS (Centre national de la recherche scientifique</t>
  </si>
  <si>
    <t>[1] CNRS statement on copright &lt;http://www.dgdr.cnrs.fr/daj/propriete/droits/droits7.htm#L’"Open Access" et les publications scientifiques&gt; [2]HAL Convention &lt;http://cache.media.enseignementsup-recherche.gouv.fr/file/HAL/93/3/01_Convention_HAL_246933.pdf&gt; [3] Open Access in France: A State of the Art Report -- April 2010 &lt;http://www.heal-link.gr/SELL/OA_reports/FranceReport.pdf&gt; [4] CNRS 2013: A Better Sharing of Knowledge &lt;http://www.cnrs.fr/dist/z-outils/documents/STRATEGY.pdf&gt;</t>
  </si>
  <si>
    <t>&lt;http://openaccess.eprints.org/index.php?/archives/102-Position-of-CNRS-France-on-Open-Access.html&gt; Blog post providing summary of statement of suupport.</t>
  </si>
  <si>
    <t>disk0/00/00/06/34</t>
  </si>
  <si>
    <t>EUR-OCEANS Consortium</t>
  </si>
  <si>
    <t>Policy applies to "work funded in part or in whole by the EOC"</t>
  </si>
  <si>
    <t>disk0/00/00/01/40</t>
  </si>
  <si>
    <t>INRA</t>
  </si>
  <si>
    <t>[1] Information on OA provided by INRA &lt;http://www.inra.fr/en/Scientists-Students/Economics-and-social-sciences/All-reports/Open-access-publishing&gt; [2] Interview of Helene Bosc &lt;http://www.richardpoynder.co.uk/Helene_Bosc_Interview.pdf&gt; [3] 2006 INRA report on OA &lt;http://archivesic.ccsd.cnrs.fr/docs/00/13/83/02/PDF/AO_version_anglaise_version_02-2007.pdf&gt; [4] Report on OA status in France &lt;http://archivesic.ccsd.cnrs.fr/docs/00/80/11/88/PDF/Synthese-politiques-LA-Jonchere-fev-2013.pdf&gt; [5] Blog post siting mandate &lt;http://bbf.enssib.fr/consulter/bbf-2011-02-0085-001&gt; [6] Open Access In Southern European Countries &lt;http://eprints.rclis.org/15138/1/OASouthern_Vweb.pdf&gt; [6] The main page of Prodinfra provides some information along with links to information about copyright.  The author grants the institution a non-exclusive license,recommended use of a CC-BY-NC-ND license, archiving as the publisher permits when rights are transferred, the author can, the author may withdraw the work from Prodinra.</t>
  </si>
  <si>
    <t>Although blog posts and reports reference the OA mandate none provide a direct link. Unable to locate the policy on the INRA or Prodinra website. [Pablo: There may or may not be a specific webpage for the INRA OA policy, but this may not be a strict requirement if the policy exists and is confirmed by a relevant staff member, such as Diane Le Hénaff, Chief of the Open Access Division, Diane.Le-Henaff [at] versailles.inra.fr for this one]</t>
  </si>
  <si>
    <t>req_diff_open</t>
  </si>
  <si>
    <t>disk0/00/00/01/41</t>
  </si>
  <si>
    <t>INRA Department of Animal Physiology and Livestock Systems</t>
  </si>
  <si>
    <t>The material provided is based on the policy in ROARMAP.  In an interview conducted in 2009 Helene Bosc said,"So far as introducing a mandate in our department is 
concerned Philippe [Chemineau] would have been more than willing to sign one, but he couldn't do so without the agreement of the President Director of INRA. That is why our policy on ROARMAP is written in the future tense."</t>
  </si>
  <si>
    <t>The departmental repository was created in 2002, prior to the launch of Prodinra and appears to have been shut down. Unable to access the original policy.
[Pablo: Diane LeHénaff (see INRA record above) confirms ProdINRA is the sole repository where deposit is required from INRA. This INRA-PHASE entry is to be deleted]</t>
  </si>
  <si>
    <t>disk0/00/00/01/42</t>
  </si>
  <si>
    <t>INRIA (National Institute for Research in Computer Sciences &amp; Control)</t>
  </si>
  <si>
    <t>[1] position on embargoes &lt;http://seism.inria.fr/hal/aide/spip.php?article176&amp;lang=en&gt; [2] Information on copyright &lt;http://seism.inria.fr/hal/aide/spip.php?article217&amp;lang=en&gt; [3] 7 Golden Rules &lt;http://seism.inria.fr/hal/aide/spip.php?article218&amp;lang=en&gt; [4] guidance on copyright &lt;http://seism.inria.fr/hal/aide/spip.php?article220&amp;lang=en&gt; [5] Authors can use ID/OA but a date for making the work OA must be set.  Author can request an extension of the embargo but must make work OA.  Recommends the use of CC-BY license.  Author encouraged to retain key rights.</t>
  </si>
  <si>
    <t>[1] Tony Hey's Blog &lt;http://tonyhey.net/2013/06/03/a-global-view-of-open-access-part-1/&gt; [2] Could not find an updated policy document.</t>
  </si>
  <si>
    <t>2013-09-00</t>
  </si>
  <si>
    <t>disk0/00/00/01/43</t>
  </si>
  <si>
    <t>INSERM (Institut national de la sante et de la recherche medical)</t>
  </si>
  <si>
    <t>[1] &lt;http://www.zim.mpg.de/openaccess-cern/presentation-andre.pdf&gt; [2] http://eprints.rclis.org/6191/1/11-PierreOudet.pdf [3] http://legacy.earlham.edu/~peters/fos/2003_11_16_fosblogarchive.html [4] Open archives: Towards a policy of mandatory deposit? &lt;http://archivesic.ccsd.cnrs.fr/docs/00/13/83/02/PDF/AO_version_anglaise_version_02-2007.pdf&gt;  [5] Open access developments in France &lt;http://hal.archives-ouvertes.fr/docs/00/17/64/28/PDF/OA_Developments_in_France_final.pdf&gt; [6] &lt;http://rpist.inist.fr/sites/rpist/IMG/pdf/HalNancy.pdf&gt; Adaptation de la plate-forme d’archivage HAL au domaine biomédical [7] Numerous sources document the early collaboration between INSERM and CNRS including the MOU signed in 2006.  Some sources also document a mandate that was issued by INSERM in 2006 to be implemented in 2008 (the end date of the MOU which was not extended).  However, no links to the policy statement were found.  Information provided was gleaned from the sources provided here.</t>
  </si>
  <si>
    <t>&lt;http://www.hal.inserm.fr/docs/00/59/50/17/PDF/medsci2008248-9p771.pdf&gt; Article by Duchange of INSERM outlines archiving process of postprints and interoperability w/ PubMed. [SHERPA/Juliet provides information without a link to the policy &lt;http://www.sherpa.ac.uk/juliet/index.php&gt; [3] From the HAL_INSERM website &lt;http://www.hal.inserm.fr/more/comment_deposer_dans_HAL-Inserm.pdf&gt; [4] &lt;http://cogprints.org/6284/1/HBocliincreview.pdf&gt; L’auto-archivage en France : deux exemples de politiques différentes et leurs résultats (BOSC). [Pablo: Reference to the INSERM OA policy as the first one issued by a French research organisation (driven by Christian Bréchot), http://www.christian-brechot.fr/WordPress/wp-content/uploads/2007/12/biblioinserm-hal.doc]</t>
  </si>
  <si>
    <t>2006-00-00</t>
  </si>
  <si>
    <t>2008-00-00</t>
  </si>
  <si>
    <t>disk0/00/00/01/44</t>
  </si>
  <si>
    <t>Ifsttar : Institut français des sciences et technologies des transports, de l’aménagement et des réseaux</t>
  </si>
  <si>
    <t>[1] Signed the HAL Convention &lt; http://cache.media.enseignementsup-recherche.gouv.fr/file/HAL/93/3/01_Convention_HAL_246933.pdf&gt; in April 2013. [2] "IFSTTAR repository provides access to the research output of the institute, and is dedicated to the deposit and open access to the scientific publications of Ifsttar laboratories : scientific and technical articles, scientific and technical reports, PhD theses, proceedings of congresses and symposiums, books and books chapters"</t>
  </si>
  <si>
    <t>[1] Two links to the institutional repository.  &lt;http://madis-externe.ifsttar.fr &gt;[2] No link to a policy could be found.</t>
  </si>
  <si>
    <t>disk0/00/00/01/45</t>
  </si>
  <si>
    <t>Institut Jean Nicod</t>
  </si>
  <si>
    <t>Could not find the original policy. Information provided is based on the documents linked in the next cell.  The institute was one of the first to build a repository and to work with CCSD, an early signer of the BOAI, and very proud to be, "the first French institution (and among the first in Europe) in the field of the social sciences to embrace an open access policy with respect to its scientific production, providing free and unconstrained access to the totality of its publications." It is unclear if the policy/mandate originated with the repository in 2001/2002 or came later in 2004.</t>
  </si>
  <si>
    <t>[1] http://legacy.earlham.edu/~peters/fos/2005/05/increasing-visibility-of-institut-jean.html [2] http://users.ecs.soton.ac.uk/harnad/Hypermail/Amsci/4547.html [2] The proposal for the policy &lt;http://listserver.sigmaxi.org/sc/wa.exe?A2=ind01&amp;L=american-scientist-open-access-forum&amp;D=1&amp;F=l&amp;O=D&amp;P=79380&gt; [3] Article on the impact of the policy &lt;http://nitens.org/docs/ijn_2001_2005.pdf&gt;</t>
  </si>
  <si>
    <t>disk0/00/00/01/46</t>
  </si>
  <si>
    <t>Institut francais de recherche pour l'exploitation de la mer (Ifremer)</t>
  </si>
  <si>
    <t>"1 September 2010, Ifremer has established a filing requirement of documentation in Archimer , its Institutional Archive. This requirement concerns the gray literature (reports, cruise report, notice ...) and publications ... The latest versions 'author' of international publications are deposited in Archimer upon acceptance. The documentation is studying the rules set by the publisher of each publication in terms of self-archiving to select visibility (Intranet or Internet) that will be given."</t>
  </si>
  <si>
    <t>[1] Bibliometrics: a new feature for institutional repositories &lt;http://archimer.ifremer.fr/doc/00031/14253/11886.pdf&gt; [2] See the presentation by Frederic Merceur linked here &lt;http://couperin.sciencesconf.org/?lang=en&gt;</t>
  </si>
  <si>
    <t>disk0/00/00/01/47</t>
  </si>
  <si>
    <t>Laboratoire de psychologie et neurosciences cognitives</t>
  </si>
  <si>
    <t>[1] The department that created the mandate has undergone an organizational/administrative transition and has new leadership. "The Psychology Institute of Paris-Descartes University (IUPDP) was created under the initiative of President Axel Kahn in 2009, both to combine our current forces in the field of psychology at Paris- Descartes University and to strengthen its ties with the prestige of its founding fathers, notably Henri Piéron (1881-1964)." [2] Unsure of the connection between the IUPDP and the Institut de Psychologie. [3]  Can not find original policy. [4] Université Paris 5 René Descartes is connected to HAL &lt;http://hal-descartes.archives-ouvertes.fr/&gt;.</t>
  </si>
  <si>
    <t>[1] ROARMAP link to the institution is broken. Here is a new link &lt;www.parisdescartes.fr&gt; [2] The SPARC Open Access Newsletter (2/2/07) &lt;http://legacy.earlham.edu/~peters/fos/newsletter/02-02-07.htm&gt;  says, "The University of Paris Descartes' Labortoire de Psychologie et Neurosciences Cognitives announced a simple, sufficient mandate:  'Allocation of funds to research teams is dependent upon members depositing pdf/rtf documents of all work accepted for publication in peer-reviewed journals.'  This is one of the few university or departmental policies that applies to locally-funded research."</t>
  </si>
  <si>
    <t>disk0/00/00/06/36</t>
  </si>
  <si>
    <t>UNESCO</t>
  </si>
  <si>
    <t>Policy states UNESCO-published work "after 31 July 2013 must be licensed using the Creative Commons - Attribution 3.0 IGO license";</t>
  </si>
  <si>
    <t>disk0/00/00/01/48</t>
  </si>
  <si>
    <t>Universite Lumiere Lyon</t>
  </si>
  <si>
    <t>Unable to locate the policy on the university website or the internet.  [1] Information about HAL &lt;http://www.univ-lyon2.fr/bibliotheques/hal-archive-ouverte-lyon-2-409491.kjsp?RH=WWW103&gt; [2] Berlin Declaration signed in 2006 &lt;http://biblioteca.uam.es/sc/documentos/berlin.pdf&gt; [3] Information about self-archiving &lt;http://www.univ-lyon2.fr/medias/fichier/flyer-archiveouverte-2013_1366964531741-pdf&gt;</t>
  </si>
  <si>
    <t>[1] ROARMAP Link to repository is dead. [2] The university press is paricipating in OAPEN &lt;http://openaccess.inist.fr/?La-creation-de-ce-consortium&gt; [3] Open Access in France: A State of the Art Report &lt;http://www.heal-link.gr/SELL/OA_reports/FranceReport.pdf&gt; Notes that the university was the first to sign the Berlin Declaration and is participating in OAPEN.  [4] &lt;http://legacy.earlham.edu/~peters/fos/2008/09/jean-kempf-on-oapen.html&gt; [5] &lt;http://cache.media.enseignementsup-recherche.gouv.fr/file/HAL/92/5/04_FicheHAL_246925.pdf&gt; Pres Lyon reporesents all universities in oversight of CCSD. [Pablo: "ROARMAP : la politique n’est pas renseignée et les infos ne sont pas à jour. Signataire de la Déclaration de Berlin en 2003, mais pas d’obligation de dépôt" -- Should be removed from Roarmap at this point. 
Source: Projet d’archive ouverte Université de Rennes 1: "Synthèse sur les politiques institutionnelles de libre accès à la recherche" (Laurent Jonchère, SCD de Rennes 1, Février 2013, http://archivesic.ccsd.cnrs.fr/docs/00/80/11/88/PDF/Synthese-politiques-LA-Jonchere-fev-2013.pdf)]</t>
  </si>
  <si>
    <t>disk0/00/00/01/49</t>
  </si>
  <si>
    <t>Universite d'Angers</t>
  </si>
  <si>
    <t>[1] A blog post outlining the policy &lt;http://blog.univ-angers.fr/projetao/2012/10/&gt; [2] The text of the mandate as noted by ROARMAP &lt;http://blog.univ-angers.fr/projetao/2013/06/06/a-propos-du-mandat-ua/#.U3lHxa1dWwE&gt; [3] Blog post announcing the vote and the mandate &lt;http://blog.univ-angers.fr/projetao/2013/03/29/a-vote-pour-une-archive-ouverte-institutionnelle-a-lua/#.U3lIja1dWwF&gt; [4] Guidance on copyright which encourages use of CC licenses?  &lt;http://blog.univ-angers.fr/projetao/2013/11/27/quelles-licences-de-diffusion-pour-une-archive-ouverte-institutionnelle/#.U3lKS61dWwF&gt; [5] Announcement about the repository which wil be available in beta in March 2014 &lt;http://blog.univ-angers.fr/projetao/2013/09/05/point-detape-de-rentree/#.U3lPD61dWwE&gt;</t>
  </si>
  <si>
    <t>Could not locate the original policy.  Information gleaned from a series of blog posts.</t>
  </si>
  <si>
    <t>disk0/00/00/01/50</t>
  </si>
  <si>
    <t>Université de Lorraine</t>
  </si>
  <si>
    <t>The French legal text (Aug 2006, http://bit.ly/UdYImI) providing the basis for this policy applies on a national level, but no other specific ETD OA policy has been identified at French HEIs. U Lorraine ETD OA policy was 'inherited' from the 4 HEIs out of whose merger it was created in 2012, the Institut National Polytechnique de Lorraine, Université Henri Poincare, Université Nancy 2 and Université Paul Verlaine-Metz.</t>
  </si>
  <si>
    <t>OA policy on theses and dissertations -- missing from ROARMAP</t>
  </si>
  <si>
    <t>PETALE, http://petale.univ-lorraine.fr/index.html</t>
  </si>
  <si>
    <t>disk0/00/00/01/51</t>
  </si>
  <si>
    <t>Bielefeld University</t>
  </si>
  <si>
    <t>Following the Berlin Declaration on Open Access, the rector of the University "strongly requested" that scientists deposit their publications in the institutional repository (except where this conflicts with the wishes of the publisher). The mandate favours the deposit of postprint versions of articles. The Publikationsfonds (Publication fund) reimburses publication fees incurred by authors, up to a maximum of €2000 for an article. The fund is managed by the university library.</t>
  </si>
  <si>
    <t>disk0/00/00/01/52</t>
  </si>
  <si>
    <t>Deutsche Forschungsgemeinschaft (DFG)</t>
  </si>
  <si>
    <t>disk0/00/00/01/53</t>
  </si>
  <si>
    <t>Fraunhofer-Gesellschaft</t>
  </si>
  <si>
    <t>disk0/00/00/01/55</t>
  </si>
  <si>
    <t>Freiburg University</t>
  </si>
  <si>
    <t>The policy seems to be still at the 'strong recommendation' stage, but they are also beginning to support funding APC for Gold OA. Deposit requirements are more strict for anyone seeking access to the publication fund. More information about the publication fund can be found here: : http://www.ub.uni-freiburg.de/fileadmin/ub/pdf/infos/info_OA.pdf</t>
  </si>
  <si>
    <t>LIBER</t>
  </si>
  <si>
    <t>disk0/00/00/01/54</t>
  </si>
  <si>
    <t>Freie Universität Berlin / Free University of Berlin</t>
  </si>
  <si>
    <t>The conditions referred to in this policy refer to eligibility for the Publication Fund, i.e. there don't seem to be mandatory archiving policies in place unless you want to receive a grant from the Fund.</t>
  </si>
  <si>
    <t>disk0/00/00/01/56</t>
  </si>
  <si>
    <t>Georg-August-Universität Göttingen</t>
  </si>
  <si>
    <t>Gottingen University’s Open Access Resolution (December 2005): http://www.sub.uni-goettingen.de/fileadmin/media/texte/informationsversorgung_z/epu/oa-policy_goettingen-edu_de_110211.pdf [In German]</t>
  </si>
  <si>
    <t>disk0/00/00/01/57</t>
  </si>
  <si>
    <t>German National Library of Science and Technology</t>
  </si>
  <si>
    <t>The largest science and technology library in the world; involved in several OA initiatives. The TIB runs the LiebnizOpen repository</t>
  </si>
  <si>
    <t>Open Access activities of the TIB: http://docs.lib.purdue.edu/cgi/viewcontent.cgi?article=1910&amp;context=iatul</t>
  </si>
  <si>
    <t>disk0/00/00/01/58</t>
  </si>
  <si>
    <t>Helmholtz Association</t>
  </si>
  <si>
    <t>For gold publication, Helmholtz Centres are encouraged to establish their own publication funds and should consider whether APCs are reimbursed by any funders. Funds should follow the DFG guidelines and established criteria, which should be followed up. Funds will be reviewed on an annual basis. From: http://oa.helmholtz.de/fileadmin/user_upload/redakteur/Dokumente/hoap_kriterien_pf.pdf</t>
  </si>
  <si>
    <t>[1] Multiple respositories acceptable - see list on Repository URL.  [2] Additional information gleaned from http://www.helmholtz.de/en/article/helmholtz-association-commits-to-policy-1983/ [3] Details about Gold taken from German using Google translate</t>
  </si>
  <si>
    <t>disk0/00/00/01/59</t>
  </si>
  <si>
    <t>Humboldt University Berlin</t>
  </si>
  <si>
    <t>More of a vague 'Declaration' about adopting the principles of OA rather than a policy - although has been passed by Senate vote</t>
  </si>
  <si>
    <t>disk0/00/00/01/60</t>
  </si>
  <si>
    <t>Institute for Science Networking Oldenburg</t>
  </si>
  <si>
    <t>Policy .pdf in German - requires translation</t>
  </si>
  <si>
    <t>disk0/00/00/01/61</t>
  </si>
  <si>
    <t>Justus Liebig University Giessen</t>
  </si>
  <si>
    <t>Not currently accessable. Existence of policy gleaned from Google translation of http://www.uni-giessen.de/cms/ueber-uns/pressestelle/pm/pm66-11</t>
  </si>
  <si>
    <t>http://www.uni-giessen.de/cms/org/admin/stab/stf/runds_jlu_intern/Rundschreiben-2011-10/view.  See http://www.uni-giessen.de/ub/digitales-publizieren/openaccess/oajlu</t>
  </si>
  <si>
    <t>disk0/00/00/01/62</t>
  </si>
  <si>
    <t>Karlsruhe Institute of Technology (KIT)</t>
  </si>
  <si>
    <t>"Policy position": Publications from the Karlsruhe Institute of Technology should in future be freely accessible, unless explicit agreements with publishers and preclude the other. The KIT encourages its researchers to publish their results in open access journals. [Has signed COPE Oct 2011]</t>
  </si>
  <si>
    <t>[1] Two repositories - EVA STAR  (KIT Campus South) and KAROLA (KIT Campus North) [2] No official policy document to speak of</t>
  </si>
  <si>
    <t>disk0/00/00/01/63</t>
  </si>
  <si>
    <t>Kassel University Library</t>
  </si>
  <si>
    <t>Policy states: [translated from German] "The President of the University of Kassel urges the scientific authors of the University Kassel strongest terms that exercise their rights and to publish their scientific publications by electronic parallel publications freely on the Internet. For the right to so-called self-archiving specialist societies and the University of Kassel offer appropriate font server that should be used to make scientific information accessible. The Bureau recommends to perceive the offer of the University Library of Kassel, to allow members of the University of the Free Electronic filing of its scientific work on your own Hochschulschriftenserver. "</t>
  </si>
  <si>
    <t>disk0/00/00/01/64</t>
  </si>
  <si>
    <t>Leibniz Association</t>
  </si>
  <si>
    <t>See also the Association's OA web page: http://www.leibniz-gemeinschaft.de/en/infrastrukturen/open-access/</t>
  </si>
  <si>
    <t>disk0/00/00/01/65</t>
  </si>
  <si>
    <t>Max Planck Society</t>
  </si>
  <si>
    <t>See also the Society's section on OA Policy: http://openaccess.mpg.de/286013/Positions</t>
  </si>
  <si>
    <t>Not sure what to put as the date of policy adoption, since the Society has supported OA since the signing of the Berlin Declaration. I have listed the publication of the mission statement in November 2013 as the date of last revision.</t>
  </si>
  <si>
    <t>disk0/00/00/01/66</t>
  </si>
  <si>
    <t>Max Weber Foundation</t>
  </si>
  <si>
    <t>Comprises 10 German humanities research institutes based in cities around the world (Beirut, Istanbul, London, Moscow, Paris, Rome, Tokyo, Warsaw and Washington D.C.). They collectively have their own repository for publications: http://www.perspectivia.net/ 
“The objective of perspectivia.net is to offer barrier-free access to selected academic findings of the institutes abroad: based on the open-access principle academic communication shall be advanced and intensified.
perspectivia.net provides texts originally published in electronic form as well as print publications presented in a retro-digitalised form. Journals, reviews, monographs and conference proceedings searchable in full text and via metadata are available on perspectivia.net in constantly rising quantities.”</t>
  </si>
  <si>
    <t>I wanted to include this organisation, but they don't seem to have a fully developed policy yet. They do maintain their own repository, and operate internationally.</t>
  </si>
  <si>
    <t>disk0/00/00/01/67</t>
  </si>
  <si>
    <t>Potsdam University</t>
  </si>
  <si>
    <t>VP: http://opus.kobv.de/ubp/doku/openacc.php: Der Senat begrüßt es, dass eine wachsende Zahl von Wissenschaftlern der Universität Potsdam alle veröffentlichten, wissenschaftlich referierten Artikel (sog. "Postprint-Versionen") als Kopie auf dem wissenschaftlichen Publikationsserver, dem institutionellen Repositorium der Universität ablegt.
Der Senat regt an, dass alle Wissenschaftler diesem Beispiel folgen, soweit rechtliche Bedenken der Verlage nicht entgegenstehen. Dies betrifft die Publikationen einer großen Zahl von Verlagen, die dieser "Selbst-Archivierung" durch Autoren an ihren Institutionen mittlerweile zustimmen. To summarise: The Senate encourages researchers to deposit their scientific articles as post-prints in the local IR as long as this does not breach any publisher concerns. Welcomes deposit, but does not recommend or require. Could not enter correct value therefore under column "p". Re-use not mentioned.</t>
  </si>
  <si>
    <t>[1] Struggled to find policy - website in German. [2] Repository URL from Roarmap</t>
  </si>
  <si>
    <t>disk0/00/00/01/68</t>
  </si>
  <si>
    <t>Tubingen University</t>
  </si>
  <si>
    <t>Not so much a policy as a recommendation - "The University of Tübingen encourages its members to actively participate in the evaluation of open access publications and the creation of open access journals that match by peer review procedures to the standards of scientific quality assurance." VP adds: Encourages digital and Open Access deposit. Mentions IR but not that work must be submitted there. Could be interpreted indirectly, but have marked this as not specified. Authors shoud see to it that they negotaite in their contracts with commercial publishers that parallel OA publishing is permitted or after an embargo period. Re-use not mentioned. OA fund exists since 2013 funded by DFG and institutional fund.</t>
  </si>
  <si>
    <t>In German - answers gleaned from Google translate</t>
  </si>
  <si>
    <t>disk0/00/00/01/69</t>
  </si>
  <si>
    <t>University of Bremen</t>
  </si>
  <si>
    <t>Not a policy - news story "University promotes open access publications" VP addition: On OA fund: http://www.suub.uni-bremen.de/home-english/refworks-and-publishing/open-access-in-bremen-2 "researchers based at the University of Bremen can publish their research findings on the Copernicus, BioMedCentral, Springer Open and ChemistryCentral platforms free of charge - all article processing fees will be met by the University. 
Researchers can also submit invoices for OA publishing expenses to the State and University Library, e.g. for the following Open Access platforms (please contact: Benjamin Ahlborn): Public Library of Science (PLOS), Hindawi, Institute of Physics (IOP: 8 Zeitschriftentitel) and following DFG conditions..."</t>
  </si>
  <si>
    <t>[1] Struggled to find policy - website in German. [2] Gold funding through partnership with DFG German Research Foundation</t>
  </si>
  <si>
    <t>disk0/00/00/01/70</t>
  </si>
  <si>
    <t>University of Hamburg</t>
  </si>
  <si>
    <t>Working on a CRIS but have no policy and institutional IR still. Talked to Isabelle Meineke 210714. Barbara Lederer responsible for CRIS barbara.lederere@virw.uni-hamburg.de 0049-40-428382288</t>
  </si>
  <si>
    <t>Struggled to find policy or repository URL - website in German. (Links to repository on Roarmap are broken.)</t>
  </si>
  <si>
    <t>disk0/00/00/01/71</t>
  </si>
  <si>
    <t>University of Heidelberg</t>
  </si>
  <si>
    <t>Gold funding through partnership with DFG Geman Research Foundation</t>
  </si>
  <si>
    <t>disk0/00/00/01/72</t>
  </si>
  <si>
    <t>University of Regensburg</t>
  </si>
  <si>
    <t>Vague recommendation type policy: "The University of Regensburg encourages and supports its scientists and knowledge- scientists, their research results on the publication server of the University to publish chen. This can be either directly (primary publication) or as an electronic version of a Publisher Publication (secondary publication, self-archiving) take place."</t>
  </si>
  <si>
    <t>VP: Slight adjustment to translation: publication server is repository. Encourages deposit of primary or secondary publication / self-archived version. Unclear as to whether encouragement for md or ft. Not specified. Does not mention re-use</t>
  </si>
  <si>
    <t>disk0/00/00/00/01</t>
  </si>
  <si>
    <t>Kwame Nkrumah University of Science and Technology</t>
  </si>
  <si>
    <t>See page 10 of the policy for copyright information.  Author grants the university a non-exclusive license.</t>
  </si>
  <si>
    <t>http://dspace.knust.edu.gh, http://dspace.knust.edu.gh:8080/jspui</t>
  </si>
  <si>
    <t>disk0/00/00/01/73</t>
  </si>
  <si>
    <t>ACMAC - Archimedes Center for Modeling, Analysis &amp; Computation</t>
  </si>
  <si>
    <t>disk0/00/00/01/74</t>
  </si>
  <si>
    <t>Panteion University School of Political Sciences</t>
  </si>
  <si>
    <t>disk0/00/00/00/17</t>
  </si>
  <si>
    <t>Hong Kong Polytechnic University</t>
  </si>
  <si>
    <t>Policy also requires deposit of conference proceedings.</t>
  </si>
  <si>
    <t>disk0/00/00/00/18</t>
  </si>
  <si>
    <t>University of Hong Kong</t>
  </si>
  <si>
    <t>RESOURCES: [1] HKU mandate requires authentication to access but the .ppt provides an overview &lt;http://hub.hku.hk/bitstream/10722/145800/2/HKU%20OA.pdf&gt; &amp; &lt;http://hub.hku.hk/handle/10722/194052&gt;. [2] http://hub.hku.hk/bitstream/10722/143266/1/ke%20strategy%20oa%20success.pdf [3] http://hub.hku.hk/bitstream/10722/49851/1/content.pdf [4] Knowledge Exchange &lt;http://www.ke.hku.hk/&gt; [5] &lt;http://hub.hku.hk/bitstream/10722/145800/2/HKU%20OA.pdf?accept=1&gt; [6] http://www.sppoweb.hku.hk/sdplan/eng/strategic-themes-for-09-14/promotion-knowledge-exchange-and-demonstrating-leadership.php&gt;</t>
  </si>
  <si>
    <t>disk0/00/00/00/19</t>
  </si>
  <si>
    <t>University of Hong Kong Libraries</t>
  </si>
  <si>
    <t>disk0/00/00/01/78</t>
  </si>
  <si>
    <t>Hungarian Government</t>
  </si>
  <si>
    <t>Hungarian goverment is the policy maker- repositories upheld by Hungarian universities. Found following link with information, but no exact policy.http://www.unesco.org/new/en/communication-and-information/portals-and-platforms/goap/access-by-region/europe-and-north-america/hungary/</t>
  </si>
  <si>
    <t>Could not find exact policy</t>
  </si>
  <si>
    <t>http://phd.lib.uni-corvinus.hu/; http://ganymedes.lib.unideb.hu:8080/dea/handle/2437/2265; http://phd.lib.uni-miskolc.hu/jadox/portal/; http://doktori.bibl.u-szeged.hu/;</t>
  </si>
  <si>
    <t>2012-00-00</t>
  </si>
  <si>
    <t>disk0/00/00/01/79</t>
  </si>
  <si>
    <t>Hungarian Scientific Research Fund (OTKA)</t>
  </si>
  <si>
    <t>disk0/00/00/01/80</t>
  </si>
  <si>
    <t>Magyar Tudomanyos Akademia (MTA) Hungarian Academy of Sciences</t>
  </si>
  <si>
    <t>Making deposited item OA required scientic publications published after January 1st, 2013. Not required for scientic publications published after January 1st, 2013.
Not a repository deposit mandate - an open access mandate. Papers should be made OA, no matter how: in gold OA journals, in hybrid journals, in thematic repositories, institutional repositories. There is an orphan repository, or default repository - REAL - but it is not the only way for achieving OA. The mandate tolerates embargos and publisher's copyright, and if no other solution is possible, closed access deposit could be done.
In our case, we do not need an institutional repository, because we have a National scientific bibliography database. All papers covered by the mandate should be listed there, with the URL of the OA full text.
Therefore the OA version could be anywhere. (Well, in "proper"places, which ensure long term accessibility.)
Institutional funding provided for pure gold, not for hybrid.</t>
  </si>
  <si>
    <t>Verified by Andras Holl
Email: holl.andras@konyvtar.mta.hu
02/10/14</t>
  </si>
  <si>
    <t>disk0/00/00/01/81</t>
  </si>
  <si>
    <t>Bifröst University</t>
  </si>
  <si>
    <t>Modeled on OA policy of Harvard School of Fine Arts and OA Policy of Harvard Law School/ http://www.bifrost.is/Files/Skra_0061808.pdf. Exemptions: "Exempt from this policy are books, teaching material, reports or other material that does not fall under the category of research articles published in scientific journals. Exempt are also research articles that are completed before the adoption of this policy and articles that were already underway and are bound by restrictions that are incompatible with this policy."</t>
  </si>
  <si>
    <t>disk0/00/00/01/82</t>
  </si>
  <si>
    <t>Rannis - Icelandic Centre for Research</t>
  </si>
  <si>
    <t>Policy and Repository site in Iceland. Did not find policy specifically written for Rannis, but institution follows Act on Public Support for Scientific Research No. 3/2003. Information specific to Rannis: http://eng.menntamalaraduneyti.is/Acts/nr/2700 Chapter III and IV discuss Rannis but do not elaborate on OA specifically.</t>
  </si>
  <si>
    <t>Could not find a policy for Rannis. [APS: have located policy in Icelandic: awating English translation from Rannis or Mummi]</t>
  </si>
  <si>
    <t>disk0/00/00/07/74</t>
  </si>
  <si>
    <t>Reykjavik University</t>
  </si>
  <si>
    <t>Reykjavik University (RU) places an emphasis on providing as many people as possible with access to the results of research and teaching activities conducted at the University. For this purpose, RU has set forth a policy on Open Access.</t>
  </si>
  <si>
    <t>Reykjavik University research strategy states: Reykjavík University aims to increase the international visibility, use and impact of its research results by providing open access through a repository and to make it easier for researchers to make their results public with the help of different support services. RU should emphasize open access to the products of research activities carried out at the University, e.g. publications and data, to the extent allowed by copyright agreements.</t>
  </si>
  <si>
    <t>disk0/00/00/07/58</t>
  </si>
  <si>
    <t>University of Iceland</t>
  </si>
  <si>
    <t>Aslaug Agnarsdottir</t>
  </si>
  <si>
    <t>disk0/00/00/00/20</t>
  </si>
  <si>
    <t>Bharathidasan University</t>
  </si>
  <si>
    <t>Resources: [1] &lt;http://www.eprints.org/openaccess/policysignup/fullinfo.php?inst=Bharathidasan%20University%20&gt;  [2] &lt;http://legacy.earlham.edu/~peters/fos/2006/12/oa-mandate-at-bharathidasan-university.html&gt;</t>
  </si>
  <si>
    <t>Could not locate a policy. Although the home page for the IR is available access is not.  Neither the repository or the mandate is mentioned in recent publications on the status of OA in India.  For example see Open Access to Scholarly Literature in India —
A Status Report &lt;http://cis-india.org/openness/publications/open-access-scholarly-literature.pdf&gt; and Open Access in India: Hopes and Frustrations &lt;http://elpub.scix.net/data/works/att/271_elpub2008.content.pdf&gt;</t>
  </si>
  <si>
    <t>2006-11-00</t>
  </si>
  <si>
    <t>disk0/00/00/00/21</t>
  </si>
  <si>
    <t>CGIAR</t>
  </si>
  <si>
    <t>"The Policy establishes common standards with respect to the prompt and broad dissemination of research results, including peer-reviewed journal articles; reports and other papers; books and book chapters; data and databases; data collection and analysis tools (e.g. models and survey tools); video, audio and images; computer software; web services (e.g. data portals, modeling on-line platforms); and metadata associated with the information products above ('information products')."</t>
  </si>
  <si>
    <t>Information retrieved from 3 documents: [1] CGIAR Open Access and Data Management Policy (the “Policy”) 
[2] “CGIAR IA Principles &lt;http://www.cgiarfund.org/sites/cgiarfund.org/files/Documents/PDF/cgiar_principles_management_intellectual_assets_7march_2012.pdf&gt;“ [3]  Draft CGIAR Open Access and Data Management Implementation Guidelines which are linked here &lt;http://www.cgiar.org/consortium-news/cgiar-consortium-now-officially-open-access/&gt;</t>
  </si>
  <si>
    <t>disk0/00/00/00/22</t>
  </si>
  <si>
    <t>Council of Scientific &amp; Industrial Research</t>
  </si>
  <si>
    <t>RESOURCE: [1]A link to the original memo &lt;http://images.the-scientist.com/content/images/general/55521-1.jpg&gt; [2] http://oasis.csir.res.in/utube/CSIR_OPEN_ACCESS_MANDATE.pdf</t>
  </si>
  <si>
    <t>disk0/00/00/06/51</t>
  </si>
  <si>
    <t>Department of Biotechnology and Department of Science &amp; Technology, Ministry of Science &amp; Technology</t>
  </si>
  <si>
    <t>If the instiution does not yet have an
IR of its own, then the manuscript should be deposited in the central repositories (dbt.sciencecentral.in
and dst.sciencecentral.in).</t>
  </si>
  <si>
    <t>disk0/00/00/06/35</t>
  </si>
  <si>
    <t>ICRISAT International Crops Research Institute for the Semi-Arid Tropics</t>
  </si>
  <si>
    <t>Policy language not found on ICRISAT site</t>
  </si>
  <si>
    <t>disk0/00/00/07/39</t>
  </si>
  <si>
    <t>IITH Indian Institute of Technology Hyderabad</t>
  </si>
  <si>
    <t>Not available</t>
  </si>
  <si>
    <t>disk0/00/00/00/23</t>
  </si>
  <si>
    <t>Indian Council of Agricultural Research</t>
  </si>
  <si>
    <t>Resources: [1] evaluation &lt;http://icar.org.in/files/RFD-2012-13-DKMA%20.pdf&gt; [2] Knowledge Management &lt;http://icar.org.in/en/information-resources.htm&gt; [3] &lt;http://icar.org.in/files/AGROWEB-brochure.pdf&gt;</t>
  </si>
  <si>
    <t>[1] &lt;http://www.rkmp.co.in/&gt;  [2] &lt;http://www.erepo.iihr.ernet.in/&gt;</t>
  </si>
  <si>
    <t>disk0/00/00/00/24</t>
  </si>
  <si>
    <t>Indian Institute of Horticultural Research Bengaluru</t>
  </si>
  <si>
    <t>disk0/00/00/00/26</t>
  </si>
  <si>
    <t>M S University</t>
  </si>
  <si>
    <t>Other than the ROARMAP entry no other information about a policy/mandate could be located.</t>
  </si>
  <si>
    <t>disk0/00/00/00/27</t>
  </si>
  <si>
    <t>Madurai Kamaraj University</t>
  </si>
  <si>
    <t>Could not locate a policy.</t>
  </si>
  <si>
    <t>The website for the college can not be searched.  The policy originates from the School of Biotechnology but the website does not have a link to the school.  There is no link to an institutional repository on the school website.  All of the links to the ir in ROARMAP and DOAR are dead.  The person who made the entry in ROARMAP ("Krishnaswamy, S. Senior Professor, Nodal person for open access in MKU") appears to have been recently demoted and then dismissed from the university.&lt;http://www.thehindu.com/news/cities/Madurai/an-individual-versus-institution/article4952232.ece&gt;</t>
  </si>
  <si>
    <t>disk0/00/00/00/28</t>
  </si>
  <si>
    <t>Mahatma Ghandi University</t>
  </si>
  <si>
    <t>[1] The library website has a section on OA Theses on its home page &lt;http://www.mguniversity.edu/index.php?option=com_content&amp;view=article&amp;id=39&amp;Itemid=8&gt; [2] The user guide for the repository mentions the OA thesis mandate &lt;http://eprints.rclis.org/15189/1/2010PhDUserGuide.pdf&gt; [3] &lt;http://www.inflibnet.ac.in/caliber2009/CaliberPDF/8.pdf&gt; [4] &lt;https://mx2.arl.org/Lists/SPARC-OAForum/Message/4664.html&gt; [5] &lt;http://eprints.rclis.org/13532/&gt;</t>
  </si>
  <si>
    <t>Articles written about the MGU policy/mandate refer to "Mahatma Gandhi University. Handbook- 2008
(silver Jubilee Year). Kottayam, MGU, 2008." And, the launching of the repository coincided with the jubilee celebration. But, I have been unable to access the document.</t>
  </si>
  <si>
    <t>disk0/00/00/00/29</t>
  </si>
  <si>
    <t>National Institute of Oceanography</t>
  </si>
  <si>
    <t>RESOURCES: [1] http://drs.nio.org/drs/help/copyright.html [2] http://drs.nio.org/drs/bitstream/2264/648/1/Sym_Exp_DSpace_Inst_Org_Reposit_2007.pdf [3] http://drs.nio.org/drs/help/benefits.html [4] &lt;http://www.nio.org/index/option/com_subcategory/task/show/title/Annual%20Reports/tid/1/sid/117/thid/121&gt;  The NIO has digitized all of their annual reports.  Several mention the DRS -- 2006 for its inception and 2009 for its ranking but no mention is made in 2010 or 2011 for the mandate. [5] See page 54. &lt;http://cis-india.org/openness/publications/open-access-scholarly-literature.pdf&gt;</t>
  </si>
  <si>
    <t>"DRS@nio tries to collect, preserve and disseminate different institutional publications (journal articles, conference proceeding articles, technical reports, thesis, dissertations, etc)." Statement from the DRS home page.</t>
  </si>
  <si>
    <t>disk0/00/00/00/30</t>
  </si>
  <si>
    <t>National Institute of Technology, Rourkela</t>
  </si>
  <si>
    <t>[1] The ETDS Repository mandate is on the front page of the repository.  &lt;http://ethesis.nitrkl.ac.in/information.html&gt; [2] Statement of benefits to authors and the Institute for use of dspace@nitr &lt;http://dspace.nitrkl.ac.in/dspace/benefits.html&gt; [3] Article documenting the mandate &lt;http://dspace.nitrkl.ac.in/dspace/bitstream/2080/310/1/madhan1.pdf&gt; policy for ethesis@nitr &lt;http://ethesis.nitrkl.ac.in/policies.html&gt; [4] See page 49.  &lt;http://cis-india.org/openness/publications/open-access-scholarly-literature.pdf&gt;</t>
  </si>
  <si>
    <t>Unable to locate the original mandate as approved at the 10th Senate meeting, NIT Rourkela.</t>
  </si>
  <si>
    <t>disk0/00/00/00/25</t>
  </si>
  <si>
    <t>National Knowledge Commission</t>
  </si>
  <si>
    <t>RESOURCES: [1]&lt; http://knowledgecommission.gov.in/downloads/documents/wg_open_course.pdf&gt; [2] &lt;http://knowledgecommission.gov.in/downloads/recommendations/LibrariesLetterPM.pdf&gt; [3] http://www.knowledgecommission.gov.in/downloads/recommendations/OERPM.pdf [4] &lt;http://knowledgecommission.gov.in/downloads/documents/wg_lib.pdf&gt; [5] &lt;http://ir.inflibnet.ac.in/bitstream/1944/1127/1/12.pdf&gt;</t>
  </si>
  <si>
    <t>The NKC has made recommendations in support of a National OA policy.  For now, their reports are OA encouragement rather than policies or mandates.</t>
  </si>
  <si>
    <t>Roarmap lists opendepot.org as the agency's repository.  But, I do not see the agency in the list on the opendepot.org website.</t>
  </si>
  <si>
    <t>disk0/00/00/00/31</t>
  </si>
  <si>
    <t>Bogor Agricultural University</t>
  </si>
  <si>
    <t>RESOURCES: [1] See pages 6-8 on mandatory policies &lt;http://iceb.nccu.edu.tw/proceedings/APDSI/2013/proc/P130130012.pdf&gt;</t>
  </si>
  <si>
    <t>Compulsory submission of scholarly works. Nomor 06/13/PL/2010 (can't retrieve the policy)</t>
  </si>
  <si>
    <t>POLITO</t>
  </si>
  <si>
    <t>disk0/00/00/00/38</t>
  </si>
  <si>
    <t>Diponegoro University</t>
  </si>
  <si>
    <t>Gleaned from the posting to ROARMAP</t>
  </si>
  <si>
    <t>Could not locate the non-exclusive license</t>
  </si>
  <si>
    <t>disk0/00/00/00/32</t>
  </si>
  <si>
    <t>Institut Teknologi Sepuluh Nopember</t>
  </si>
  <si>
    <t>Compulsory submission of scholarly works. Rector decree of Institut Teknologi Sepuluh Nopember Number: 5455.5/12/LL/2008 (can't retrieve it)</t>
  </si>
  <si>
    <t>disk0/00/00/00/33</t>
  </si>
  <si>
    <t>STMIL GI MDP</t>
  </si>
  <si>
    <t>The policy linked in ROARMAP is the eprints policy webpage primarily covering operational issues.</t>
  </si>
  <si>
    <t>disk0/00/00/00/34</t>
  </si>
  <si>
    <t>Sriwijaya University</t>
  </si>
  <si>
    <t>RESOURCES:[1]&lt;http://translate.google.com/translate?u=http%3A%2F%2Fwww.unsri.ac.id%2Fupload%2Fimages%2FKode_Etik_Pelaku_Penelitian_UNSRI-OK.pdf&amp;hl=en&amp;langpair=auto|en&amp;tbb=1&amp;ie=null&gt; [2] From an  article about Indonesian ir: "Besides the mandatory policy, recently there is a policy from government, directorate general of higher education, ministry of educational and culture which encourage every HE to have its own OAIR. From December 11, 2011 onward, every lecturer who wants promotion, he or she must provide the address of his or her scholarly works on website either on journal  online, institutional repository, Garuda or other portal."  &lt;http://iceb.nccu.edu.tw/proceedings/APDSI/2013/proc/P130130012.pdf&gt;</t>
  </si>
  <si>
    <t>Link to the repository in ROARMAP is broken. The policy listed in ROARMAP is the eprints policy, primarily covering operational issues but including some instructions regarding deposits. No other policy is available. Data can be deposited but it is unclear if this is a mandate.  The policy does make clear that commmercial reuse of data is not acceptable.  The home page for the repository lists etds, grey literature, etc. as acceptable for deposit but it is unclear if the mandate applies to etds.</t>
  </si>
  <si>
    <t>disk0/00/00/00/35</t>
  </si>
  <si>
    <t>University of Muhammadiyah Malang</t>
  </si>
  <si>
    <t>disk0/00/00/00/36</t>
  </si>
  <si>
    <t>University of Sumatra Utara</t>
  </si>
  <si>
    <t>disk0/00/00/00/37</t>
  </si>
  <si>
    <t>University of Surabaya</t>
  </si>
  <si>
    <t>RESOURCES: [1] See pages 6-8 on mandatory policies &lt;http://iceb.nccu.edu.tw/proceedings/APDSI/2013/proc/P130130012.pdf&gt; [2] ETDS: http://elib.ubaya.ac.id/images/doc/pr_393_2012.pdf [3] ETDS &lt;http://elib.ubaya.ac.id/index.php/publikasi-artikel-jurnal-mahasiswa&gt; [4] Policy 393 and 383 &lt;http://elib.ubaya.ac.id/index.php/repository&gt; [5] &lt;http://elib.ubaya.ac.id/images/doc/pr_383_2012.pdf&gt; Regulation No. Rector. 383 in 2012 About Mandatory obligation to deposit in Environmental Science University of Surabaya (The document is too large for Google Translate).</t>
  </si>
  <si>
    <t>disk0/00/00/01/83</t>
  </si>
  <si>
    <t>Consortium of Irish Research Organisations</t>
  </si>
  <si>
    <t>Resource: Roarmap entry and Trinity College. No policy specifically for Consortium, but for previous policy from Roarmap entry. Note: Post-print deposited or Publisher version if permitted, also metadata when available. (page 2)</t>
  </si>
  <si>
    <t>Cannot find direct link to Policymaker URL, but have added URL previously included in ROARMAP. Cannot find direct link to Repository. Policymaker link goes to Trinity College, which is part of Consortium. No list of Consortal members could be found.</t>
  </si>
  <si>
    <t>disk0/00/00/01/84</t>
  </si>
  <si>
    <t>Dublin Institute of Technology</t>
  </si>
  <si>
    <t>Repository lists sound clips, peer-reviewed articles, book chapters, and working papers as possible formats but no exact list of excepted formats is available. Work that will be "commercialed..confidential...or infringe on legal commitments" are exempt from submission.</t>
  </si>
  <si>
    <t>disk0/00/00/01/85</t>
  </si>
  <si>
    <t>Health Research Board Ireland (HRB)</t>
  </si>
  <si>
    <t>Note: Author post-print will be deposited, but if publisher version is available and permitted, it should be deposited. Metadata should also be deposited. Note: 
Other research outputs such as monographs, books,  book  chapters, technical  reports, research  theses, and  reports  should  be depositedwhere possible (but are not required). Notes; DOI should be added when available. Institutional Repository is prefered for use when available, but an suitable repository is acceptable for policy compliance. Funder will not pay for fees relating to Gold OA.</t>
  </si>
  <si>
    <t>Policy based on best practices and the National Principles for Open Access Policy Statement</t>
  </si>
  <si>
    <t>disk0/00/00/01/86</t>
  </si>
  <si>
    <t>Irish Higher Education Authority (HEA)</t>
  </si>
  <si>
    <t>Post-prints and Metadata. Conference Preceedings. "Research papers published in OA journals must also be deposited in an OA repository in the same ways as other publications.</t>
  </si>
  <si>
    <t>Policy link in Roarmap is broken. No repository link can be found.</t>
  </si>
  <si>
    <t>disk0/00/00/01/87</t>
  </si>
  <si>
    <t>Irish Research Council for Science, Engineering &amp; Technology (IRCSET)</t>
  </si>
  <si>
    <t>Post-prints and Metadata for deposit. Use published version when allowed by publisher. Include data when possible.</t>
  </si>
  <si>
    <t>Found only a draft of the OA policy, but not a final version. Also, note this an OA policy is for IRCSET and IRCHSS both.</t>
  </si>
  <si>
    <t>disk0/00/00/01/88</t>
  </si>
  <si>
    <t>National University of Ireland Maynooth</t>
  </si>
  <si>
    <t>Peer-reviewed and non-PR accepted. Articles, books, book chapters, monographs.</t>
  </si>
  <si>
    <t>disk0/00/00/01/89</t>
  </si>
  <si>
    <t>Science Foundation ireland (SFI)</t>
  </si>
  <si>
    <t>Policy link in Roarmap is broken. No specific Repository for SFI could be found, and policy says "an open acces repository."</t>
  </si>
  <si>
    <t>disk0/00/00/01/90</t>
  </si>
  <si>
    <t>Trinity College Dublin</t>
  </si>
  <si>
    <t>Content published before OA policy approved does not have to be submitted in repository. PR articles, conference proceedings, theses, and research is required. Books, book chapters, datasets is encouraged. Metadata for deposits for grant funded research is required.</t>
  </si>
  <si>
    <t>Deposit is required or recommended- depending on content type- see policy comments</t>
  </si>
  <si>
    <t>disk0/00/00/01/91</t>
  </si>
  <si>
    <t>Conference of Italian Rectors (CRUI)</t>
  </si>
  <si>
    <t>"any appropriate subject repository, such as Europe PubMed Central or arXiv..." Deposit: pubs: within 6 mos. raw data: preferably as soon as possible immediately after publication and in any case no later than 6 mos. from date of pub. content: Publications and data, nothing more specific</t>
  </si>
  <si>
    <t>No specific repository found.</t>
  </si>
  <si>
    <t>No specific repository</t>
  </si>
  <si>
    <t>disk0/00/00/01/92</t>
  </si>
  <si>
    <t>European University Institute (EUI) - Cadmus</t>
  </si>
  <si>
    <t>Content type not specified other than "published research" and theses.</t>
  </si>
  <si>
    <t>Classified in Roarmap as Other non-mandate.</t>
  </si>
  <si>
    <t>disk0/00/00/01/93</t>
  </si>
  <si>
    <t>Istituto Superiore di Sanità</t>
  </si>
  <si>
    <t>Post-print or published version for deposit. Policy mentions peer review only, but repository also accepts non-peer review.</t>
  </si>
  <si>
    <t>Verified by Poltronieri Elisabetta 
Email: elisabetta.poltronieri@iss.it
26/11/14
I would also like to inform you that we are going to revise some points of our policy; once it will be re-defined, I will be glad to notify the updated version for inclusion in ROARMAP.</t>
  </si>
  <si>
    <t>disk0/00/00/01/94</t>
  </si>
  <si>
    <t>Italian Ministry of Education, Universities and Research (Ministero dell'Istruzione, dell'Università e della Ricerca) (MIUR)</t>
  </si>
  <si>
    <t>The OA clause (art. 9) requires access to both research publications and research data. Regarding the journal article version: both a published version or a copy 
of the final version as accepted for publication (following peer-review) are accepted. Single portions of the research data can be exempted from OA  where the publication may compromise the achievement of the main objective of the research. No specific open licenses requirements are defined. See the Call for proposal in English here: http://attiministeriali.miur.it/media/232807/call_for_proposal.pdf</t>
  </si>
  <si>
    <t>disk0/00/00/06/41</t>
  </si>
  <si>
    <t>L'IRCrES, Istituto di ricerca sulla crescita economica sostenibile</t>
  </si>
  <si>
    <t>Verified by Perin Anna 
Email: anna.perin@ircres.cnr.it
17/11/14</t>
  </si>
  <si>
    <t>disk0/00/00/01/95</t>
  </si>
  <si>
    <t>L'Università di Tor Vergata</t>
  </si>
  <si>
    <t>Eprints and Roarmap state policy as: "Art. 6 Title conferment 6. PhD conferment is subordinated to the self-archiving of the final PhD thesis into the institutional open access repository; conservation and public availability is on the 
account of the University."</t>
  </si>
  <si>
    <t>version of the work as accepted for publication (f</t>
  </si>
  <si>
    <t>disk0/00/00/01/96</t>
  </si>
  <si>
    <t>Libera Università Internazionale degli Studi Sociali Guido Carli</t>
  </si>
  <si>
    <t>No Policy URL: 
Concerning the URL of the policy, is not present on the web with its own autonomous text, it is in fact of two extracts that are the following:
Extract from the resolution of the Academic Senate (28/05/2009)
"In keeping with the Berlin Declaration on Open Access to scientific literature in 2003, as required by the Guidelines for the filing of the doctoral thesis in open archives, prepared by the CRUI in October 2007 and under the Ministry of Education circular No. . 1746 of 20 July 2007, the Senate establishes that the doctoral dissertation, with effect from 2008, will be published in the Archives Open University. the University Library will fulfill the obligations imposed by law on the legal deposit of documents, ensuring the conservation and public availability of the thesis of PhD graduates of the LUISS Guido Carli. "
Excerpt from the Announcement of competition for admission to the courses of Doctorate - Cycle XXVI
"ART. 10 - PhD TITLE [...] The issue of the certificate of graduation is subject to the deposit within 30 days of discussion, to the person concerned and with the assistance of the office, the final thesis in 'institutional Repository of the University open access, which will ensure the preservation and public consultation; university will be responsible for delivering, as required by law at the national libraries of Rome and Florence. "</t>
  </si>
  <si>
    <t>Verified by Chiara Annulli
Email: cannulli@luiss.it
17/11/14</t>
  </si>
  <si>
    <t>disk0/00/00/01/97</t>
  </si>
  <si>
    <t>Politecnico di Bari</t>
  </si>
  <si>
    <t>According to the PhD courses regulation (art. 14.6) within 60 days of the end of the PhD course, a digital copy of the thesis must be deposited in the PhD thesis institutional archive (OpeRE): see http://www.poliba.it/it/component/docman/doc_download/2778-regolamento-dei-corsi-di-dottorato-di-ricerca-emanato-con-d-r-n-286-del-01-07-2013.html?Itemid=90</t>
  </si>
  <si>
    <t>No formal OA policy adopted yet. The Academic senate decided to constitute an OA working group which is going to define the Politecnico OA policy; it was also dediced to broaden the content types to be deposited in the OpeRE archive: in the future (not specified when) the institutional archive will also include articles, pre/post print papers, didactical material and scientific reports. See: http://www.poliba.it/it/ateneo/verbali2/doc_view/3124-dispositivo-sa-17-settembre-nuovo.html</t>
  </si>
  <si>
    <t>disk0/00/00/01/98</t>
  </si>
  <si>
    <t>Politecnico di Torino</t>
  </si>
  <si>
    <t>No formal OA policy adopted yet. A draft proposal of OA policy is currently being studied</t>
  </si>
  <si>
    <t>disk0/00/00/01/99</t>
  </si>
  <si>
    <t>Scuola IMT - Istituzioni, Mercati, Tecnologie - Alti Studi - Lucca</t>
  </si>
  <si>
    <t>The deposit of PhD thesis is mandatory; though full access is encouraged, the access criteria are left to the author. See. http://e-theses.imtlucca.it/images/FullDepositGuide.pdf</t>
  </si>
  <si>
    <t>The contact person says that it is possible for authors to 
restrict access beyond the embargo period by choosing the mixed (only 
part of the thesis is accessible) or restricted option.</t>
  </si>
  <si>
    <t>disk0/00/00/02/00</t>
  </si>
  <si>
    <t>Scuola Internazionale Superiore di Studi Avanzati di Trieste (SISSA)</t>
  </si>
  <si>
    <t>Resources:http://digitallibrary.sissa.it/HowToSubmit and http://roarmap.eprints.org/257/  No OA policy found but information accumulated from RoarMap and university sites.</t>
  </si>
  <si>
    <t>disk0/00/00/02/02</t>
  </si>
  <si>
    <t>Telethon italy</t>
  </si>
  <si>
    <t>1. Policy lite- only a press release detailing the oa policy (Roarmap link) 2. Second link is a summary of the OA policy from Telethon. 3. Link to Full Telethon Policy</t>
  </si>
  <si>
    <t>http://www.wellcome.ac.uk/News/Media-office/Press-releases/2010/WTX058744.htm.  See http://www.telethon.it/en/scientists/open-access/policy</t>
  </si>
  <si>
    <t>disk0/00/00/02/05</t>
  </si>
  <si>
    <t>Universita Roma Tre</t>
  </si>
  <si>
    <t>Resources: 1. http://dspace-roma3.caspur.it/project.jsp 2. http://dspace-roma3.caspur.it/?locale=en Note: Submission of ETDs necessary for graduation.</t>
  </si>
  <si>
    <t>No complete OA policy found.</t>
  </si>
  <si>
    <t>disk0/00/00/02/31</t>
  </si>
  <si>
    <t>Universita degli Studi G. d' Annunzio Chieti Pescara</t>
  </si>
  <si>
    <t>Resources:  information derived from articles of association</t>
  </si>
  <si>
    <t>Policy in Italian. According to the articles of association the Univ. is adopting an policy on OA. OA refers both to data and products of scientific research expected to be deposited at the institutional archive and communicated to the public (article 12- diffusion of knowledge)</t>
  </si>
  <si>
    <t>EKT</t>
  </si>
  <si>
    <t>disk0/00/00/02/04</t>
  </si>
  <si>
    <t>Universita degli studi di Trieste</t>
  </si>
  <si>
    <t>Policy in Italian. Translated from Ilalian</t>
  </si>
  <si>
    <t>Verified by Stefania Arabito
Email: arabito@units.it
18/11/14</t>
  </si>
  <si>
    <t>disk0/00/00/02/29</t>
  </si>
  <si>
    <t>Universita di Pisa</t>
  </si>
  <si>
    <t>Resources: 1. http://www.opendoar.org/find.php?rID=465&amp;format=full 2. Information derived from repository site and "policy link." Note that policy is more of a summary of a national mandate applicable to Italian PhD students.</t>
  </si>
  <si>
    <t>disk0/00/00/02/06</t>
  </si>
  <si>
    <t>University of Bergamo</t>
  </si>
  <si>
    <t>Policy not found but repository accepts: ETDs, articles, working papers, conference proceedings, research reports, book chapters, and patents. For PhD candidates, deposit in reposit of ETD is necessary. Resource: http://aisberg.unibg.it/handle/10446/6194</t>
  </si>
  <si>
    <t>Note: repository link broken. No policy found but data derivd from repository site.</t>
  </si>
  <si>
    <t>disk0/00/00/02/07</t>
  </si>
  <si>
    <t>University of Bologna</t>
  </si>
  <si>
    <t>Resource: 1. http://conservation-science.unibo.it/article/view/3396 2. http://amsdottorato.unibo.it/ Note: No distinct OA policy found.</t>
  </si>
  <si>
    <t>disk0/00/00/02/08</t>
  </si>
  <si>
    <t>University of Ferrara</t>
  </si>
  <si>
    <t>Policy URL: http://www.unife.it/ Note: No clear policy found and little information regarding policy.</t>
  </si>
  <si>
    <t>disk0/00/00/02/09</t>
  </si>
  <si>
    <t>University of Florence</t>
  </si>
  <si>
    <t>Policy in Italian. Policy accepts embargos. Content type only specificied as " scientific contributions."</t>
  </si>
  <si>
    <t>Verified by Tessa Piazzini
Email: tessa.piazzini@unifi.it
18/11/14</t>
  </si>
  <si>
    <t>disk0/00/00/02/10</t>
  </si>
  <si>
    <t>University of Milano-Bicocca</t>
  </si>
  <si>
    <t>Resources: 1. https://www.biblio.unimib.it/go/Home/Home-English/Electronic-Resources/Bicocca-Open-Archive-BOA Note: No clear OA policy found.  Information derived from guidelines.</t>
  </si>
  <si>
    <t>Verified by Chiara Papalia 
Email: chiara.papalia@unimib.it
20/11/14</t>
  </si>
  <si>
    <t>disk0/00/00/02/11</t>
  </si>
  <si>
    <t>University of Naples</t>
  </si>
  <si>
    <t>Resources: 1. http://roarmap.eprints.org/248/ 2. http://www.fedoa.unina.it/ Note: No OA policy found in full. Maximum 3 year embargo on ETDs.</t>
  </si>
  <si>
    <t>disk0/00/00/02/12</t>
  </si>
  <si>
    <t>University of Padua</t>
  </si>
  <si>
    <t>Resource: http://paduaresearch.cab.unipd.it/politiche_deposito.html</t>
  </si>
  <si>
    <t>Document types; peer-reviewed serials and ETDs as well as unpublished works and: journal articles, contributions to collective works, conferences, technical reports, working papers, projects, doctoral theses</t>
  </si>
  <si>
    <t>disk0/00/00/02/13</t>
  </si>
  <si>
    <t>University of Sassari</t>
  </si>
  <si>
    <t>Resources: 1. http://www.eprints.org/openaccess/policysignup/fullinfo.php?inst=University%20of%20Sassari%20Theses 3. http://roarmap.eprints.org/241/</t>
  </si>
  <si>
    <t>No clear OA Policy found. Formats accepted: 2.  Will accept any material that relates to research 
output in any format, including multimedia, articles, book chapters, 
conference papers, working papers, patents, doctoral theses and 
unpublished research.   Unpublished or published materials accepted.</t>
  </si>
  <si>
    <t>disk0/00/00/02/14</t>
  </si>
  <si>
    <t>University of Trento</t>
  </si>
  <si>
    <t>Policy in Italian.</t>
  </si>
  <si>
    <t>disk0/00/00/02/16</t>
  </si>
  <si>
    <t>University of Turin Department of Social Sciences</t>
  </si>
  <si>
    <t>Resources:1. http://roarmap.eprints.org/339/</t>
  </si>
  <si>
    <t>disk0/00/00/02/17</t>
  </si>
  <si>
    <t>University of Tuscia</t>
  </si>
  <si>
    <t>Resources: 1. http://www.eprints.org/openaccess/policysignup/fullinfo.php?inst=University%20of%20Tuscia 2. http://dspace.unitus.it/ Note: Metadeta included</t>
  </si>
  <si>
    <t>disk0/00/00/02/18</t>
  </si>
  <si>
    <t>Università "Cà Foscari" Venezia</t>
  </si>
  <si>
    <t>There is a repository for ETDs, but the terms of use are quite restrictive (http://dspace.unive.it/page/copyright): access to full-text documents is free; copies are allowed only for non commercial purposes (study and research). No modification of the contents is allowed.</t>
  </si>
  <si>
    <t>According to its website, the University is currently adopting a policy on OA: http://www.unive.it/nqcontent.cfm?a_id=166232</t>
  </si>
  <si>
    <t>disk0/00/00/02/03</t>
  </si>
  <si>
    <t>Università Cattolica del Sacro Cuore (ETD policy)</t>
  </si>
  <si>
    <t>Verified by Sara Ricetto
Email: sara.ricetto@unicatt.it
19/11/14</t>
  </si>
  <si>
    <t>disk0/00/00/06/42</t>
  </si>
  <si>
    <t>disk0/00/00/06/38</t>
  </si>
  <si>
    <t>Università Politecnica delle Marche</t>
  </si>
  <si>
    <t>Verified by Sandro Apis
Email: s.apis@univpm.it
24/11/14</t>
  </si>
  <si>
    <t>disk0/00/00/02/24</t>
  </si>
  <si>
    <t>Università degli Studi del Piemonte Orientale "Amedeo Avogadro"-Vercelli</t>
  </si>
  <si>
    <t>No formal OA policy adopted yet; according to the contact person a commission is being constituted to draft it following a resolution of the Academic Senate</t>
  </si>
  <si>
    <t>disk0/00/00/02/27</t>
  </si>
  <si>
    <t>Università degli Studi del'Insubria</t>
  </si>
  <si>
    <t>Resources: 1. http://www4.uninsubria.it/on-line/home.html</t>
  </si>
  <si>
    <t>No clear OA policy found. Little information found.</t>
  </si>
  <si>
    <t>disk0/00/00/02/19</t>
  </si>
  <si>
    <t>Università degli Studi di Cagliari</t>
  </si>
  <si>
    <t>Resources: 1. http://roarmap.eprints.org/1078/ 2. http://roarmap.eprints.org/1078/1/allegato%20d.r.%201068.pdf (PhD courses regulation: see art. 18.3) 3. http://veprints.unica.it/policies.html No commercial use/no modifications to the contents are allowed; only research and study uses are permitted. Not clear the licensing conditions (if any)</t>
  </si>
  <si>
    <t>Added in ROARMAP by the repository responsible herself after being contacted.</t>
  </si>
  <si>
    <t>disk0/00/00/02/20</t>
  </si>
  <si>
    <t>Università degli Studi di Messina</t>
  </si>
  <si>
    <t>No formal OA policy adopted yet. The contact person says they are currently working on it. Hopefully an institutional policy will be defined in the next months</t>
  </si>
  <si>
    <t>disk0/00/00/02/21</t>
  </si>
  <si>
    <t>Università degli Studi di Milano</t>
  </si>
  <si>
    <t>Resources: 1. http://roarmap.eprints.org/206/</t>
  </si>
  <si>
    <t>Verified by Paola Galimberti
Email: paola.galimberti@unimi.it
12/12/14</t>
  </si>
  <si>
    <t>disk0/00/00/02/22</t>
  </si>
  <si>
    <t>Università degli Studi di Modena e Reggio Emilia</t>
  </si>
  <si>
    <t>No formal OA policy. It is an institutional Thesis mandate. Not clear the licensing conditions (if any)</t>
  </si>
  <si>
    <t>disk0/00/00/02/28</t>
  </si>
  <si>
    <t>Università degli Studi di Napoli - Parthenope</t>
  </si>
  <si>
    <t>disk0/00/00/02/25</t>
  </si>
  <si>
    <t>Università degli Studi di Salermo</t>
  </si>
  <si>
    <t>Resources: 1. http://www.unisa.it/ 2. http://roarmap.eprints.org/322/</t>
  </si>
  <si>
    <t>No formal OA policy found. Current entry in roarmap very minimal. Appears to be an institutional Thesis mandate from Roarmap and universite sites but little other information is available.</t>
  </si>
  <si>
    <t>disk0/00/00/02/30</t>
  </si>
  <si>
    <t>Università degli Studi di Udine</t>
  </si>
  <si>
    <t>No formal OA policy; currently, there is an institutional Thesis archive which follows the CRUI guidelines for the deposit of PhD thesis in open archives (http://dspace-uniud.cilea.it/CRUI_linee_guida_deposito_tesi_dottorato.pdf)</t>
  </si>
  <si>
    <t>No formal OA policy adopted yet. The contact person says that a working group is currently trying to define a OA policy</t>
  </si>
  <si>
    <t>disk0/00/00/02/26</t>
  </si>
  <si>
    <t>Università degli Studi di Verona</t>
  </si>
  <si>
    <t>Resources: 1. http://roarmap.eprints.org/341/ 2. http://www.univr.it/main?ent=catdoc&amp;id=1195&amp;idDest=4&amp;sServ=165&amp;serv=65&amp;lang=en 3. http://www.help.u-gov.it/siarihelp/Manuale.htm# 4. http://www.univr.it/main?ent=aol&amp;page=search&amp;q=accesso+aperto</t>
  </si>
  <si>
    <t>Verified by Maria Gabaldo 
Email: maria.gabaldo@univr.it
17/11/14
Currently the University of Verona does not have a regulation on the deposit in open access, but uses the "guidelines", based on the documents euuropei that render it applicable.</t>
  </si>
  <si>
    <t>disk0/00/00/02/15</t>
  </si>
  <si>
    <t>Università degli studi di Torino / University of Turin</t>
  </si>
  <si>
    <t>Our Policy specifies you have to deposit "in the version allowed by publishers if authors signed copyright grant agreements". That's why I answered "Author final version", because it's the most common one. But if publishers allow pdf, of course we deposit pdf. The same for the embargo period: we follow what the publisher states in the SHERPA RomEO database.
As for reuse licences, the Policy doesn't require but "suggests" the use of CC Licences if no contract has been signed, giving the author the greates freedom in choosing the licence he/she likes best.
I think they give you a clearer framework.</t>
  </si>
  <si>
    <t>Verified by Elena Giglia 
Email: elena.giglia@unito.it
13/11/14</t>
  </si>
  <si>
    <t>disk0/00/00/02/23</t>
  </si>
  <si>
    <t>Università di Palermo</t>
  </si>
  <si>
    <t>PhD courses regulation (see art. 9.2): http://portale.unipa.it/dipartimenti/beniculturalistudiculturali/dottorati/studiculturalieuropei/.content/documenti/regolamento_dottorato_studi_europei.pdf</t>
  </si>
  <si>
    <t>The contact person confirmed that the institutional archive gathers PhD thesis and publications included in the Open-AIRE project. For other content types: the author decides with her editor whether upoload the full text or adopt restrictions to access. (http://surplus.unipa.it/oa/handle/10447/71204/browse?type=dateissued&amp;submit_browse=Data+di+pubblicazione)</t>
  </si>
  <si>
    <t>disk0/00/00/06/40</t>
  </si>
  <si>
    <t>Università di Parma</t>
  </si>
  <si>
    <t>Verified by Fabrizia Bevilacqua 
Email: fabrizia.bevilacqua@unipr.it
15/12/14</t>
  </si>
  <si>
    <t>disk0/00/00/07/69</t>
  </si>
  <si>
    <t>fondazione cariplo</t>
  </si>
  <si>
    <t>disk0/00/00/00/39</t>
  </si>
  <si>
    <t>Hokkaido University</t>
  </si>
  <si>
    <t>RESOURCES: [1] Detailed Regulations on the Use of HUSCAP &lt;http://eprints.lib.hokudai.ac.jp/siryo/riyo_en.pdf [2] Article about HUSCAP &lt;http://www.ariadne.ac.uk/issue49/suzuki-sugita&gt; [3] Dissertation Mandate &lt;http://eprints.lib.hokudai.ac.jp/dspace/thesis/hotline_en.jsp&gt; [4] Two recent articles about IR in Japan &lt;http://www.ariadne.ac.uk/issue71/tsuchide-et-al&gt; &lt;http://www.ariadne.ac.uk/issue72/ozono-et-al&gt;</t>
  </si>
  <si>
    <t>disk0/00/00/00/40</t>
  </si>
  <si>
    <t>Japan Ministry of Education, Culture, Sports, Science &amp; Technology</t>
  </si>
  <si>
    <t>disk0/00/00/00/41</t>
  </si>
  <si>
    <t>Japan Ministry of Education, Culture, Sports, Science and Technology (01 Apr 2013)</t>
  </si>
  <si>
    <t>disk0/00/00/07/62</t>
  </si>
  <si>
    <t>Kyoto University</t>
  </si>
  <si>
    <t>disk0/00/00/00/42</t>
  </si>
  <si>
    <t>Nagoya Institute of Technology (NIT)</t>
  </si>
  <si>
    <t>disk0/00/00/00/02</t>
  </si>
  <si>
    <t>Jomo Kenyatta University of Agriculture and Technology</t>
  </si>
  <si>
    <t>disk0/00/00/00/03</t>
  </si>
  <si>
    <t>Kenyatta University</t>
  </si>
  <si>
    <t>disk0/00/00/06/56</t>
  </si>
  <si>
    <t>Pwani University</t>
  </si>
  <si>
    <t>Thesis Mandate</t>
  </si>
  <si>
    <t>Policy supplied by Iryna 16/01/15</t>
  </si>
  <si>
    <t>disk0/00/00/00/04</t>
  </si>
  <si>
    <t>Strathmore University</t>
  </si>
  <si>
    <t>Cannot locate the original policy.  Information is taken from the posts to ROARMAP and EIFL.</t>
  </si>
  <si>
    <t>disk0/00/00/00/05</t>
  </si>
  <si>
    <t>University of Nairobi</t>
  </si>
  <si>
    <t>disk0/00/00/02/32</t>
  </si>
  <si>
    <t>University of Latvia</t>
  </si>
  <si>
    <t>In 2011 the e-resources repository of the University of Latvia was launched. The e-resources repository provides possibility to access the scientific achievements of the University of Latvia and ensures the management, preservation and free online access to the publications.  The researchers of the University can deposit copies of their peer-reviewed journal articles, theses, monographs, scientific papers, conference proceedings, periodicals, project reports and other materials.</t>
  </si>
  <si>
    <t>2011-00-00</t>
  </si>
  <si>
    <t>2011-00</t>
  </si>
  <si>
    <t>disk0/00/00/02/33</t>
  </si>
  <si>
    <t>Lithuanian University of Health Sciences</t>
  </si>
  <si>
    <t>The e-resources repository of the University of Latvia is registered and accessible in international networks, directories, and portals (DRIVER, OpenDOAR, ROAR, Dart-Europe, OpenAIRE a.o.)</t>
  </si>
  <si>
    <t>Note: "Gold open access APCs should be based on an affordable, sustainable model and be monitored and recorded."</t>
  </si>
  <si>
    <t>disk0/00/00/02/34</t>
  </si>
  <si>
    <t>Mykolas Romeris University</t>
  </si>
  <si>
    <t>Policy lite. Only found article about the policy and ROARMAP entry, not the formal policy. Brief details, but does mention content: scientific publications, books, conference papers, student final papers 
(graduate and undergraduate thesis), doctoral dissertations and other scientific output such as scientific journals and e-books.</t>
  </si>
  <si>
    <t>disk0/00/00/02/35</t>
  </si>
  <si>
    <t>Research Council of Lithuania</t>
  </si>
  <si>
    <t>Since 2006 the Research Council of Lithuania has been developing a subject repository on Lithuanian Studies data base "Lituanistika"  based on the Open Access policy and seeking to enable the possibility to access freely (in accordance with copyright provisions) the results of research in the Social Sciences and Humanities and to ensure the visibility, effective use, citation of the publications of the researchers in this subject area from all over the world. All the doctoral dissertations defended later than 2000 are submitted to this thematic repository. Other genres include papers, books and book chapters as well as other types of texts published since 2000.</t>
  </si>
  <si>
    <t>disk0/00/00/02/38</t>
  </si>
  <si>
    <t>The Research Council of Lithuania, which is the main institution dealing with publicly funded research via competitive calls, has set the main policy principles in the Descriptions of the procedure for the funding of projects. Contract agreements with the RCL promote OA. RCL is obliged to make publicly available all projects summaries and reports. Concerning open access to data, RCL has applied a rule ensuring that since a research project is finalised in 3 years’ time period, empirical projects data should be provided to a managing research institution
and scientific society.</t>
  </si>
  <si>
    <t>There is no single policy in one document, though the OA aspects are coverede in several documents. However, they all are in Lithuanian and can be found in the website of RCL: http://www.lmt.lt/lt/teisine-informacija/ta/t-nutarimai.html</t>
  </si>
  <si>
    <t>disk0/00/00/02/37</t>
  </si>
  <si>
    <t>Seimas of the Republic of Llithuania (the Parliament)</t>
  </si>
  <si>
    <t>The main outline for the policy concerning the Open Access is set up in the Article 45 of the Law on Higher Education and Research adopted 30 April 2009, No XI-242</t>
  </si>
  <si>
    <t>disk0/00/00/02/36</t>
  </si>
  <si>
    <t>Vytautas Magnus University</t>
  </si>
  <si>
    <t>Verified by Lina Blovesciuniene
Email: L.Blovesciuniene@bibl.vdu.lt
19/11/14</t>
  </si>
  <si>
    <t>disk0/00/00/02/39</t>
  </si>
  <si>
    <t>University of Luxembourg</t>
  </si>
  <si>
    <t>OA policy Approval in 2012.</t>
  </si>
  <si>
    <t>1-1-2014: only papers in depository will be used for consideration in in-house evaluation and other factors. 1-1-2014 posible last revision date. Journal version to be deposited "open access, open access with embargo, restricted access"</t>
  </si>
  <si>
    <t>disk0/00/00/04/43</t>
  </si>
  <si>
    <t>United Mexican States House of Representatives</t>
  </si>
  <si>
    <t>disk0/00/00/04/41</t>
  </si>
  <si>
    <t>Universidad Autónoma de Nuevo León</t>
  </si>
  <si>
    <t>disk0/00/00/04/42</t>
  </si>
  <si>
    <t>Universidad Autónoma del Estado de México</t>
  </si>
  <si>
    <t>Policy document in Spanish</t>
  </si>
  <si>
    <t>Translated using Google Translate.</t>
  </si>
  <si>
    <t>disk0/00/00/02/40</t>
  </si>
  <si>
    <t>DARE</t>
  </si>
  <si>
    <t>In force 2003-2007.  Subsequently incorporated in www.narcis.nl.</t>
  </si>
  <si>
    <t>Link from Roarmap entry broken. Other links broken.</t>
  </si>
  <si>
    <t>disk0/00/00/02/42</t>
  </si>
  <si>
    <t>Eindhoven University of Technology</t>
  </si>
  <si>
    <t>disk0/00/00/02/43</t>
  </si>
  <si>
    <t>Erasmus University Rotterdam</t>
  </si>
  <si>
    <t>Policy implemented by the Executive Board of the institution in September 2010, with effect from 1st January 2011. A letter detailing the new policy was sent by the Rector Magnificus of EUR to all staff, 13 September 2010: http://www.eur.nl/fileadmin/ASSETS/ub-instructie/Research_Matters/oa_eng.pdf. Since 2006, it had already been a requirement that all completing doctoral students submit a digital copy of their thesis to the institutional repository, RePub. Policy doesn't dictate when staff must submit their articles to RePub, but strongly recommends that it happens at the same time as submitting the final draft to the publisher. Following submission to the repository, RePub negotiates with the publisher and considers the publication/OA options available (thus no firm indications about what will happen to the articles are provided in the policy documentation on the EUR website.</t>
  </si>
  <si>
    <t>disk0/00/00/02/41</t>
  </si>
  <si>
    <t>Nederlandse Organisatie voor Wetenschappelijk Onderzoek (NWO)</t>
  </si>
  <si>
    <t>NWO encourages researchers to follow the Golden Road, namely publishing in scientific open access journals or open access books where the scientific quality is safeguarded by peer review. Motto for the Golden Road: ' If possible do it!'
In disciplines and subdisciplines where open access publishing is not yet possible, NWO encourages researchers to take the Green Road, namely depositing pre-publications/publications in a public database, for example a repository for their own discipline and/or of their own university. For PhD theses NWO follows the current practice: at Dutch universities theses must currently be deposited in the institutional repository.</t>
  </si>
  <si>
    <t>disk0/00/00/02/44</t>
  </si>
  <si>
    <t>Royal Netherlands Academy of Arts &amp; Sciences (KNAW)</t>
  </si>
  <si>
    <t>Publications policy summary: All Academy publications will be placed in the Academy publications repository. They will be made available open access within six months of their publication. A period of twelve months applies for the humanities and social sciences.
Research data policy summary: All Academy research data will be digitally preserved and made available open access, unless the data memorandum stipulates that this is not necessary. This will take place within eighteen months of the conclusion of the research. 
For more details see https://www.knaw.nl/en/openaccess</t>
  </si>
  <si>
    <t>disk0/00/00/02/45</t>
  </si>
  <si>
    <t>Utrecht University</t>
  </si>
  <si>
    <t>Utrecht University has a €60,000 Open Access fund, awarded on a first-come, first-served basis, with certain conditions attached (publications must be completely OA). Utrecht's Executive Board signed the Berlin Declaration 9 May 2005, and in 2009, the university "declared itself in favour of collecting the publications of scientists in Utrecht Utrecht and making them available, publicly if allowed by the publishers". The university library is responsible for the implementation of Open Access policies.</t>
  </si>
  <si>
    <t>disk0/00/00/02/46</t>
  </si>
  <si>
    <t>Vrije University Amsterdam</t>
  </si>
  <si>
    <t>The University has set itself the target of making 90% of all its publications Open Access by 2020. This will mostly be achieved by incentivising OA publications and providing advice to staff on how to deposit their articles.</t>
  </si>
  <si>
    <t>disk0/00/00/02/47</t>
  </si>
  <si>
    <t>Wageningen UR</t>
  </si>
  <si>
    <t>If publishers refuse to allow an author to deposit the publication version of their article in the IR, they will place a final author version of their publication in the IR following the publisher’s guidelines on self-archiving. There is no Liege-style link to evaluation, but the OA policy page does note that "an accessible publication database, also known as an Institutional Repository in which researchers are correctly affiliated with Wageningen UR, can have a positive effect on Wageningen UR's score in citation and impact analyses." Wageningen has requested the deposit of PhD theses since 2002.</t>
  </si>
  <si>
    <t>disk0/00/00/05/96</t>
  </si>
  <si>
    <t>Lincoln University</t>
  </si>
  <si>
    <t>Deposit in repositories and other university websites. Encourages creative commons licensing for all material incl. webpages, publications, public records, software and databases.OA can be waived if material is protected by other Lincoln policies.</t>
  </si>
  <si>
    <t>WAIT with showing in ROARMAP; still needs to pass Academic Board</t>
  </si>
  <si>
    <t>disk0/00/00/05/97</t>
  </si>
  <si>
    <t>University of Auckland</t>
  </si>
  <si>
    <t>Thesis policy; section "t Copies for Deposit" indicates deposit requirement</t>
  </si>
  <si>
    <t>disk0/00/00/05/98</t>
  </si>
  <si>
    <t>University of Canterbury</t>
  </si>
  <si>
    <t>disk0/00/00/05/99</t>
  </si>
  <si>
    <t>University of Otago</t>
  </si>
  <si>
    <t>Types of material for deposit based on research evaluation criteria here: http://www.tec.govt.nz/Documents/Publications/PBRF-Quality-Evaluation-Guidelines-2012.pdf.  Published version preferred, then post-print.</t>
  </si>
  <si>
    <t>disk0/00/00/06/00</t>
  </si>
  <si>
    <t>University of Waikato</t>
  </si>
  <si>
    <t>Applicable in 2014.Includes peer-reviewed manuscripts: articles and conference proceedings. Only the Vice-Chancellor can waive deposit or under certain circumstances at the Lirbary, e.g. when embargos do not allow it. "Should be submitted" stated in policy but on introductory website "enouraged to deposit".</t>
  </si>
  <si>
    <t>disk0/00/00/06/01</t>
  </si>
  <si>
    <t>Victoria University of Wellington</t>
  </si>
  <si>
    <t>Thesis policy, see "4.12.1 Deposit of Theses" which is a library statute; "Theses which have been accepted for the award of a PhD degree or a Master's degree 
must be deposited in the Library" - does not specify the IR</t>
  </si>
  <si>
    <t>Verified by Michael Parry
Digital Initiatives Co-ordinator
Email: Michael.Parry@vuw.ac.nz
11/11/14</t>
  </si>
  <si>
    <t>disk0/00/00/00/06</t>
  </si>
  <si>
    <t>Covenant University</t>
  </si>
  <si>
    <t>Although ROARMAP, eprints &lt;http://www.eprints.org/openaccess/policysignup/fullinfo.php?inst=Covenant%20University&gt;, and GOAP &lt;http://www.unesco.org/new/en/communication-and-information/portals-and-platforms/goap/access-by-region/africa/nigeria/&gt; document the policy no original policy was found on the university website.</t>
  </si>
  <si>
    <t>disk0/00/00/02/48</t>
  </si>
  <si>
    <t>Norwegian Knowledge Centre for Health Services</t>
  </si>
  <si>
    <t>Research Organization- a health organization</t>
  </si>
  <si>
    <t>disk0/00/00/02/49</t>
  </si>
  <si>
    <t>Norwegian Ministry of Education &amp; Research</t>
  </si>
  <si>
    <t>Original Policy in Norwegian</t>
  </si>
  <si>
    <t>disk0/00/00/02/50</t>
  </si>
  <si>
    <t>Norwegian Research Council</t>
  </si>
  <si>
    <t>Resources: 1. http://www.forskningsradet.no/en/Home_page/1177315753906</t>
  </si>
  <si>
    <t>disk0/00/00/02/51</t>
  </si>
  <si>
    <t>Oslo and Akershus University College of Applied Sciences</t>
  </si>
  <si>
    <t>CRIStin</t>
  </si>
  <si>
    <t>disk0/00/00/07/31</t>
  </si>
  <si>
    <t>University of Agder</t>
  </si>
  <si>
    <t>Policy established in 2008 by the research council at the University of Agder. The policy briefly states:
"Researchers at the University of Agder should, if possible, publish their works through quality controlled scientific publishing channels that accept parallel publishing. These works are to be archived in the University's open archive "
Researchers are also encouraged to publish in Open Access journals, APC are payed by the university when certain criteria are met</t>
  </si>
  <si>
    <t>disk0/00/00/02/53</t>
  </si>
  <si>
    <t>University of Bergen</t>
  </si>
  <si>
    <t>Resources: 1. http://openaccess.eprints.org/index.php?/archives/71-guid.html     
2. http://roarmap.eprints.org/139/</t>
  </si>
  <si>
    <t>Verified by Irene Eikefjord
Email: Irene.Eikefjord@ub.uib.no
03/11/14</t>
  </si>
  <si>
    <t>disk0/00/00/02/54</t>
  </si>
  <si>
    <t>University of Oslo</t>
  </si>
  <si>
    <t>Author post-prints and theses accepted in repository. OA policy approved by University Board.</t>
  </si>
  <si>
    <t>Note: two repositories are viable options for deposit. OA policy approved by University Board.</t>
  </si>
  <si>
    <t>https://www.duo.uio.no/; http://www.cristin.no/as/WebObjects/cristin.woa/5?la=en</t>
  </si>
  <si>
    <t>disk0/00/00/02/55</t>
  </si>
  <si>
    <t>University of Stavanger</t>
  </si>
  <si>
    <t>disk0/00/00/02/52</t>
  </si>
  <si>
    <t>University of Tromso (The Arctic University of Norway)</t>
  </si>
  <si>
    <t>Verified by Longva Leif 
Email: leif.longva@uit.no
12/11/14</t>
  </si>
  <si>
    <t>disk0/00/00/07/10</t>
  </si>
  <si>
    <t>Pakistan Society for Gene and Cell Therapy</t>
  </si>
  <si>
    <t>disk0/00/00/06/27</t>
  </si>
  <si>
    <t>Congress of the Republic of Peru</t>
  </si>
  <si>
    <t>Policy needs translation; state funding will specify deposit as part of the award in their contracts;</t>
  </si>
  <si>
    <t>disk0/00/00/06/28</t>
  </si>
  <si>
    <t>Ministerio del Ambiente</t>
  </si>
  <si>
    <t>disk0/00/00/06/29</t>
  </si>
  <si>
    <t>Pontificia Universidad Catolica del Peru</t>
  </si>
  <si>
    <t>No policy found; ROARMAP indicates a thesis mandate, but none found</t>
  </si>
  <si>
    <t>disk0/00/00/06/30</t>
  </si>
  <si>
    <t>Universidad Nactional Mayor de San Marcos</t>
  </si>
  <si>
    <t>disk0/00/00/07/34</t>
  </si>
  <si>
    <t>Universidad Peruana de Ciencias Aplicadas</t>
  </si>
  <si>
    <t>disk0/00/00/06/75</t>
  </si>
  <si>
    <t>Universidad de Piura</t>
  </si>
  <si>
    <t>disk0/00/00/02/56</t>
  </si>
  <si>
    <t>Adam Mickiewicz University</t>
  </si>
  <si>
    <t>disk0/00/00/02/57</t>
  </si>
  <si>
    <t>Polish Academy of Science Institute of Biochemistry and Biophysics</t>
  </si>
  <si>
    <t>must not deposit the publisher's proprietary pdf</t>
  </si>
  <si>
    <t>disk0/00/00/02/58</t>
  </si>
  <si>
    <t>Centro Hospitalar de Lisboa Central</t>
  </si>
  <si>
    <t>CB: I opted by required deposit and deposit cannot be waived, however the policy is not clear. It's mandatory to send the scientific publications to the libraries, and then the libraries proceed with the deposit into institutional repository. It's a mediated deposit. Date of deposit: I opted by 'other', because the policy allows both options: no later than the publication date and at the time of acceptance</t>
  </si>
  <si>
    <t>Policy in Portugese. File too large to translate via Google Translate.              CB: revised</t>
  </si>
  <si>
    <t>disk0/00/00/02/59</t>
  </si>
  <si>
    <t>Escola Superior de Educação de Paula Frassinetti</t>
  </si>
  <si>
    <t>disk0/00/00/02/60</t>
  </si>
  <si>
    <t>Fundação para a Ciência e a Tecnologia</t>
  </si>
  <si>
    <t>CB: in the field 'Journal article version to be deposited' I choosed the option 'other' because the policy allows both versions: the author's final peer-reviewed version and the published edition.This situation occurred me in other policies</t>
  </si>
  <si>
    <t>Publications OA policy (http://www.fct.pt/documentos/PoliticaAcessoAberto_Publicacoes.pdf) Research Data OA policy (http://www.fct.pt/documentos/PoliticaAcessoAberto_Dados.pdf) Policy:https://www.fct.pt/dsi/eciencia/index.phtml.en</t>
  </si>
  <si>
    <t>disk0/00/00/02/62</t>
  </si>
  <si>
    <t>Hospitais Universitários de Coimbra</t>
  </si>
  <si>
    <t>CB: I opted by required deposit and deposit cannot be waived, however the policy is not clear. It's mandatory to send the scientific publications to the libraries, and then the libraries proceed with the deposit into institutional repository. It's a mediated deposit.</t>
  </si>
  <si>
    <t>Policy in Portugese. File too large to translate via Google Translate. Needs to be read in Portuguese as no English version is available. CB: revised</t>
  </si>
  <si>
    <t>disk0/00/00/02/61</t>
  </si>
  <si>
    <t>Hospital Fernando Fonseca</t>
  </si>
  <si>
    <t>A. Accepts Peer reviewed articles, techinical reports as well as "any other documents resulting from performance activities." B. Metadata is deposited C. "Undertakes to make available the full text of all publiations with OA RHFF registration and compliance to DRIVER (Digital Repository Infrastructure Vision for European Research with criteria of Accessiblitiy Level A."</t>
  </si>
  <si>
    <t>disk0/00/00/02/63</t>
  </si>
  <si>
    <t>ISCTE-IUL - Lisbon University Institute</t>
  </si>
  <si>
    <t>disk0/00/00/02/78</t>
  </si>
  <si>
    <t>ISPA - Instituto Universitário de Ciências Psicológicas, Sociais e da Vida</t>
  </si>
  <si>
    <t>ISPA - Instituto Universitário  de Ciências Psicológicas, Sociais e da Vida</t>
  </si>
  <si>
    <t>disk0/00/00/02/65</t>
  </si>
  <si>
    <t>Instituto Politecnico de Castelo Branco</t>
  </si>
  <si>
    <t>Policy in Portugese. File too large to translate via Google Translate. CB revised!</t>
  </si>
  <si>
    <t>disk0/00/00/02/66</t>
  </si>
  <si>
    <t>Instituto Politecnico de Viseu</t>
  </si>
  <si>
    <t>Policy in Portugese. File will not open via Google Translate. CB: revised!</t>
  </si>
  <si>
    <t>disk0/00/00/02/64</t>
  </si>
  <si>
    <t>Instituto Politécnico de Bragança</t>
  </si>
  <si>
    <t>Policy in Portugese: http://roarmap.eprints.org/292/2/POLITICA%20DE%20AUTO-ARQUIVO%20IPB.PDF; repository site linked through Institutional site and ROARmap, but repository website is not reliable. Content type also includes: working papers, technical reports, patents, and more.
CB: Why do you consider this policy as a requested or recommended policy? And why do you consider that the deposit can be waived when the policy refers: "The IPB follows a mandatory policy in the deposit of all publications written by the Teachers/Researchers"</t>
  </si>
  <si>
    <t>Verified by Clarisse Pais
Email: clarisse@ipb.pt
04/11/14</t>
  </si>
  <si>
    <t>disk0/00/00/02/67</t>
  </si>
  <si>
    <t>New University of Lisbon, Faculty of Sciences &amp; Technology</t>
  </si>
  <si>
    <t>Not a mandate but instead a loose "policy."</t>
  </si>
  <si>
    <t>disk0/00/00/02/68</t>
  </si>
  <si>
    <t>Polytechnic Instutute of Leiria</t>
  </si>
  <si>
    <t>CB revised!</t>
  </si>
  <si>
    <t>disk0/00/00/02/69</t>
  </si>
  <si>
    <t>Universidade Aberta</t>
  </si>
  <si>
    <t>Repsository link not always reliable.</t>
  </si>
  <si>
    <t>disk0/00/00/02/70</t>
  </si>
  <si>
    <t>Universidade Autónoma de Lisboa</t>
  </si>
  <si>
    <t>A. Journal article version to be submitted: "following publication or acceptance for publication." B. PhD/Masters candidates: works are part of "completio of graduate work."</t>
  </si>
  <si>
    <t>disk0/00/00/02/77</t>
  </si>
  <si>
    <t>Universidade Fernando Pessoa</t>
  </si>
  <si>
    <t>Note:     Page 2   d) Must have recourse to the use, wherever possible, the "   SPARC addendum Author   References: http://homepage.ufp.pt/biblioteca/politicadepositoobrigatorio.pdf
 and http://roarmap.eprints.org/667/</t>
  </si>
  <si>
    <t>disk0/00/00/02/71</t>
  </si>
  <si>
    <t>Universidade de Lisboa (University of Lisbon)</t>
  </si>
  <si>
    <t>disk0/00/00/02/72</t>
  </si>
  <si>
    <t>Universidade de Trás-os-Montes e Alto Douro (UTAD)</t>
  </si>
  <si>
    <t>Will not translate clearlly through Google Translate. Policy written in Portuguese.</t>
  </si>
  <si>
    <t>disk0/00/00/02/73</t>
  </si>
  <si>
    <t>Universidade do Algarve</t>
  </si>
  <si>
    <t>Policy in Portugese. File too large to translate via Google Translate.</t>
  </si>
  <si>
    <t>disk0/00/00/02/74</t>
  </si>
  <si>
    <t>Universidade do Minho</t>
  </si>
  <si>
    <t>Verified by Ricardo Saraiva
Email: rsaraiva@sdum.uminho.pt
20/11/14
Permitted embargo lengths specified as 6, 12, 24 months and also 3 years.</t>
  </si>
  <si>
    <t>disk0/00/00/02/75</t>
  </si>
  <si>
    <t>University of Coimbra</t>
  </si>
  <si>
    <t>Policy in Portugese. Needs translation.</t>
  </si>
  <si>
    <t>disk0/00/00/02/76</t>
  </si>
  <si>
    <t>University of Porto</t>
  </si>
  <si>
    <t>two valid repository links;  Format types accepted include: dissertations, theses   PhD, technical reports and other article</t>
  </si>
  <si>
    <t>http://repositorio-aberto.up.pt/  http://repositorio.up.pt/</t>
  </si>
  <si>
    <t>disk0/00/00/02/79</t>
  </si>
  <si>
    <t>Belgorod State University</t>
  </si>
  <si>
    <t>Reference: http://roarmap.eprints.org/877/</t>
  </si>
  <si>
    <t>Policy in  Russian. PDF too large to translate through Google Translate other services into English; needs to be read in Russian. - Iryna Kuchma filled in the entry based on the Russian policy document text</t>
  </si>
  <si>
    <t>EIFL</t>
  </si>
  <si>
    <t>http://dspace.bsu.edu.ru/.  Mandate avaialble here.</t>
  </si>
  <si>
    <t>disk0/00/00/02/80</t>
  </si>
  <si>
    <t>Russian Academy of Sciences, Central Economics &amp; Mathematics Institute</t>
  </si>
  <si>
    <t>References: 1. http://www.eprints.org/openaccess/policysignup/fullinfo.php?inst=Central%20Economics%20and%20Mathematics%20Institute%20of%20Russian%20Academy%20ofSciences%0A</t>
  </si>
  <si>
    <t>No policy found specific to Central Economics  &amp; Mathematics Institute. All information found relevant to all Russian Academy of Sciences Affiliates.</t>
  </si>
  <si>
    <t>disk0/00/00/02/81</t>
  </si>
  <si>
    <t>Russian Academy of Sciences, Kaldysh Institute of Applied Mathematics</t>
  </si>
  <si>
    <t>References: 1. http://www.eprints.org/openaccess/policysignup/fullinfo.php?inst=Keldysh%20Institute%20of%20Applied%20Mathematics%2C%20Russian%20Academy%20of%20Sciences</t>
  </si>
  <si>
    <t>No policy found specific to Kaldysh Institute. All information found relevant to all Russian Academy of Sciences Affiliates.</t>
  </si>
  <si>
    <t>disk0/00/00/02/82</t>
  </si>
  <si>
    <t>Russian Academy of Sciences, Vologda Scientific-Coordination Center, Central Economics &amp; Mathematics Institute</t>
  </si>
  <si>
    <t>References: 1. http://www.eprints.org/openaccess/policysignup/fullinfo.php?inst=Vologda+Scientific+Coordination+Center%2C+Central+Economics+and+Mathematics+Institute+of+Russian+Academy+of+Sciences 2. http://roarmap.eprints.org/128/</t>
  </si>
  <si>
    <t>No policy found specific to Vologda Scientific Coordination Center. All information found relevant to all Russian Academy of Sciences Affiliates.</t>
  </si>
  <si>
    <t>disk0/00/00/00/43</t>
  </si>
  <si>
    <t>King Abdullah University of Science and Technology (KAUST)</t>
  </si>
  <si>
    <t>Verified by Daryl Grenz
Digital Repository Coordinator
Email: repository@KAUST.EDU.SA
12/11/14</t>
  </si>
  <si>
    <t>disk0/00/00/00/44</t>
  </si>
  <si>
    <t>Agency for Science, Technology &amp; Research (A*STAR)</t>
  </si>
  <si>
    <t>Repository link provided in ROARMAP is dead.</t>
  </si>
  <si>
    <t>disk0/00/00/00/45</t>
  </si>
  <si>
    <t>Nanyang Technological University</t>
  </si>
  <si>
    <t>disk0/00/00/00/46</t>
  </si>
  <si>
    <t>Singapore Management University</t>
  </si>
  <si>
    <t>disk0/00/00/02/84</t>
  </si>
  <si>
    <t>Slovak Centre of Scientific and Technical Information (SCSTI)</t>
  </si>
  <si>
    <t>http://crzp.sk/dokumenty/125-2011.pdf, http://crzp.sk/dokumenty/233-2011.pdf, http://crzp.sk/dokumenty/6-2011.pdf</t>
  </si>
  <si>
    <t>disk0/00/00/00/75</t>
  </si>
  <si>
    <t>Research Center for Forest Ecology &amp; Environment</t>
  </si>
  <si>
    <t>disk0/00/00/02/85</t>
  </si>
  <si>
    <t>University of Ljubljana</t>
  </si>
  <si>
    <t>Verified by Mojca Kotar
Email: Kotar, Mojca &lt;Mojca.Kotar@uni-lj.si&gt;
21/11/14</t>
  </si>
  <si>
    <t>disk0/00/00/02/86</t>
  </si>
  <si>
    <t>University of Ljubljana Faculty of Civil and Geodetic Engineering</t>
  </si>
  <si>
    <t>No information found on policy in Eifl, eprints, through university search, or RoarMap. There may be a OA policy for the university but it is buried. [May need translation from Slovenian]</t>
  </si>
  <si>
    <t>No OA policy found, but article posted on cite: Koler-Povh, T., Turk, G., Južnič, P. 2013. Does the Open Access Business Model Have   a Significant Impact on the Citation of Publications?</t>
  </si>
  <si>
    <t>disk0/00/00/02/87</t>
  </si>
  <si>
    <t>University of Ljubljana Faculty of Education</t>
  </si>
  <si>
    <t>No information found on policy in Eifl, eprints, through university search, or RoarMap. There may be a OA policy for the university but it is buried.</t>
  </si>
  <si>
    <t>disk0/00/00/06/87</t>
  </si>
  <si>
    <t>National Research Foundation of South Africa</t>
  </si>
  <si>
    <t>Statement on Open Access to Research Publications from the National Research Foundation (NRF)-Funded Research
Background
The National Research Foundation (NRF) was established through the National Research Foundation Act (Act No.23 of 1998). As an independent statutory agency, the organisation promotes and supports research in South Africa largely through the country’s Higher Education Institutions (HEIs), National Research Facilities and Science Councils with a view to generating knowledge and promoting high-level research capacity within the National System of Innovation (NSI).
Supporting scientific research through public funding is important for growing the knowledge economy, promoting innovation and stimulating appropriate development. The publication of NRF-funded research outputs contributes to the knowledgebase of the country. Open access to this knowledge base facilitates:
- Dissemination of knowledge;
- Utilisation/uptake/application of this knowledge
- Accelerated transformation and globalisation of science; and
- Rapid transformation of this knowledge into innovative and developmental applications for the benefit of society.
Statement
The NRF recognises the importance of Open Access to science and research while at the same time appreciating that Open Access will continue to evolve in response to societal needs, achieving overarching policy harmonisation and new innovative publishing business models.
From 01 March 2015, authors of research papers generated from research either fully or partially funded by NRF, when submitting and publishing in academic journals, should deposit their final peer-reviewed manuscripts that have been accepted by the journals, to the administering Institution Repository with an embargo period of no more than 12 months. Earlier Open Access may be provided should this be allowed by the publisher. If the paper is published in an Open Access journal or the publisher allows the deposit of the published version in PDF format, such version should be deposited into the administering Institutional Repository and Open Access should be provided as soon as possible.
In addition, the data supporting the publication should be deposited in an accredited Open Access repository, with the provision of a Digital Object Identifier for future citation and referencing.
The NRF encourages its stakeholder community, including NRF’s Business Units and National Research Facilities, to:
- Formulate detailed policies on Open Access of publications and data from its funded research;
- Establish Open Access repositories; and
- Support public access to the repositories through web search and retrieval according to international standards and best practice.
The NRF requires its relevant Business Units and National Research Facilities to actively collaborate with relevant governmental departments and public higher education and research institutions to facilitate Open Access to publications generated from publicly funded research. The NRF requires its stakeholder community to actively seek collaboration with the international scientific community to facilitate the Open Access of publications generated from publicly funded research across the world.</t>
  </si>
  <si>
    <t>disk0/00/00/00/11</t>
  </si>
  <si>
    <t>Stellenbosch University</t>
  </si>
  <si>
    <t>SU provides access to its policies and procedures at &lt;http://www.sun.ac.za/english/teaching-learning&gt; but there was no reference to an Open Access policy or mandate.</t>
  </si>
  <si>
    <t>ROARMAP notes that the university signed the Berlin Declaration on October 20, 2010.</t>
  </si>
  <si>
    <t>disk0/00/00/00/07</t>
  </si>
  <si>
    <t>TWAS &amp; OWSD</t>
  </si>
  <si>
    <t>Link to repository in ROARMAP is dead.  New link provided. No policy is available. Information gleaned from ROARMAP. No other sources could be identified.</t>
  </si>
  <si>
    <t>disk0/00/00/06/60</t>
  </si>
  <si>
    <t>University of Cape Town</t>
  </si>
  <si>
    <t>disk0/00/00/00/08</t>
  </si>
  <si>
    <t>University of Johannesburg</t>
  </si>
  <si>
    <t>disk0/00/00/00/09</t>
  </si>
  <si>
    <t>University of Pretoria</t>
  </si>
  <si>
    <t>Complete text of the policy available ot university affiliates only through the intranet. From the policy: "In 2004 policy was adopted for the mandatory submission of all research theses (doctoral degrees) and dissertations (masters degrees). The complete text of the policy is available on the UP intranet at http://www.up.ac.za/intranet/registrar/2009-09-22e_ThesesDissertations.pdf."</t>
  </si>
  <si>
    <t>disk0/00/00/00/10</t>
  </si>
  <si>
    <t>University of South Africa (UNISA)</t>
  </si>
  <si>
    <t>The Unisa Library provides several guides and tutorials on using UnisaIR. &lt;http://uir.unisa.ac.za/handle/10500/3373&gt;  Only found a draft of The Intellectual Property Policy of the University of South Africa (quoted on the ROARMAP entry). Unable to locate the final version.</t>
  </si>
  <si>
    <t>disk0/00/00/06/58</t>
  </si>
  <si>
    <t>Bindura University of Science Education</t>
  </si>
  <si>
    <t>disk0/00/00/06/59</t>
  </si>
  <si>
    <t>Midlands State University</t>
  </si>
  <si>
    <t>Draft Policy - "The Midlands State University resolved to establish an Open Access Policy, which compels all researchers and academics to grant the Midlands State University nonexclusive permission to make available their scholarly articles and to exercise the copyright in those articles for the purpose of open dissemination to other scholars."
"Researchers are encouraged to negotiate copyright terms with publishers when the publisher does not allow archiving, reuse and sharing."</t>
  </si>
  <si>
    <t>Draft policy supplied by Iryna 16/01/15</t>
  </si>
  <si>
    <t>disk0/00/00/02/88</t>
  </si>
  <si>
    <t>CEU Cardenal Herrera University</t>
  </si>
  <si>
    <t>Metadata not required but components of digitizaiton process. Deposit of thesis are necessary for graduation. CC-BY-NC-ND is Copyright used by policy. If author deposits more than one version (pre, post print, etc., ) various versions are archived.</t>
  </si>
  <si>
    <t>disk0/00/00/02/89</t>
  </si>
  <si>
    <t>Government of the Principality of Asturias</t>
  </si>
  <si>
    <t>References: 1. http://roarmap.eprints.org/111/ 2. http://www.accesoabierto.net/node/17</t>
  </si>
  <si>
    <t>Not a formal policy.</t>
  </si>
  <si>
    <t>disk0/00/00/02/90</t>
  </si>
  <si>
    <t>Madrid Autonomous Community of Spain</t>
  </si>
  <si>
    <t>http://e-spacio.uned.es/fez/; http://eprints.ucm.es/</t>
  </si>
  <si>
    <t>disk0/00/00/02/91</t>
  </si>
  <si>
    <t>Spanish General State Administration</t>
  </si>
  <si>
    <t>References: 1. http://roarmap.eprints.org/437/</t>
  </si>
  <si>
    <t>Mandate requiring OA in Spain. All links to full manadate and description of bill are broken.</t>
  </si>
  <si>
    <t>disk0/00/00/02/93</t>
  </si>
  <si>
    <t>Universidad Carlos III de Madrid</t>
  </si>
  <si>
    <t>Adheres to OpenAire FP7 OA guidelines</t>
  </si>
  <si>
    <t>Verified by Victoria Rasero 
Email: vrasero@db.uc3m.es
07/10/14</t>
  </si>
  <si>
    <t>disk0/00/00/06/73</t>
  </si>
  <si>
    <t>Universidad Complutense de Madrid</t>
  </si>
  <si>
    <t>disk0/00/00/02/98</t>
  </si>
  <si>
    <t>Universidad Politécnica de Cartagena</t>
  </si>
  <si>
    <t>Verified by Jose A. Vidal 
Email: jose.vidal@bib.upct.es
07/11/14</t>
  </si>
  <si>
    <t>disk0/00/00/02/99</t>
  </si>
  <si>
    <t>Universidad Politécnica de Madrid</t>
  </si>
  <si>
    <t>Link to policy in ROARMap is broken and no other valid link found.</t>
  </si>
  <si>
    <t>disk0/00/00/03/00</t>
  </si>
  <si>
    <t>Universidad Rey Juan Carlos</t>
  </si>
  <si>
    <t>References: 1. http://roarmap.eprints.org/88/</t>
  </si>
  <si>
    <t>disk0/00/00/02/92</t>
  </si>
  <si>
    <t>Universidad de Alcalá</t>
  </si>
  <si>
    <t>disk0/00/00/02/94</t>
  </si>
  <si>
    <t>Universidad de Cantabria</t>
  </si>
  <si>
    <t>disk0/00/00/02/95</t>
  </si>
  <si>
    <t>Universidad de Extremadura</t>
  </si>
  <si>
    <t>disk0/00/00/06/86</t>
  </si>
  <si>
    <t>Universidad de Huelva</t>
  </si>
  <si>
    <t>disk0/00/00/02/96</t>
  </si>
  <si>
    <t>Universidad de León</t>
  </si>
  <si>
    <t>disk0/00/00/03/02</t>
  </si>
  <si>
    <t>Universidad de Malaga</t>
  </si>
  <si>
    <t>disk0/00/00/03/01</t>
  </si>
  <si>
    <t>Universidad de Salamanca</t>
  </si>
  <si>
    <t>disk0/00/00/07/50</t>
  </si>
  <si>
    <t>Universidad de Sevilla</t>
  </si>
  <si>
    <t>disk0/00/00/03/10</t>
  </si>
  <si>
    <t>Universidad de Valladolid</t>
  </si>
  <si>
    <t>disk0/00/00/03/03</t>
  </si>
  <si>
    <t>Universitat Autònoma de Barcelona</t>
  </si>
  <si>
    <t>Verifed by Eulalia Serre Delcor 
Email: Eulalia.Serre@uab.cat
10/11/14</t>
  </si>
  <si>
    <t>disk0/00/00/03/04</t>
  </si>
  <si>
    <t>Universitat Oberta de Catalunya (Open University of Catalonia, UOC)</t>
  </si>
  <si>
    <t>disk0/00/00/03/06</t>
  </si>
  <si>
    <t>Universitat Politecnica de Catalunya</t>
  </si>
  <si>
    <t>Formats accepted: journal articles, conference proceedings, and technical papers. Either the post or pre prints are accepted (author final or publisher version).</t>
  </si>
  <si>
    <t>disk0/00/00/03/05</t>
  </si>
  <si>
    <t>Universitat Politecnica de Valencia</t>
  </si>
  <si>
    <t>Verified by Paco Martínez - 20/01/15
Email: framarg2@bib.upv.es</t>
  </si>
  <si>
    <t>disk0/00/00/03/08</t>
  </si>
  <si>
    <t>Universitat Pompeu Fabra</t>
  </si>
  <si>
    <t>disk0/00/00/03/07</t>
  </si>
  <si>
    <t>Universitat de Barcelona</t>
  </si>
  <si>
    <t>disk0/00/00/03/09</t>
  </si>
  <si>
    <t>Universitat de Girona</t>
  </si>
  <si>
    <t>disk0/00/00/02/97</t>
  </si>
  <si>
    <t>Universitat de Lleida</t>
  </si>
  <si>
    <t>disk0/00/00/03/11</t>
  </si>
  <si>
    <t>Universitat de Vic</t>
  </si>
  <si>
    <t>No website.  Does it exist?</t>
  </si>
  <si>
    <t>disk0/00/00/03/12</t>
  </si>
  <si>
    <t>Blekinge Institute of Technology</t>
  </si>
  <si>
    <t>Policy in Swedish only</t>
  </si>
  <si>
    <t>Verified by Peter Linde
E-mail: peter.linde@bth.se
03/10/2014</t>
  </si>
  <si>
    <t>disk0/00/00/03/13</t>
  </si>
  <si>
    <t>Chalmers University of Technology</t>
  </si>
  <si>
    <t>link to OA policy in Roarmap is broken</t>
  </si>
  <si>
    <t>disk0/00/00/03/14</t>
  </si>
  <si>
    <t>Karolinska Institutet</t>
  </si>
  <si>
    <t>disk0/00/00/03/15</t>
  </si>
  <si>
    <t>Lund University</t>
  </si>
  <si>
    <t>links to repositories in Roarmap are broken.</t>
  </si>
  <si>
    <t>disk0/00/00/03/16</t>
  </si>
  <si>
    <t>Malmö University</t>
  </si>
  <si>
    <t>Authors retain rights unless rights must be transferred.</t>
  </si>
  <si>
    <t>disk0/00/00/03/17</t>
  </si>
  <si>
    <t>Stockholm University</t>
  </si>
  <si>
    <t>link to OA policy in Roarmap is broken. Full OA Policy (Resolution) will not translate clearly in Google Translate or other service, so for more information the resolution needs to be read in Swedish. APC and funding is mentioned breifly but details are not provided.</t>
  </si>
  <si>
    <t>disk0/00/00/03/18</t>
  </si>
  <si>
    <t>Swedish National Library</t>
  </si>
  <si>
    <t>Note: Metadata is tracked. References: 1. http://www.kb.se/OpenAccess_english/OA-News/Open-Access-policy-for-the-National-Library-of-Sweden/</t>
  </si>
  <si>
    <t>links in RoarMap are broken</t>
  </si>
  <si>
    <t>disk0/00/00/03/19</t>
  </si>
  <si>
    <t>Swedish Research Council Formas</t>
  </si>
  <si>
    <t>References: 1. http://www.kb.se/OpenAccess_english/Open-Access-in-Sweden/OA-Policies--Mandates/</t>
  </si>
  <si>
    <t>Note: OA policy is on page 13. Policy covers more than just OA.</t>
  </si>
  <si>
    <t>disk0/00/00/03/20</t>
  </si>
  <si>
    <t>Swedish Research Council Vetenkapradet</t>
  </si>
  <si>
    <t>disk0/00/00/03/21</t>
  </si>
  <si>
    <t>Umeå University</t>
  </si>
  <si>
    <t>References: 1. http://www.ub.umu.se/en/about/news/open-access-policy-umea-university</t>
  </si>
  <si>
    <t>disk0/00/00/03/22</t>
  </si>
  <si>
    <t>Univesity College of Boras</t>
  </si>
  <si>
    <t>References: 1. http://www.eprints.org/openaccess/policysignup/fullinfo.php?inst=University%20College%20of%20Boras  2. http://www.hb.se/en/Library/Research-support/Publish/Rectors-resolution-on-publishing/</t>
  </si>
  <si>
    <t>disk0/00/00/06/33</t>
  </si>
  <si>
    <t>CERN - European Centre for Nuclear Research</t>
  </si>
  <si>
    <t>Annex 1 of policy notes deposit to IR; policy applies to "CERN scientific documents";</t>
  </si>
  <si>
    <t>disk0/00/00/03/23</t>
  </si>
  <si>
    <t>ETH Zurich</t>
  </si>
  <si>
    <t>Verified by Barbara Hirschmann   
Email: barbara.hirschmann@library.ethz.ch
03/11/14</t>
  </si>
  <si>
    <t>disk0/00/00/03/24</t>
  </si>
  <si>
    <t>Swiss National Science Foundation</t>
  </si>
  <si>
    <t>References: 1. http://www.snf.ch/en/theSNSF/research-policies/open-access/Pages/default.aspx</t>
  </si>
  <si>
    <t>FAQs provide further details but found no webpage specifically for OA APC fund: http://www.snf.ch/en/funding/faq/Pages/default.aspx</t>
  </si>
  <si>
    <t>disk0/00/00/03/25</t>
  </si>
  <si>
    <t>University of Basel</t>
  </si>
  <si>
    <t>Verified by Nicolas Sartori
Email: openaccess@unibas.ch
04/11/14</t>
  </si>
  <si>
    <t>disk0/00/00/03/26</t>
  </si>
  <si>
    <t>University of Bern</t>
  </si>
  <si>
    <t>Supports Berlin Declarlation of OA but does not provide extensive details for university OA policy</t>
  </si>
  <si>
    <t>http://roarmap.eprints.org/836/1/oa-policy-von_unileitung_genehmigt_am_2012-10-16.pdf; http://roarmap.eprints.org/836/2/open-access-policy-of-the-university-of-bern.pdf</t>
  </si>
  <si>
    <t>disk0/00/00/03/27</t>
  </si>
  <si>
    <t>University of Geneva</t>
  </si>
  <si>
    <t>Links to OA policy in Roarmap are broken.</t>
  </si>
  <si>
    <t>disk0/00/00/03/28</t>
  </si>
  <si>
    <t>University of St Gallen</t>
  </si>
  <si>
    <t>Note: author's postprint or the publisher's PDF accepted</t>
  </si>
  <si>
    <t>disk0/00/00/03/29</t>
  </si>
  <si>
    <t>University of Zurich</t>
  </si>
  <si>
    <t>Follows the Swiss National Science Foundation OA Policy, last updated 5/2014</t>
  </si>
  <si>
    <t>Verified by André Hoffmann
Email: oai@hbz.uzh.ch
24/11/14</t>
  </si>
  <si>
    <t>disk0/00/00/00/64</t>
  </si>
  <si>
    <t>Abant Izzet Baysal University</t>
  </si>
  <si>
    <t>Not approved yet</t>
  </si>
  <si>
    <t>Hacettepe</t>
  </si>
  <si>
    <t>-</t>
  </si>
  <si>
    <t>disk0/00/00/00/63</t>
  </si>
  <si>
    <t>Bingöl Üniversitesi</t>
  </si>
  <si>
    <t>Deposit: no later than 30 days after accepted for publication</t>
  </si>
  <si>
    <t>Verified by Yasar Tonta
Email: yasartonta@gmail.com
01/12/14</t>
  </si>
  <si>
    <t>disk0/00/00/00/73</t>
  </si>
  <si>
    <t>Celal Bayar University</t>
  </si>
  <si>
    <t>disk0/00/00/00/51</t>
  </si>
  <si>
    <t>Doğuş Üniversitesi</t>
  </si>
  <si>
    <t>Policy needs translation.</t>
  </si>
  <si>
    <t>Verified by Sonmez CELIK
Email: scelik@dogus.edu.tr
13/11/14
Also Yasar Tonta 
yasartonta@gmail.com
01/12/14</t>
  </si>
  <si>
    <t>disk0/00/00/00/62</t>
  </si>
  <si>
    <t>Duzce University</t>
  </si>
  <si>
    <t>disk0/00/00/00/59</t>
  </si>
  <si>
    <t>Ege University</t>
  </si>
  <si>
    <t>disk0/00/00/00/72</t>
  </si>
  <si>
    <t>Gaziantep University</t>
  </si>
  <si>
    <t>disk0/00/00/00/66</t>
  </si>
  <si>
    <t>Gaziosmanpasa University</t>
  </si>
  <si>
    <t>disk0/00/00/00/48</t>
  </si>
  <si>
    <t>Hacettepe University Department of Information Management</t>
  </si>
  <si>
    <t>RESOURCES: [1] See "About the Archive" &lt;http://bbyeprints.hacettepe.edu.tr/information.html&gt;; policy needs translation</t>
  </si>
  <si>
    <t>Hacettepe University has an IR but it is only accessible to university affiliates. Alternatively, perhaps as a student/course project Hacettepe University Department of Information Management produced a repository of departmental works (dissertations, reports, papers and journal articles) that are available to all.</t>
  </si>
  <si>
    <t>EOS-Hacettepe</t>
  </si>
  <si>
    <t>disk0/00/00/00/60</t>
  </si>
  <si>
    <t>Hitit University</t>
  </si>
  <si>
    <t>disk0/00/00/00/67</t>
  </si>
  <si>
    <t>Igdir University</t>
  </si>
  <si>
    <t>disk0/00/00/00/71</t>
  </si>
  <si>
    <t>Istanbul Bilim University</t>
  </si>
  <si>
    <t>disk0/00/00/07/71</t>
  </si>
  <si>
    <t>Istanbul Sehir University Library</t>
  </si>
  <si>
    <t>disk0/00/00/00/49</t>
  </si>
  <si>
    <t>Izmir Institute of Technology</t>
  </si>
  <si>
    <t>disk0/00/00/00/54</t>
  </si>
  <si>
    <t>Izmir Katip Celebi University</t>
  </si>
  <si>
    <t>disk0/00/00/00/68</t>
  </si>
  <si>
    <t>KTO Karatay University</t>
  </si>
  <si>
    <t>disk0/00/00/00/50</t>
  </si>
  <si>
    <t>Middle East Technical University</t>
  </si>
  <si>
    <t>Could not find the policy.  Every department/school has a LibGuide on the library website that provides general information on open access, the benefits of open access, and on some, information on the SPARC Copyright Addendum.  Depositing ETDS is especially emphasized.</t>
  </si>
  <si>
    <t>disk0/00/00/00/61</t>
  </si>
  <si>
    <t>Piri Reis University</t>
  </si>
  <si>
    <t>disk0/00/00/00/65</t>
  </si>
  <si>
    <t>Sinop University</t>
  </si>
  <si>
    <t>Appoved but not published yet</t>
  </si>
  <si>
    <t>disk0/00/00/00/57</t>
  </si>
  <si>
    <t>Sirnak University</t>
  </si>
  <si>
    <t>Not approved yet ?</t>
  </si>
  <si>
    <t>disk0/00/00/00/53</t>
  </si>
  <si>
    <t>TED Ankara College IB Thesis</t>
  </si>
  <si>
    <t>disk0/00/00/00/56</t>
  </si>
  <si>
    <t>Trakya University</t>
  </si>
  <si>
    <t>disk0/00/00/00/52</t>
  </si>
  <si>
    <t>Türkiye Bilgi ve Belge Yönetimi Bölümleri Lisansüstü Tez Arşivi</t>
  </si>
  <si>
    <t>disk0/00/00/07/48</t>
  </si>
  <si>
    <t>Türkiye Büyük Millet Meclisi Kütüphanesi</t>
  </si>
  <si>
    <t>The Grand national Assembly of Turkey DSpace System; Corporate publications, research reports and dissertations, published Parliamentary Research Commission Report, legislation / inspection reports will be put into service.</t>
  </si>
  <si>
    <t>disk0/00/00/00/55</t>
  </si>
  <si>
    <t>Yalova University</t>
  </si>
  <si>
    <t>disk0/00/00/00/74</t>
  </si>
  <si>
    <t>Yasar University</t>
  </si>
  <si>
    <t>disk0/00/00/00/69</t>
  </si>
  <si>
    <t>Yıldırım Beyazıt Üniversitesi</t>
  </si>
  <si>
    <t>disk0/00/00/00/58</t>
  </si>
  <si>
    <t>Zirve University</t>
  </si>
  <si>
    <t>disk0/00/00/00/70</t>
  </si>
  <si>
    <t>Özyeğin Üniversitesi</t>
  </si>
  <si>
    <t>Policy is not accessible on web + revising</t>
  </si>
  <si>
    <t>Policy URL planned June 2015
Verified by Yasar Tonta 
Email: yasartonta@gmail.com
01/12/14</t>
  </si>
  <si>
    <t>disk0/00/00/06/43</t>
  </si>
  <si>
    <t>İstanbul Gelişim Üniversitesi</t>
  </si>
  <si>
    <t>disk0/00/00/03/30</t>
  </si>
  <si>
    <t>Donetsk National Technical University</t>
  </si>
  <si>
    <t>disk0/00/00/03/31</t>
  </si>
  <si>
    <t>Karazin Kharkiv National University Central Scientific Library</t>
  </si>
  <si>
    <t>disk0/00/00/03/32</t>
  </si>
  <si>
    <t>Kharkov National Medical University</t>
  </si>
  <si>
    <t>disk0/00/00/03/33</t>
  </si>
  <si>
    <t>National Aviation University</t>
  </si>
  <si>
    <t>http://er.nau.edu.ua/, http://dspace.nau.edu.ua/</t>
  </si>
  <si>
    <t>disk0/00/00/06/64</t>
  </si>
  <si>
    <t>National Technical University «Kharkiv Polytechnic Institute»</t>
  </si>
  <si>
    <t>The open access policy adopted by National Technical University «Kharkiv Polytechnic Institute» mandates that all published journal articles and conference papers be deposited in Digital repository of the National Technical University "Kharkiv Polytechnic Institute" (eNTUKhPIIR). if there are no legal objections by publishers.</t>
  </si>
  <si>
    <t>eNTUKhPIIR also encourages and fully supports self-archiving of other research output produced by scientists and students of the university as well as other members of the scientific community.</t>
  </si>
  <si>
    <t>disk0/00/00/03/34</t>
  </si>
  <si>
    <t>National University of Kyiv Mohyla Academy</t>
  </si>
  <si>
    <t>file:///C:/Users/Iryna/AppData/Local/Temp/uhvala_pro_dspace.jsp</t>
  </si>
  <si>
    <t>disk0/00/00/03/35</t>
  </si>
  <si>
    <t>Parliament of Ukraine (Verhovna Rada)</t>
  </si>
  <si>
    <t>Law of Ukraine On the principles of Developing Information Society in Ukraine in 2007-2015</t>
  </si>
  <si>
    <t>disk0/00/00/03/36</t>
  </si>
  <si>
    <t>Sumy State University</t>
  </si>
  <si>
    <t>Verified by Nataliya Nedbaeva
Administrator of the Sumy State University Repository 
Email: library331039@gmail.com
02/12/14</t>
  </si>
  <si>
    <t>disk0/00/00/03/39</t>
  </si>
  <si>
    <t>Ternopil State Ivan Puluj Technical University</t>
  </si>
  <si>
    <t>disk0/00/00/03/37</t>
  </si>
  <si>
    <t>Viinytsya National Agrarian University</t>
  </si>
  <si>
    <t>disk0/00/00/03/38</t>
  </si>
  <si>
    <t>Volodymyr Dahl East-Ukraine National University</t>
  </si>
  <si>
    <t>disk0/00/00/03/40</t>
  </si>
  <si>
    <t>Aberystwyth University</t>
  </si>
  <si>
    <t>Verified by Dr Amy Staniforth
Email: oarstaff@aber.ac.uk
04/11/14
*To be reviewed in December 2014*</t>
  </si>
  <si>
    <t>disk0/00/00/03/41</t>
  </si>
  <si>
    <t>Arthritis Research UK</t>
  </si>
  <si>
    <t>disk0/00/00/03/42</t>
  </si>
  <si>
    <t>Arts &amp; Humanities Research Council (AHRC)</t>
  </si>
  <si>
    <t>Gold OA preferred. RCUK provides block grants to universities to pay for this. Universities decide on how to allocate the money to authors. Where there is no money, longer embargo periods may apply (12 months in STEM and 24 months in HaSS). All seven Research Councils have implemented the same policy, with slight variation for MRC.</t>
  </si>
  <si>
    <t>disk0/00/00/03/43</t>
  </si>
  <si>
    <t>Aston University</t>
  </si>
  <si>
    <t>disk0/00/00/03/44</t>
  </si>
  <si>
    <t>Bangor University</t>
  </si>
  <si>
    <t>Management of APCs still in flux.</t>
  </si>
  <si>
    <t>Jisc</t>
  </si>
  <si>
    <t>disk0/00/00/07/30</t>
  </si>
  <si>
    <t>Bath Spa University</t>
  </si>
  <si>
    <t>disk0/00/00/03/45</t>
  </si>
  <si>
    <t>Biotechnology &amp; Biological Sciences Research Council (BBSRC)</t>
  </si>
  <si>
    <t>RCUK policy: http://www.rcuk.ac.uk/RCUK-prod/assets/documents/documents/RCUKOpenAccessPolicy.pdf  and BBSRC's specific guidance: http://www.bbsrc.ac.uk/nmsruntime/saveasdialog.aspx?lID=10951&amp;sID=8358</t>
  </si>
  <si>
    <t>disk0/00/00/03/47</t>
  </si>
  <si>
    <t>Birkbeck College School of Law, University of London</t>
  </si>
  <si>
    <t>School of Law OA trial, beginning in October 2010. Subsumed by College OA policy in September 2011.</t>
  </si>
  <si>
    <t>disk0/00/00/03/46</t>
  </si>
  <si>
    <t>Birkbeck College, University of London</t>
  </si>
  <si>
    <t>Advice to authors includes the following [making a clear mandate muddy]: "You can deposit a journal article as soon as it is accepted for publication.  However, this means that its inclusion on the live site may precede official announcement of its publication.  You should clear the timing of the deposit with your editor and/or publisher first." and "If you deposit a publication upon acceptance, making it live on BIROn immediately often pre-empts official announcements and could cause problems with your publisher.  For this reason, as a rule of thumb we do not push any BIROn item live (even if the  full-text is embargoed) until an official page is available. If you're confident that your publisher is happy for this to go ahead regardless, you can let us know by placing a note in the Comments and Suggestions field..."</t>
  </si>
  <si>
    <t>disk0/00/00/07/28</t>
  </si>
  <si>
    <t>Breast Cancer Campaign</t>
  </si>
  <si>
    <t>disk0/00/00/03/48</t>
  </si>
  <si>
    <t>British Heart Foundation</t>
  </si>
  <si>
    <t>Verified by Sanjay Thakrar
Email: thakrars@bhf.org.uk
24/11/14</t>
  </si>
  <si>
    <t>disk0/00/00/03/49</t>
  </si>
  <si>
    <t>Brunel University</t>
  </si>
  <si>
    <t>disk0/00/00/03/50</t>
  </si>
  <si>
    <t>Brunel University School of Information Systems &amp; Computing</t>
  </si>
  <si>
    <t>Cannot locate policy. It was implemented in December 2006, a forerunner of the institutional one effective from 2010. Assuming it was dropped once the institutional policy took effect.</t>
  </si>
  <si>
    <t>disk0/00/00/07/52</t>
  </si>
  <si>
    <t>Buckinghamshire New University</t>
  </si>
  <si>
    <t>disk0/00/00/03/51</t>
  </si>
  <si>
    <t>Cancer Research UK</t>
  </si>
  <si>
    <t>disk0/00/00/06/89</t>
  </si>
  <si>
    <t>Canterbury Christ Church University</t>
  </si>
  <si>
    <t>MPicarra</t>
  </si>
  <si>
    <t>disk0/00/00/07/44</t>
  </si>
  <si>
    <t>Cardiff University</t>
  </si>
  <si>
    <t>disk0/00/00/03/52</t>
  </si>
  <si>
    <t>Chief Scientist Office (Scottish Government Health Directorates) (CSO)</t>
  </si>
  <si>
    <t>Classification verified by Dr Julie Simpson 
Research Manager – Information and Capacity
Email: Julie.Simpson@scotland.gsi.gov.uk
11/12/14</t>
  </si>
  <si>
    <t>disk0/00/00/03/53</t>
  </si>
  <si>
    <t>City University London</t>
  </si>
  <si>
    <t>Policy links research assessment to bibliographic metadata in the CRIS ("Publication lists that are used for cases for promotion and progression 
will only be considered on the basis of the bibliographic data published on the Current Research Information System section of CRO") but not to OA itself.</t>
  </si>
  <si>
    <t>disk0/00/00/03/54</t>
  </si>
  <si>
    <t>Coventry University Department of Media &amp; Communication</t>
  </si>
  <si>
    <t>disk0/00/00/03/55</t>
  </si>
  <si>
    <t>Cranfield University</t>
  </si>
  <si>
    <t>disk0/00/00/03/57</t>
  </si>
  <si>
    <t>De Montfort University</t>
  </si>
  <si>
    <t>disk0/00/00/03/56</t>
  </si>
  <si>
    <t>Department of Health UK (DoH)</t>
  </si>
  <si>
    <t>Policy wording specifies detail on Gold OA requirements but none on Green OA. Green OA is only mentioned in the context of institutional mandates ("None of the above [stipulations on Gold OA requirements] should prevent NIHR funded authors from also depositing a copy in their own institutional or another subject-based repository should they choose to do so or be required to do so by their employing institution subject to any restrictions from the publishers"). Policy wording describes EuropePMC, but only as the locus for depositing published VoRs. As the most recent policy statement is worded, this is a Pure Gold mandate, therefore. However, the previous policy (2007) does stipulate deposit in UKPMC "at the earliest opportunity - and in any case within six months". Since the DoH states that it is aligned with other members of the EuropePMC Funders  Group, I (Alma Swan) am making the assumption that the spirit of the new policy statement matches the letter of the previous policy and have classified it accordingly (i.e. a Green mandate supporting a Gold preference).</t>
  </si>
  <si>
    <t>Current policy statement: http://www.nihr.ac.uk/research/Pages/Research_Open_Access_Policy_Statement.aspx and previsou policy wording: http://www.nihr.ac.uk/files/pdfs/OpenAccessPolicyStatement.pdf</t>
  </si>
  <si>
    <t>disk0/00/00/07/29</t>
  </si>
  <si>
    <t>Diabetes UK</t>
  </si>
  <si>
    <t>Please note that it is a condition of your Diabetes UK grant that a version of any paper which results from our funding is archived to the Europe PubMed Central repository within six months of publication. However, Diabetes UK recognises that some journals may not be compliant with this policy and we do not wish to prevent our funded researchers from publishing their research in the most appropriate journal. Therefore, in exceptional circumstances only and with the prior approval of Diabetes UK, Diabetes UK funded researchers may publish in a journal that would not allow the article to be deposited in Europe PubMed Central within six months.</t>
  </si>
  <si>
    <t>disk0/00/00/03/58</t>
  </si>
  <si>
    <t>Durham University</t>
  </si>
  <si>
    <t>Verified by Heather Ewington
Email: heather.ewington@durham.ac.uk
07/11/14</t>
  </si>
  <si>
    <t>disk0/00/00/03/59</t>
  </si>
  <si>
    <t>Economic &amp; Social Research Council (ESRC)</t>
  </si>
  <si>
    <t>http://www.rcuk.ac.uk/RCUK-prod/assets/documents/documents/RCUKOpenAccessPolicy.pdf and ESRC specific guidance: http://www.esrc.ac.uk/funding-and-guidance/grant-holders/open-access.aspx</t>
  </si>
  <si>
    <t>disk0/00/00/03/60</t>
  </si>
  <si>
    <t>Engineering &amp; Physical Sciences Research Council (EPSRC)</t>
  </si>
  <si>
    <t>RCUK policy: http://www.rcuk.ac.uk/RCUK-prod/assets/documents/documents/RCUKOpenAccessPolicy.pdf and EPSRC specific guidance: http://www.epsrc.ac.uk/about/infoaccess/Pages/roaccess.aspx</t>
  </si>
  <si>
    <t>disk0/00/00/03/61</t>
  </si>
  <si>
    <t>Falmouth University</t>
  </si>
  <si>
    <t>Falmouth University requires that all researchers should comply with this policy with regards to open access to research data from when they sign up as a participant. Research papers: Pre-print, post-print or final publication permitted.  Also includes visual and audio files.  As soon as publisher restrictions allow but support an embargo of up to 3 years.</t>
  </si>
  <si>
    <t>DO NOT show in ROARMAP. Will upload themselves.</t>
  </si>
  <si>
    <t>disk0/00/00/03/62</t>
  </si>
  <si>
    <t>Higher Education Funding Council of England (HEFCE)</t>
  </si>
  <si>
    <t>disk0/00/00/03/63</t>
  </si>
  <si>
    <t>Imperial College London</t>
  </si>
  <si>
    <t>disk0/00/00/03/64</t>
  </si>
  <si>
    <t>Policy is defunct as a result of Jisc reorganisation. Also, Jisc no longer funds research, so a new policy is not expected.</t>
  </si>
  <si>
    <t>disk0/00/00/06/90</t>
  </si>
  <si>
    <t>King's College London</t>
  </si>
  <si>
    <t>disk0/00/00/03/65</t>
  </si>
  <si>
    <t>Lancaster University</t>
  </si>
  <si>
    <t>Note that locus of deposit is not IR but CRIS. Mention of the univ providing a validation servcie for outputs deposited - no more info / links on this. Although it has a block RCUK fund, it talks of considering supplementing this for non-RCUK work (pg 2) - also a bit ambiguous.</t>
  </si>
  <si>
    <t>disk0/00/00/07/27</t>
  </si>
  <si>
    <t>Leukaemia &amp; Lymphoma Research</t>
  </si>
  <si>
    <t>disk0/00/00/03/66</t>
  </si>
  <si>
    <t>Loughborough University</t>
  </si>
  <si>
    <t>The publisher final version (PDF) of the paper should ONLY be submitted to LUPIN if it has been published as Gold Open Access (this usually involves an Article Processing Charge being paid to the publisher). If the PDF is not yet available or it has not been published as Gold Open Access, staff must submit the author-created final version within three months of acceptance. This is to enable all research
outputs to be REF eligible.</t>
  </si>
  <si>
    <t>disk0/00/00/06/92</t>
  </si>
  <si>
    <t>Manchester Metropolitan University</t>
  </si>
  <si>
    <t>disk0/00/00/03/67</t>
  </si>
  <si>
    <t>Marie Curie Cancer Care</t>
  </si>
  <si>
    <t>Deposit in Europe PMC as soon as possible and certainly within six months of publication. Researchers can comply with this policy through one of two routes. 2 publishing options mentioned: 1) Gold OA and deposit of the final article in the Europe PMC database. 2) Publish non-gold but where publisher permits a copy of the research article (version to be be discussed with publisher) to be deposited, and made publicly available, in Europe PMC. Re APCs, Marie Curie will not fund additional publishing costs. However, unspent Marie Curie grant funds may be vired to cover open access costs. Open access fees will be paid where Marie Curie has been acknowledged as the sole funder. If work has additionally been funded by one or more other funding bodies, Marie Curie will pay the relevant proportion of the costs.</t>
  </si>
  <si>
    <t>disk0/00/00/03/68</t>
  </si>
  <si>
    <t>Medical Research Council (MRC)</t>
  </si>
  <si>
    <t>disk0/00/00/03/69</t>
  </si>
  <si>
    <t>Middlesex University</t>
  </si>
  <si>
    <t>Mandate decided by Research and Research Degrees Committee. Where publishers do not permit IR deposit, a metadata record should be provided. Only the version authorised by the publisher is placed on the repository. Journal articles conference papers, chapters, monographs or books, datasets, artefacts, performances, patents, audio visual material, research degrees</t>
  </si>
  <si>
    <t>disk0/00/00/07/25</t>
  </si>
  <si>
    <t>Motor Neurone Disease Association</t>
  </si>
  <si>
    <t>disk0/00/00/03/70</t>
  </si>
  <si>
    <t>Multiple Sclerosis Society UK</t>
  </si>
  <si>
    <t>disk0/00/00/07/23</t>
  </si>
  <si>
    <t>Myrovlytis Trust</t>
  </si>
  <si>
    <t>disk0/00/00/03/71</t>
  </si>
  <si>
    <t>Napier University</t>
  </si>
  <si>
    <t>Policy links deposit to assessment but only in terms of requiring bibliographic data for this: "All research output is to be self-deposited, so that the repository forms the official record of the University’s research publications; all publication lists required for administration or promotion will be generated from this source" and "The comprehensive, online, University repository will be used in future 
to respond to bibliometric research assessments with reduced input and effort from staff."</t>
  </si>
  <si>
    <t>disk0/00/00/03/72</t>
  </si>
  <si>
    <t>Natural Environment Research Council NERC)</t>
  </si>
  <si>
    <t>Gold OA preferred. RCUK provides block grants to universities to pay for this. Universities decide on how to allocate the money to authors. Where there is no money, longer embargo periods may apply (12 months in STEM and 24 months in HaSS). All seven Research Councils have implemented the same policy, with slight variation for MRC. NORA is the repository for outputs from NERC's four wholly-owned research centres. Outputs from NERC-funded researchers elsewhere may be deposited in institutional repositories.</t>
  </si>
  <si>
    <t>disk0/00/00/03/73</t>
  </si>
  <si>
    <t>Northumbria University</t>
  </si>
  <si>
    <t>"This policy has been in place since May 2012. We are in the process of rewriting our policy toward OA, so I will be back in touch to amend the data as soon as this information can be shared." Ellen Cole &lt;ellen.s.cole@northumbria.ac.uk&gt; 26/01/15</t>
  </si>
  <si>
    <t>disk0/00/00/03/74</t>
  </si>
  <si>
    <t>Nottingham Trent University</t>
  </si>
  <si>
    <t>Bibliographic details of all other research outputs should be deposited in IR. Deposit  version that complies with publisher copyright policies, and the version that is as close as possible to the published version. There will be circumstances in which it is not possible to deposit, for example for commercial or confidentiality reasons, or copyright restrictions. Staff will not be expected to make publications available in contravention of UK copyright law. Here, deposit in IR with an embargo or details can appear without the full text until permission is given.</t>
  </si>
  <si>
    <t>disk0/00/00/03/76</t>
  </si>
  <si>
    <t>Queen Margaret University</t>
  </si>
  <si>
    <t>disk0/00/00/06/93</t>
  </si>
  <si>
    <t>Queen's University Belfast</t>
  </si>
  <si>
    <t>disk0/00/00/03/75</t>
  </si>
  <si>
    <t>Research Councils UK</t>
  </si>
  <si>
    <t>disk0/00/00/03/77</t>
  </si>
  <si>
    <t>Roehampton University</t>
  </si>
  <si>
    <t>Policy cannot be found. Links are dead. Left message with Library enquiring what's happening to policy. Frances Wiggins ext 3354</t>
  </si>
  <si>
    <t>disk0/00/00/03/78</t>
  </si>
  <si>
    <t>Royal Holloway, University of London</t>
  </si>
  <si>
    <t>FAQs: https://www.royalholloway.ac.uk/library/researchsupport/openaccess/openaccessfaqs.aspx</t>
  </si>
  <si>
    <t>disk0/00/00/03/79</t>
  </si>
  <si>
    <t>Science &amp; Technology Facilities Council (STFC)</t>
  </si>
  <si>
    <t>disk0/00/00/03/80</t>
  </si>
  <si>
    <t>St George's, University of London</t>
  </si>
  <si>
    <t>Gold OA funding (provided by funders to SGUL) can be claimed by using (staff access only) claim form.</t>
  </si>
  <si>
    <t>disk0/00/00/03/81</t>
  </si>
  <si>
    <t>Teesside University</t>
  </si>
  <si>
    <t>The policy is not an ID/OA mandate because it says "The deposit of any full-text version is subject to publisher restrictions". Metadata MUST be deposited. The policy also states "equires that, the publicly available output (full text) of peerreviewed journal articles and conference proceedings be made available on TeesRep as soon as publisher restrictions will allow". Retention of copyright is strongly encouraged.</t>
  </si>
  <si>
    <t>disk0/00/00/03/82</t>
  </si>
  <si>
    <t>The Dunhill Medical Trust</t>
  </si>
  <si>
    <t>DMT is a member of the consortium of UK biomedical funders that support EuropePMC. DMT adds a one-of sum to each grant to help pay for Gold OA: Grants up to 50K GBP - 1K GBP; up to 100K GBP - 2K GBP; over 100K GBP - 3K GBP</t>
  </si>
  <si>
    <t>Verified by Sarah Allport
Email: sarah@dunhillmedical.org.uk
18/11/14</t>
  </si>
  <si>
    <t>disk0/00/00/06/94</t>
  </si>
  <si>
    <t>University College London</t>
  </si>
  <si>
    <t>disk0/00/00/03/84</t>
  </si>
  <si>
    <t>University of Aberdeen</t>
  </si>
  <si>
    <t>APC funds available for RCUK or Wellcome projects. Waiving not specified but checked not applicable. Interpreted deposit as requested as " Ideally, … would like to have all of its research made available via open access where possible". Time of deposit "with the minimum of delay"</t>
  </si>
  <si>
    <t>disk0/00/00/03/85</t>
  </si>
  <si>
    <t>University of Abertay Dundee</t>
  </si>
  <si>
    <t>Deposit date is 'within three months of acceptance for publication'.</t>
  </si>
  <si>
    <t>disk0/00/00/03/86</t>
  </si>
  <si>
    <t>University of Bath</t>
  </si>
  <si>
    <t>Note: policy actually states deposit must be 'as close to the publication date as possible'.</t>
  </si>
  <si>
    <t>disk0/00/00/03/87</t>
  </si>
  <si>
    <t>University of Birmingham</t>
  </si>
  <si>
    <t>The University strongly encourages open access to as broad a range of publications as possible. There are mandatory requirements for several major funders, and we have the full compliance information for authors on our webpages. http://intranet.birmingham.ac.uk/openaccess/funders. There is a University policy requiring all research theses to be deposited in the repository.</t>
  </si>
  <si>
    <t>Verified by Suzanne Atkins 
Open Access and Research Publications Advisor
Email: S.Atkins.1@bham.ac.uk
14/11/14</t>
  </si>
  <si>
    <t>disk0/00/00/03/88</t>
  </si>
  <si>
    <t>University of Bradford</t>
  </si>
  <si>
    <t>This is not a mandate and does not specify whether authors are required, expected or encouraged to deposit their work. it does, however, address licensing as follows: "Where the University of Bradford, student or member of staff owns the copyright to the work placed in Bradford Scholars, the Attribution-Non-Commercial-NoDerivative Works 2.0 UK: England &amp; Wales Creative Commons end-user license will be applied."</t>
  </si>
  <si>
    <t>disk0/00/00/06/95</t>
  </si>
  <si>
    <t>University of Bristol</t>
  </si>
  <si>
    <t>disk0/00/00/03/89</t>
  </si>
  <si>
    <t>University of Cambridge</t>
  </si>
  <si>
    <t>Upload no later than 3 months after acceptance. Upload "peer-reviewed manuscript": version unclear.</t>
  </si>
  <si>
    <t>disk0/00/00/03/90</t>
  </si>
  <si>
    <t>University of Central Lancashire</t>
  </si>
  <si>
    <t>Encourages strongly deposit. MD must be deposited. Deposit waive is checked as not applicable although it is not specified. Deposit of drafts, submitted versions, post- and final pub possible. No priority given.</t>
  </si>
  <si>
    <t>disk0/00/00/03/91</t>
  </si>
  <si>
    <t>University of Dundee</t>
  </si>
  <si>
    <t>Policy requires a copy to be deposited "upon publication or as soon as possible thereafter, where copyright allows". Also, the policy states, but does not state whether this applies to Green OA or Gold OA outputs: "Utilise the Creative Commons CC-BY license covering reuse of the research publicationwherever possible".</t>
  </si>
  <si>
    <t>disk0/00/00/03/92</t>
  </si>
  <si>
    <t>University of East Anglia</t>
  </si>
  <si>
    <t>Where publishers do not allow final pub deposit, post-prints or pre-prints accepted. Must follow copyright and publisher copyright policies. An embrago of up to 5 years can be requested although a copy of the ft will be stored and md show for the period,</t>
  </si>
  <si>
    <t>DO NOT SHOW in ROARMAP</t>
  </si>
  <si>
    <t>disk0/00/00/03/93</t>
  </si>
  <si>
    <t>University of East London</t>
  </si>
  <si>
    <t>Verified by Stephen Grace
Research Services Librarian
Email: s.grace@uel.ac.uk
11/11/14
Policy URL updated 2015-04-13 by Stephen Grace</t>
  </si>
  <si>
    <t>disk0/00/00/03/94</t>
  </si>
  <si>
    <t>University of Edinburgh</t>
  </si>
  <si>
    <t>disk0/00/00/03/95</t>
  </si>
  <si>
    <t>University of Exeter</t>
  </si>
  <si>
    <t>disk0/00/00/03/96</t>
  </si>
  <si>
    <t>University of Glasgow</t>
  </si>
  <si>
    <t>disk0/00/00/06/96</t>
  </si>
  <si>
    <t>University of Hull</t>
  </si>
  <si>
    <t>disk0/00/00/03/97</t>
  </si>
  <si>
    <t>University of Kent</t>
  </si>
  <si>
    <t>Deposit within one month of publication. Preferably accepted manuscript. Has a preference for Green OA</t>
  </si>
  <si>
    <t>disk0/00/00/03/98</t>
  </si>
  <si>
    <t>University of Leeds</t>
  </si>
  <si>
    <t>OA access can be waived publisher copyright permissions allow and there are no confidentiality and commercial constraints. Journalism may also be deposited.</t>
  </si>
  <si>
    <t>http://library.leeds.ac.uk/university-publications  AND   http://www.leeds.ac.uk/comms/for_staff/University_of_Leeds_Publications_Policy.docx</t>
  </si>
  <si>
    <t>disk0/00/00/03/99</t>
  </si>
  <si>
    <t>University of Leicester</t>
  </si>
  <si>
    <t>disk0/00/00/04/00</t>
  </si>
  <si>
    <t>University of Lincoln</t>
  </si>
  <si>
    <t>disk0/00/00/04/01</t>
  </si>
  <si>
    <t>University of Nottingham</t>
  </si>
  <si>
    <t>New policy currently in preparation.</t>
  </si>
  <si>
    <t>To be notified of new policy by Richard Chamberlain 
Email: Dick.Chamberlain@nottingham.ac.uk</t>
  </si>
  <si>
    <t>disk0/00/00/04/02</t>
  </si>
  <si>
    <t>University of Oxford</t>
  </si>
  <si>
    <t>Encouraged to deposit other research outputs subject to contracts with third parties and conventions in their academic division. Storage in IR is implicit rather than explicit. Can author waive OA? Not specified rather than n/a.</t>
  </si>
  <si>
    <t>disk0/00/00/06/97</t>
  </si>
  <si>
    <t>University of Portsmouth</t>
  </si>
  <si>
    <t>disk0/00/00/04/03</t>
  </si>
  <si>
    <t>University of Reading</t>
  </si>
  <si>
    <t>Verified by Alison Sutton, Repository Manager
Email: a.m.sutton@reading.ac.uk
09/12/14</t>
  </si>
  <si>
    <t>disk0/00/00/04/04</t>
  </si>
  <si>
    <t>University of Salford</t>
  </si>
  <si>
    <t>disk0/00/00/04/05</t>
  </si>
  <si>
    <t>University of Southampton</t>
  </si>
  <si>
    <t>The policy alludes to a Liege-type linking of deposit to research assessment, but does not quite make it a condition: "The deposited records and outputs may be used for: internal review of research performance and to assist in appraisals and promotions within the University modelling profiles and submitting information for external review e.g. the Research Excellence Framework".</t>
  </si>
  <si>
    <t>disk0/00/00/04/06</t>
  </si>
  <si>
    <t>University of Southampton School of Electronics &amp; Computer Science</t>
  </si>
  <si>
    <t>The first OA mandate.</t>
  </si>
  <si>
    <t>disk0/00/00/04/07</t>
  </si>
  <si>
    <t>University of St Andrews</t>
  </si>
  <si>
    <t>disk0/00/00/04/08</t>
  </si>
  <si>
    <t>University of Stirling</t>
  </si>
  <si>
    <t>disk0/00/00/04/09</t>
  </si>
  <si>
    <t>University of Strathclyde</t>
  </si>
  <si>
    <t>disk0/00/00/04/10</t>
  </si>
  <si>
    <t>University of Surrey</t>
  </si>
  <si>
    <t>Deposit date is described: "The policy requires Surrey authors to deposit the full text of their peer-reviewed journal articles and conference proceedings in SRI as soon as possible after article acceptance and no later than 6 months after publication, subject to copyright restrictions." Link to full policy from repository website is dead.</t>
  </si>
  <si>
    <t>disk0/00/00/04/11</t>
  </si>
  <si>
    <t>University of Ulster</t>
  </si>
  <si>
    <t>Required to submit md on research outputs since 1998, and encouraged to deposit ft since Jan 1998. Final formatted version may also be deposited. Deposit as soon as md available. Any research output and research monographs and book deposits are encouraged.</t>
  </si>
  <si>
    <t>Verified by Barbara Wilson
Email: b.wilson@ulster.ac.uk
06/11/14</t>
  </si>
  <si>
    <t>disk0/00/00/04/12</t>
  </si>
  <si>
    <t>University of Warwick</t>
  </si>
  <si>
    <t>University "support Gold Open Access costs (where a fee is charged to publish in an Open Access work) if funding for this has been made available by the research funder".</t>
  </si>
  <si>
    <t>Verified by Yvonne Budden
Email: y.c.budden@warwick.ac.uk
26/11/14</t>
  </si>
  <si>
    <t>disk0/00/00/04/13</t>
  </si>
  <si>
    <t>University of Westminster</t>
  </si>
  <si>
    <t>disk0/00/00/06/99</t>
  </si>
  <si>
    <t>University of Worcester</t>
  </si>
  <si>
    <t>disk0/00/00/07/00</t>
  </si>
  <si>
    <t>University of York</t>
  </si>
  <si>
    <t>disk0/00/00/06/81</t>
  </si>
  <si>
    <t>University of the Highlands and Islands</t>
  </si>
  <si>
    <t>disk0/00/00/06/98</t>
  </si>
  <si>
    <t>University of the West of England</t>
  </si>
  <si>
    <t>disk0/00/00/06/37</t>
  </si>
  <si>
    <t>Wellcome Trust</t>
  </si>
  <si>
    <t>Policy requires deposit "as soon as possible" after acceptance; "where it pays an open access fee, requires - authors and publishers to licence research papers using the Creative Commons Attribution licence (CC-BY)"; since 2013-10-01, "extending its open access policy to include scholarly monographs and book chapters authored or coauthored by Trust grantholders that arise as part of their grant-funded research"</t>
  </si>
  <si>
    <t>http://www.ncbi.nlm.nih.gov/pubmed; http://europepmc.org/</t>
  </si>
  <si>
    <t>disk0/00/00/07/01</t>
  </si>
  <si>
    <t>York St John University</t>
  </si>
  <si>
    <t>disk0/00/00/04/44</t>
  </si>
  <si>
    <t>Allegheny College</t>
  </si>
  <si>
    <t>College has some Gold OA funding as it offers a claim form for that purpose (viewable only by staff). This is a Harvard-style mandate, though not achieved through faculty vote.</t>
  </si>
  <si>
    <t>disk0/00/00/04/45</t>
  </si>
  <si>
    <t>Amherst College</t>
  </si>
  <si>
    <t>2007 onwards: Funding from the Library will be available to subsidize or pay in full the author charges for all peer reviewed, open access journals.</t>
  </si>
  <si>
    <t>ROARMAP link to IR no longer live. Emailed libdig@amhurst.edu, received reply from  Kelcy Shepherd: "Our resolution was passed before an institutional repository existed at Amherst, and its development was delayed for a variety of reasons. It will be completed and released soon, as part of our digital collections system. If you check back at the end of summer, you will find a link to the open access collection through our digital collections home page: https://acdc.amherst.edu/."</t>
  </si>
  <si>
    <t>disk0/00/00/04/46</t>
  </si>
  <si>
    <t>Arizona State University Libraries</t>
  </si>
  <si>
    <t>Policy referes to unspecified "scholarly work".  Requires authors to grant institution with CC-BY-NC-ND licence.  Gold funding available through various publisher membership schemes.</t>
  </si>
  <si>
    <t>disk0/00/00/04/47</t>
  </si>
  <si>
    <t>Autism Speaks</t>
  </si>
  <si>
    <t>Funding for APCs comes from grants (email from jnew@autismspeaks.org)</t>
  </si>
  <si>
    <t>disk0/00/00/07/26</t>
  </si>
  <si>
    <t>Bill &amp; Melinda Gates Foundation</t>
  </si>
  <si>
    <t>As of January 1, 2015 our Open Access policy will be effective for all new agreements. During a two-year transition period, publishers will be permitted to apply up to a 12 month embargo period on the accessibility of the publication and its underlying data sets. This embargo period will no longer be allowed after January 1, 2017.
Data Policy: Data Underlying Published Research Results Will Be Accessible and Open Immediately.  The foundation will require that data underlying the published research results be immediately accessible and open.  This too is subject to the transition period and a 12-month embargo may be applied.</t>
  </si>
  <si>
    <t>disk0/00/00/07/19</t>
  </si>
  <si>
    <t>Boston University</t>
  </si>
  <si>
    <t>disk0/00/00/04/48</t>
  </si>
  <si>
    <t>Brandeis University</t>
  </si>
  <si>
    <t>disk0/00/00/04/50</t>
  </si>
  <si>
    <t>Brigham Young University Library</t>
  </si>
  <si>
    <t>ETD policy only</t>
  </si>
  <si>
    <t>Verified by Mandy Oscarson
Email: Mandy Oscarson &lt;mandy_oscarson@byu.edu&gt;
21/11/14</t>
  </si>
  <si>
    <t>disk0/00/00/04/51</t>
  </si>
  <si>
    <t>Bryn Mawr College</t>
  </si>
  <si>
    <t>...each Faculty member grants to Bryn Mawr College a nonexclusive, irrevocable, worldwide license to exercise any and all rights under copyright relating to each of her or his scholarly articles</t>
  </si>
  <si>
    <t>Policy adoption date found from news item on website</t>
  </si>
  <si>
    <t>disk0/00/00/04/52</t>
  </si>
  <si>
    <t>Bucknell University</t>
  </si>
  <si>
    <t>it is recommended that faculty members provide articles within 30 days after the date of publication;   "each faculty member grants Bucknell University a nonexclusive, paid-up, worldwide license"</t>
  </si>
  <si>
    <t>disk0/00/00/04/53</t>
  </si>
  <si>
    <t>California Institute of Technology</t>
  </si>
  <si>
    <t>"nonexclusive, irrevocable, worldwide license to exercise any and all rights under copyright relating to 
each of his or her scholarly articles, in any medium, provided that the articles are not sold for a 
profit, and to authorize others to do the same"</t>
  </si>
  <si>
    <t>disk0/00/00/04/54</t>
  </si>
  <si>
    <t>California Polytechnic State University</t>
  </si>
  <si>
    <t>Online chat with librarian - directed to mwyngard@calpoly.edu - emailed for more info.  Answer: "Cal Poly does not currently have any open access mandates or even a campus-wide open access policy.  That's something the library is advocating for, though"</t>
  </si>
  <si>
    <t>disk0/00/00/04/55</t>
  </si>
  <si>
    <t>California State University, Chico</t>
  </si>
  <si>
    <t>Attempted online chat</t>
  </si>
  <si>
    <t>disk0/00/00/04/56</t>
  </si>
  <si>
    <t>California State University, Northridge</t>
  </si>
  <si>
    <t>Works to be deposited as soon as possible after acceptance giving institution non-exclusive license to archive</t>
  </si>
  <si>
    <t>Link to policy provided by andrew.weiss@csun.edu (Digital Services Librarian)</t>
  </si>
  <si>
    <t>disk0/00/00/04/57</t>
  </si>
  <si>
    <t>Case Western Reserve University</t>
  </si>
  <si>
    <t>According to online chat, no policy - have emailed IR manager for further info digitalcase@case.edu</t>
  </si>
  <si>
    <t>disk0/00/00/04/58</t>
  </si>
  <si>
    <t>Columbia University Lamont-Doherty Earth Observatory</t>
  </si>
  <si>
    <t>Deposit in IR or appropriate subject repository.  "nonexclusive, irrevocable, royalty-free, worldwide license to exercise any and all rights under copyright relating to all such works of scholarship, created after the adoption of this resolution, solely for the purpose of providing and maintaining public access to them"</t>
  </si>
  <si>
    <t>disk0/00/00/04/59</t>
  </si>
  <si>
    <t>Columbia University Libraries</t>
  </si>
  <si>
    <t>Deposit in IR or appropriate subject repository.  "nonexclusive, irrevocable, royalty-free, worldwide license to exercise any and all rights under copyright relating to all such works of scholarship"</t>
  </si>
  <si>
    <t>disk0/00/00/04/61</t>
  </si>
  <si>
    <t>Columbia University Mailman School of Public Health</t>
  </si>
  <si>
    <t>disk0/00/00/04/60</t>
  </si>
  <si>
    <t>Columbia University School of Social Work</t>
  </si>
  <si>
    <t>Resolution rather than policy. "non-exclusive license"</t>
  </si>
  <si>
    <t>Link to policy is website news section.  Emailed institution for exact policy (if different from library policy) - reply with link from Andrew Weiss (Digital Services Librarian) - andrew.weiss@csun.edu. No gold funding available.</t>
  </si>
  <si>
    <t>disk0/00/00/04/62</t>
  </si>
  <si>
    <t>Connecticut College</t>
  </si>
  <si>
    <t>Irrevocable, nonexclusive license. "This policy will be waived for any article at the request of the author, but once an article is placed in the repository it cannot be withdrawn."</t>
  </si>
  <si>
    <t>Policy document is labelled draft - unable to access definitive document unless affiliated with the institution ("Policies and Procedures: Information for Faculty,” as section 2 (Faculty Responsibilities) .4 (Reports and Records), item 6 (or IFF 2.4.6). )                         No gold fund (from email enquiry)</t>
  </si>
  <si>
    <t>disk0/00/00/04/63</t>
  </si>
  <si>
    <t>Cornell University</t>
  </si>
  <si>
    <t>Resolution on scholarly publishing rather than 'policy'</t>
  </si>
  <si>
    <t>disk0/00/00/04/64</t>
  </si>
  <si>
    <t>Drake University</t>
  </si>
  <si>
    <t>non-exclusive, royalty-free right to reproduce, convert to an updated electronic format, publicly display/perform and/or distribute their submission (including the abstract) worldwide in any format or medium, including but not limited to print, photographic, electronic, audio and/or video</t>
  </si>
  <si>
    <t>Emailed to ask if Gold fund</t>
  </si>
  <si>
    <t>disk0/00/00/04/65</t>
  </si>
  <si>
    <t>Duke University</t>
  </si>
  <si>
    <t>nonexclusive, irrevocable, royalty-free, worldwide license to exercise any and all rights under copyright</t>
  </si>
  <si>
    <t>Verified by Jim Tuttle 
Email: jim.tuttle@duke.edu
17/10/14
Policy found on page 44, Appendix P of Faculty Handbook</t>
  </si>
  <si>
    <t>disk0/00/00/04/66</t>
  </si>
  <si>
    <t>Duke University Graduate School</t>
  </si>
  <si>
    <t>Refers to ETD only</t>
  </si>
  <si>
    <t>Could not find specific grad school policy.  Emailed nicki.rivers@duke.edu. Reply from Kevin.L.Smith@duke.edu (Director of Scholarly Communication) - "I am afraid there simply is not a formal policy document as such, this was a decision made in 2006 by the Graduate School in consultation with the Grad Student Council and the library.  The gist of the requirement is found on the two pages linked below, but the OA mandate, as such, is embedded in the full set of submission guidelines.  As I say, there is no OA policy as such for the grad students.  The faculty adopted OA policy at Duke does not apply to graduate students, so this requirement about ETDs, which is less than a formal policy, is all there is."</t>
  </si>
  <si>
    <t>disk0/00/00/04/67</t>
  </si>
  <si>
    <t>Emory University</t>
  </si>
  <si>
    <t>Each faculty member grants to Emory University permission to capture and make available his or her scholarly articles - not technically requested or required?!    License = "nonexclusive, irrevocable, royalty-free, worldwide license to exercise any and all rights under copyright"</t>
  </si>
  <si>
    <t>disk0/00/00/04/68</t>
  </si>
  <si>
    <t>Florida State University</t>
  </si>
  <si>
    <t>Resolution on scholarly publishing rather than 'policy'.  Basically just says "…[The Senate] endorses the storage and preservation of scholarly publications in The Florida State University’s open access institutional repository." "The Faculty Senate, Vice President for Faculty Development and Advancement and the Dean of the University Libraries will be responsible for interpreting this resolution"</t>
  </si>
  <si>
    <t>Resolution is extremely vague.</t>
  </si>
  <si>
    <t>disk0/00/00/04/69</t>
  </si>
  <si>
    <t>Georgia Institute of Technology</t>
  </si>
  <si>
    <t>nonexclusive, irrevocable, royalty-free, worldwide license to exercise any and all copyrights in his or her scholarly articles published in any medium, provided the articles are not sold or licensed for a profit Embargo: "At author request, access will be delayed for up to one year."</t>
  </si>
  <si>
    <t>Verified by Fred Rascoe
Scholarly Communication Librarian
Email: fred.rascoe@library.gatech.edu
06/11/14</t>
  </si>
  <si>
    <t>disk0/00/00/04/70</t>
  </si>
  <si>
    <t>Gustavus Adolphus College Library</t>
  </si>
  <si>
    <t>Pledge' not policy: "The Gustavus library faculty believes that open access to scholarship is critical for scholarly communication and for the future of libraries. For that reason we pledge to make our own research freely available whenever possible by seeking publishers that have either adopted open access policies, publish contents online without restriction, and/or allow authors to self-archive their publications on the web. We pledge to link to and/or self-archive our publications to make them freely accessible.
Librarians may submit their work to a publication that does not follow open access principles and will not allow self archiving only if it is clearly the best or only option for publication; however, librarians will actively seek out publishers that allow them to make their research available freely online and, when necessary, will negotiate with publishers to improve publication agreements."</t>
  </si>
  <si>
    <t>disk0/00/00/04/71</t>
  </si>
  <si>
    <t>Harvard Business School</t>
  </si>
  <si>
    <t>nonexclusive, irrevocable, worldwide license to exercise any and all rights under copyright relating to each of these articles</t>
  </si>
  <si>
    <t>disk0/00/00/04/72</t>
  </si>
  <si>
    <t>Harvard Divinity School</t>
  </si>
  <si>
    <t>disk0/00/00/04/73</t>
  </si>
  <si>
    <t>Harvard Law School</t>
  </si>
  <si>
    <t>disk0/00/00/04/74</t>
  </si>
  <si>
    <t>Harvard School of Public Health</t>
  </si>
  <si>
    <t>disk0/00/00/04/77</t>
  </si>
  <si>
    <t>Harvard University Faculty of Arts &amp; Sciences</t>
  </si>
  <si>
    <t>disk0/00/00/04/75</t>
  </si>
  <si>
    <t>Harvard University Graduate School of Design</t>
  </si>
  <si>
    <t>disk0/00/00/04/76</t>
  </si>
  <si>
    <t>Harvard University Graduate School of Education</t>
  </si>
  <si>
    <t>disk0/00/00/04/78</t>
  </si>
  <si>
    <t>Harvard University John F Kennedy School of Government</t>
  </si>
  <si>
    <t>disk0/00/00/04/79</t>
  </si>
  <si>
    <t>Harvard University Medical School</t>
  </si>
  <si>
    <t>disk0/00/00/06/52</t>
  </si>
  <si>
    <t>Harvard University Shorenstein Center on Media, Politics and Public Policy</t>
  </si>
  <si>
    <t>disk0/00/00/04/80</t>
  </si>
  <si>
    <t>Howard Hughes Medical Institute</t>
  </si>
  <si>
    <t>To be made available "as soon as reasonably possible after publication, and in any event within twelve months of publication"</t>
  </si>
  <si>
    <t>disk0/00/00/07/56</t>
  </si>
  <si>
    <t>Indiana University-Purdue University Fort Wayne</t>
  </si>
  <si>
    <t>http://://www.ipfw.edu/committees/senate/documents/</t>
  </si>
  <si>
    <t>disk0/00/00/04/81</t>
  </si>
  <si>
    <t>Indiana University-Purdue University Indianapolis (IUPUI) Library</t>
  </si>
  <si>
    <t>nonexclusive, irrevocable, paid-up, worldwide license to exercise any and all rights under copyright….If, for whatever reason, this is not deemed appropriate library faculty are encouraged to grant a Creative Commons Attribution-Noncommercial-No Derivative Works license for the article.</t>
  </si>
  <si>
    <t>disk0/00/00/04/82</t>
  </si>
  <si>
    <t>Institute of Education Sciences</t>
  </si>
  <si>
    <t>disk0/00/00/04/83</t>
  </si>
  <si>
    <t>Kansas State University</t>
  </si>
  <si>
    <t>Cannot find policy - emailed for more info (Scholarly Communications and Publishing, scp@ksu.edu)</t>
  </si>
  <si>
    <t>disk0/00/00/04/84</t>
  </si>
  <si>
    <t>Lafayette College</t>
  </si>
  <si>
    <t>Resolution rather than policy.</t>
  </si>
  <si>
    <t>Verified by Terese Heidenwolf
Email: heidenwt@lafayette.edu
02/10/14</t>
  </si>
  <si>
    <t>disk0/00/00/04/85</t>
  </si>
  <si>
    <t>MacArthur Foundation</t>
  </si>
  <si>
    <t>Cannot find policy - emailed for more info (4answers@macfound.org)</t>
  </si>
  <si>
    <t>disk0/00/00/04/86</t>
  </si>
  <si>
    <t>Massachusetts Institute of Technology</t>
  </si>
  <si>
    <t>nonexclusive, irrevocable, paid-up, worldwide license to exercise any and all rights under copyright</t>
  </si>
  <si>
    <t>Further info found in FAQs http://libraries.mit.edu/scholarly/mit-open-access/open-access-at-mit/mit-open-access-policy/mit-faculty-open-access-policy-faq/</t>
  </si>
  <si>
    <t>disk0/00/00/04/87</t>
  </si>
  <si>
    <t>Miami University (Ohio) Libraries</t>
  </si>
  <si>
    <t>nonexclusive, irrevocable, worldwide license</t>
  </si>
  <si>
    <t>Verified by Jen Waller
Interdisciplinary Librarian
Email: jenwaller@miamioh.edu
10/11/14</t>
  </si>
  <si>
    <t>disk0/00/00/04/88</t>
  </si>
  <si>
    <t>Microsoft Research</t>
  </si>
  <si>
    <t>Microsoft Research retains a license to make our Works available to the research community in our online Microsoft Research open-access repository</t>
  </si>
  <si>
    <t>disk0/00/00/04/89</t>
  </si>
  <si>
    <t>Montana State University</t>
  </si>
  <si>
    <t>No policy found.</t>
  </si>
  <si>
    <t>Library strategic plan March 2013 states as an aim "…promote adoption of campus open access policy by 2016" (http://www.lib.montana.edu/about/msu_library_strategic_plan.pdf)</t>
  </si>
  <si>
    <t>Policy expected 2016</t>
  </si>
  <si>
    <t>disk0/00/00/04/90</t>
  </si>
  <si>
    <t>National Center for Atmospheric Research (NCAR)</t>
  </si>
  <si>
    <t>UCAR's policy on Open Access occurs in the Intellectual Property and Technology Transfer Policy. This policy secures authors' right to the work they create during their tenure at UCAR while also securing for the institution the right to use that work in the future. Making the works available through OpenSky is an example of this use.</t>
  </si>
  <si>
    <t>Link to IP and Tech Transfer Policy in Policy URL field.  Emailed opensky@ucar.edu to obtain more information - IP doc has no real detail.  Email back was just link to IP doc again.</t>
  </si>
  <si>
    <t>disk0/00/00/04/91</t>
  </si>
  <si>
    <t>National Institutes of Health</t>
  </si>
  <si>
    <t>[1] "Compliance with the NIH Public Access Policy is not a factor in the scientific and technical merit evaluation of grant applications. Non-compliance will be addressed administratively, and may delay or prevent awarding of funds."   [2] "We will grant exceptions only under the most extreme circumstances, such as death of the sole author." [3] Fair Use, rather than an OA license</t>
  </si>
  <si>
    <t>disk0/00/00/04/92</t>
  </si>
  <si>
    <t>Oberlin College</t>
  </si>
  <si>
    <t>Referred to as both policy and resolution.  "irrevocable, nonexclusive, paid-up, worldwide license to exercise all rights under copyright"</t>
  </si>
  <si>
    <t>disk0/00/00/04/93</t>
  </si>
  <si>
    <t>Oregon State University</t>
  </si>
  <si>
    <t>"nonexclusive, irrevocable, 
royalty-free, worldwide license to exercise 
any and all rights under copyright"</t>
  </si>
  <si>
    <t>Verified by Steve Van Tuyl
Email: ScholarsArchive &lt;ScholarsArchive@oregonstate.edu&gt;
07/10/14</t>
  </si>
  <si>
    <t>disk0/00/00/04/94</t>
  </si>
  <si>
    <t>Oregon State University College of Oceanic and Atmospheric Sciences</t>
  </si>
  <si>
    <t>The College of Oceanic and Atmospheric Sciences first passed the policy, followed by the Department of Geosciences; the two departments merged and the policy language was updated in November 2011; policy was passed by the Dean's Advisory Council; deposit is "supported" "as soon as practical"; articles, reports, book chapters, conference presentations, and conference proceedings are listed as "scholarly work"; policy grants a non-exclusive license</t>
  </si>
  <si>
    <t>disk0/00/00/04/95</t>
  </si>
  <si>
    <t>Oregon State University Library Faculty</t>
  </si>
  <si>
    <t>Policy "encourages" nonexclusive license; articles, reports, book chapters, conference presentations, and conference proceedings are listed as "scholarly work" that falls under policy; faculty encouraged to deposit "whatever version the publisher allows"</t>
  </si>
  <si>
    <t>disk0/00/00/07/47</t>
  </si>
  <si>
    <t>Pacific University</t>
  </si>
  <si>
    <t>disk0/00/00/07/14</t>
  </si>
  <si>
    <t>Penn State University Libraries</t>
  </si>
  <si>
    <t>Penn State University</t>
  </si>
  <si>
    <t>disk0/00/00/04/96</t>
  </si>
  <si>
    <t>Princeton University</t>
  </si>
  <si>
    <t>At the time of the policy, Princeton didn't have an IR, so the "committee recommend[ed] the creation of a University ‘repository’"; policy grants a non-exclusive license</t>
  </si>
  <si>
    <t>disk0/00/00/04/97</t>
  </si>
  <si>
    <t>Rice University</t>
  </si>
  <si>
    <t>Verified by Lisa Spiro 
Email: lspiro@rice.edu
09/10/14</t>
  </si>
  <si>
    <t>disk0/00/00/04/98</t>
  </si>
  <si>
    <t>Rollins College</t>
  </si>
  <si>
    <t>Policy grants non-exclusive license "for the purpose of open dissemination"; works are embargoed "until it has appeared either in print or online at the publisher’s web 
site, whichever comes first"</t>
  </si>
  <si>
    <t>Verified by Angelina Altobellis 
Email: AALTOBELLIS@Rollins.edu
03/10/14</t>
  </si>
  <si>
    <t>disk0/00/00/04/99</t>
  </si>
  <si>
    <t>Rutgers, The State University of New Jersey</t>
  </si>
  <si>
    <t>Excerpted from policy, codified in the University's Policy Library; see http://policies.rutgers.edu/50317-currentpdf for complete text:  "This Policy shall apply to all members of the faculty, as well as Rutgers graduate and post-doctoral students, while they are employed by, or enrolled at, Rutgers (hereinafter “Scholar”). Each Scholar grants to Rutgers University a nonexclusive, irrevocable, royalty-free worldwide license to exercise any and all rights under copyright relating to each of his or her scholarly articles, as defined below, in any medium, provided that the articles are not sold for a profit, solely for the purpose of providing and maintaining public access to them. The term “scholarly articles” generally refers to peer-reviewed journal articles or conference proceedings created without expectation of payment. It does not include books, commissioned articles, artworks, popular writings, fiction, poetry or pedagogical materials such as lecture notes and videos, case studies and the like ... The University also commits to educating students at the graduate level in the principles and practices of Open Access."
SOAR (Scholarly Open Access at Rutgers) has been developed to facilitate policy implementation:  http://soar.rutgers.edu/</t>
  </si>
  <si>
    <t>disk0/00/00/05/00</t>
  </si>
  <si>
    <t>San Jose State University</t>
  </si>
  <si>
    <t>Thesis policy; language in ROARMAP isn't current and the ETD thesis guidelines are the closest thing to policy I could find; making the whole work OA is student's choice, but the work must be in the IR; "license agreement allows students to communicate the level of access they want others to have to their thesis in the SJSU library catalog"</t>
  </si>
  <si>
    <t>disk0/00/00/05/01</t>
  </si>
  <si>
    <t>Smithsonian Institution</t>
  </si>
  <si>
    <t>No official policy yet: OSTP Directive available here: http://www.whitehouse.gov/sites/default/files/microsites/ostp/ostp_public_access_memo_2013.pdf; directive effective on 2013-02-22 and draft policy due 2013-08-22; per 2014-03-24 document (http://www.whitehouse.gov/sites/default/files/microsites/ostp/OpenAccess_March-2014.pdf) draft policies have been filed for review; policy effective date pending publication date of the agency’s final plan</t>
  </si>
  <si>
    <t>Because the Smithsonian delivered a draft policy that is still undergoing review, policy language isn't available and while the Directive provides some guidelines it is unclear what shape the policy will take until it is made publicly available</t>
  </si>
  <si>
    <t>Pending review by OSTP and the Office of Management and Budget</t>
  </si>
  <si>
    <t>disk0/00/00/05/02</t>
  </si>
  <si>
    <t>Stanford University School of Education</t>
  </si>
  <si>
    <t>Policy grants a non-exclusive license</t>
  </si>
  <si>
    <t>disk0/00/00/05/03</t>
  </si>
  <si>
    <t>Temple University</t>
  </si>
  <si>
    <t>Thesis policy; policy language isn't available, but dissertation handbook states policy intention; embargo policy is stringent: "[P]ermanent and temporary embargoes and abstract-only publication are largely disallowed. Any exceptions — and they are rare — must be requested of and approved by the Vice Provost in the Graduate School."</t>
  </si>
  <si>
    <t>disk0/00/00/05/04</t>
  </si>
  <si>
    <t>Texas A&amp;M University</t>
  </si>
  <si>
    <t>Thesis policy; couldn't find a policy, but the thesis manual provides details; manual recommends Creative Commons licensing as an alternative to (C): "students may wish to include a Creative Commons license in the same location as the copyright notice"</t>
  </si>
  <si>
    <t>disk0/00/00/05/05</t>
  </si>
  <si>
    <t>The College of Wooster</t>
  </si>
  <si>
    <t>disk0/00/00/05/06</t>
  </si>
  <si>
    <t>Trinity University</t>
  </si>
  <si>
    <t>Policy grants a non-exclusive license ; "policy applies only to works for which the author does not retain full copyright"</t>
  </si>
  <si>
    <t>disk0/00/00/05/07</t>
  </si>
  <si>
    <t>US Agency for Healthcare Research and Quality (AHRQ)</t>
  </si>
  <si>
    <t>disk0/00/00/05/08</t>
  </si>
  <si>
    <t>US Census Bureau</t>
  </si>
  <si>
    <t>Per this 2014-24-04 document (http://www.whitehouse.gov/sites/default/files/microsites/ostp/OpenAccess_March-2014.pdf) all agencies subject to the OSTP Directive have submitted drafts and the Census Bureau is not one of the listed agencies (contrary to ROARMAP)</t>
  </si>
  <si>
    <t>disk0/00/00/05/09</t>
  </si>
  <si>
    <t>US Centers for Disease Control and Prevention</t>
  </si>
  <si>
    <t>Because the CDC delivered a draft policy that is still undergoing review, policy language isn't available and while the Directive provides some guidelines it is unclear what shape the policy will take until it is made publicly available</t>
  </si>
  <si>
    <t>disk0/00/00/05/31</t>
  </si>
  <si>
    <t>US Congress Consolidated Appropriations Act 2014</t>
  </si>
  <si>
    <t>Policy applies to Departments of Labor, Health and Human Services, and Education (and related agencies); waiver option not mentioned</t>
  </si>
  <si>
    <t>Not specified</t>
  </si>
  <si>
    <t>disk0/00/00/05/10</t>
  </si>
  <si>
    <t>US Department of Agriculture (USDA)</t>
  </si>
  <si>
    <t>Because the USDA delivered a draft policy that is still undergoing review, policy language isn't available and while the Directive provides some guidelines it is unclear what shape the policy will take until it is made publicly available</t>
  </si>
  <si>
    <t>disk0/00/00/05/11</t>
  </si>
  <si>
    <t>US Department of Commerce (DOC)</t>
  </si>
  <si>
    <t>Because the DoC delivered a draft policy that is still undergoing review, policy language isn't available and while the Directive provides some guidelines it is unclear what shape the policy will take until it is made publicly available</t>
  </si>
  <si>
    <t>disk0/00/00/05/12</t>
  </si>
  <si>
    <t>US Department of Defense (DOD)</t>
  </si>
  <si>
    <t>disk0/00/00/05/13</t>
  </si>
  <si>
    <t>US Department of Education</t>
  </si>
  <si>
    <t>No official policy yet: OSTP Directive available here: http://www.whitehouse.gov/sites/default/files/microsites/ostp/ostp_public_access_memo_2013.pdf; directive effective on 2013-02-22 and draft policy due 2013-08-22; per 2014-03-24 document (http://www.whitehouse.gov/sites/default/files/microsites/ostp/OpenAccess_March-2014.pdf) draft policies have been filed for review; policy effective date pending publication date of the agency’s final plan; see also section 527 of the Consolidated Appropriations Act of 2014 public access policy requirement here: http://docs.house.gov/billsthisweek/20140113/CPRT-113-HPRT-RU00-h3547-hamdt2samdt_xml.pdf</t>
  </si>
  <si>
    <t>Because the DoEd delivered a draft policy that is still undergoing review, policy language isn't available and while the Directive provides some guidelines it is unclear what shape the policy will take until it is made publicly available</t>
  </si>
  <si>
    <t>disk0/00/00/05/14</t>
  </si>
  <si>
    <t>US Department of Energy (DOE)</t>
  </si>
  <si>
    <t>Because the DoE delivered a draft policy that is still undergoing review, policy language isn't available and while the Directive provides some guidelines it is unclear what shape the policy will take until it is made publicly available</t>
  </si>
  <si>
    <t>disk0/00/00/05/15</t>
  </si>
  <si>
    <t>US Department of Health &amp; Human Services (HHS)</t>
  </si>
  <si>
    <t>Because HHS delivered a draft policy that is still undergoing review, policy language isn't available and while the Directive provides some guidelines it is unclear what shape the policy will take until it is made publicly available</t>
  </si>
  <si>
    <t>disk0/00/00/05/16</t>
  </si>
  <si>
    <t>US Department of Homeland Security (DHS)</t>
  </si>
  <si>
    <t>Because DHS delivered a draft policy that is still undergoing review, policy language isn't available and while the Directive provides some guidelines it is unclear what shape the policy will take until it is made publicly available</t>
  </si>
  <si>
    <t>disk0/00/00/05/17</t>
  </si>
  <si>
    <t>US Department of State</t>
  </si>
  <si>
    <t>Per this 2014-24-04 document (http://www.whitehouse.gov/sites/default/files/microsites/ostp/OpenAccess_March-2014.pdf) all agencies subject to the OSTP Directive have submitted drafts and the Department of State is not one of the listed agencies (contrary to ROARMAP)</t>
  </si>
  <si>
    <t>disk0/00/00/05/18</t>
  </si>
  <si>
    <t>US Department of Transportation (DOT)</t>
  </si>
  <si>
    <t>Because DoT delivered a draft policy that is still undergoing review, policy language isn't available and while the Directive provides some guidelines it is unclear what shape the policy will take until it is made publicly available</t>
  </si>
  <si>
    <t>disk0/00/00/05/19</t>
  </si>
  <si>
    <t>US Department of the Interior (DOI)</t>
  </si>
  <si>
    <t>Because DoI delivered a draft policy that is still undergoing review, policy language isn't available and while the Directive provides some guidelines it is unclear what shape the policy will take until it is made publicly available</t>
  </si>
  <si>
    <t>disk0/00/00/05/20</t>
  </si>
  <si>
    <t>US Environmental Protection Agency (EPA)</t>
  </si>
  <si>
    <t>Because the EPA delivered a draft policy that is still undergoing review, policy language isn't available and while the Directive provides some guidelines it is unclear what shape the policy will take until it is made publicly available</t>
  </si>
  <si>
    <t>disk0/00/00/05/21</t>
  </si>
  <si>
    <t>US Federal Aviation Administration (FAA)</t>
  </si>
  <si>
    <t>Per this 2014-24-04 document (http://www.whitehouse.gov/sites/default/files/microsites/ostp/OpenAccess_March-2014.pdf) all agencies subject to the OSTP Directive have submitted drafts and the FAA is not one of the listed agencies (contrary to ROARMAP)</t>
  </si>
  <si>
    <t>disk0/00/00/05/22</t>
  </si>
  <si>
    <t>US Federal Highway Administration (FHWA)</t>
  </si>
  <si>
    <t>Per this 2014-24-04 document (http://www.whitehouse.gov/sites/default/files/microsites/ostp/OpenAccess_March-2014.pdf) all agencies subject to the OSTP Directive have submitted drafts and the FHWA is not one of the listed agencies (contrary to ROARMAP)</t>
  </si>
  <si>
    <t>disk0/00/00/05/23</t>
  </si>
  <si>
    <t>US Food and Drug Administration (FDA)</t>
  </si>
  <si>
    <t>Because the FDA delivered a draft policy that is still undergoing review, policy language isn't available and while the Directive provides some guidelines it is unclear what shape the policy will take until it is made publicly available</t>
  </si>
  <si>
    <t>disk0/00/00/05/24</t>
  </si>
  <si>
    <t>US Geological Survey (USGS)</t>
  </si>
  <si>
    <t>The USGS handbook indicates that "every effort made to ensure maximum visibility by publishing in the most appropriate medium," but does not speicifically outline a policy [see http://www.usgs.gov/usgs-manual/500/502-4.html]</t>
  </si>
  <si>
    <t>disk0/00/00/05/25</t>
  </si>
  <si>
    <t>US National Aeronautics &amp; Space Administration (NASA)</t>
  </si>
  <si>
    <t>Because NASA delivered a draft policy that is still undergoing review, policy language isn't available and while the Directive provides some guidelines it is unclear what shape the policy will take until it is made publicly available</t>
  </si>
  <si>
    <t>disk0/00/00/05/26</t>
  </si>
  <si>
    <t>US National Institute of Standards and Technology (NIST)</t>
  </si>
  <si>
    <t>Because NIST delivered a draft policy that is still undergoing review, policy language isn't available and while the Directive provides some guidelines it is unclear what shape the policy will take until it is made publicly available</t>
  </si>
  <si>
    <t>disk0/00/00/05/27</t>
  </si>
  <si>
    <t>US National Oceanic and Atmospheric Administration (NOAA)</t>
  </si>
  <si>
    <t>Because NOAA delivered a draft policy that is still undergoing review, policy language isn't available and while the Directive provides some guidelines it is unclear what shape the policy will take until it is made publicly available</t>
  </si>
  <si>
    <t>disk0/00/00/05/28</t>
  </si>
  <si>
    <t>US National Science Foundation (NSF)</t>
  </si>
  <si>
    <t>disk0/00/00/05/29</t>
  </si>
  <si>
    <t>US White House Office of Science &amp; Technology Policy (OSTP)</t>
  </si>
  <si>
    <t>Policy effective date is the publication date of the agency's final plan; deposit date is "a timeframe that is appropriate for each type of research conducted or sponsored by the agency"; policy applies to peer-reviewed publications and data; policy applies to final manuscript or published version; rights and waiver language was absent and likely will be addressed in the agency policies</t>
  </si>
  <si>
    <t>disk0/00/00/05/30</t>
  </si>
  <si>
    <t>USAID</t>
  </si>
  <si>
    <t>Because USAID delivered a draft policy that is still undergoing review, policy language isn't available and while the Directive provides some guidelines it is unclear what shape the policy will take until it is made publicly available</t>
  </si>
  <si>
    <t>disk0/00/00/05/32</t>
  </si>
  <si>
    <t>University of California</t>
  </si>
  <si>
    <t>Faculty vote was by the Academic Senate; “UCLA, UCI, and UCSF will begin depositing….on November 1, 2013. Progress on deposit implementation will be reviewed during the following year. Deposit of articles by faculty on the remaining campuses is expected to begin on November 1, 2014.”; policy grants a non-exclusive license</t>
  </si>
  <si>
    <t>disk0/00/00/05/33</t>
  </si>
  <si>
    <t>University of California San Francisco</t>
  </si>
  <si>
    <t>Faculty vote was by the UCSF Academic Senate; UCSF Senate endorsed the UC-wide policy but agreed to abide by UCSF pre-existing policy; policy grants a non-exclusive license</t>
  </si>
  <si>
    <t>disk0/00/00/05/34</t>
  </si>
  <si>
    <t>University of Central Florida</t>
  </si>
  <si>
    <t>Thesis mandate: policy states ETDs must be made available through the library catalog, not an IR; it is implied that the policy can't be waived, but there isn't specific language stating as much; a student can embargo their work to the university and broader community for 6 months + an additional 6 month extension at which time the work is opened to the university community, but the student can embargo the work for broader distribution for up to an additional 5 years</t>
  </si>
  <si>
    <t>http://www.graduatecatalog.ucf.edu/content/policies.aspx?id=5708#Thesis_Requirements; http://www.graduatecatalog.ucf.edu/content/policies.aspx?id=5696#Dissertation_Requirements</t>
  </si>
  <si>
    <t>disk0/00/00/05/39</t>
  </si>
  <si>
    <t>University of Chicago Illinois Urbana-Champaign</t>
  </si>
  <si>
    <t>No policy yet - the IL government passed a state-wide OA bill (http://www.ilga.gov/legislation/publicacts/fulltext.asp?Name=098-0295); the University of IL has formed a Task Force (http://www.vpaa.uillinois.edu/OpenAccess/007-nov-Open-Access-Task-Force.pdf), which will establish a policy by January 2015; details available (http://www.vpaa.uillinois.edu/OpenAccess/index.cfm)</t>
  </si>
  <si>
    <t>disk0/00/00/05/35</t>
  </si>
  <si>
    <t>University of Colorado Boulder</t>
  </si>
  <si>
    <t>Policy applies to library faculty; states that "peer-reviewed manuscript or published version" may be deposited; deposit isn't specified as mandatory, but the work that is provided is made "publicly available"; policy grants a nonexclusive license</t>
  </si>
  <si>
    <t>See also http://ucblibraries.colorado.edu/ScholarlyCommunications/oa/oaresolution.htm for a wider resolution</t>
  </si>
  <si>
    <t>disk0/00/00/07/51</t>
  </si>
  <si>
    <t>University of Delaware</t>
  </si>
  <si>
    <t>disk0/00/00/05/36</t>
  </si>
  <si>
    <t>University of Florida</t>
  </si>
  <si>
    <t>Draft policy; language is rough and isn't defined clearly yet (http://guides.uflib.ufl.edu/content.php?pid=183535&amp;sid=1705971)</t>
  </si>
  <si>
    <t>disk0/00/00/05/37</t>
  </si>
  <si>
    <t>University of Hawaii-Manoa</t>
  </si>
  <si>
    <t>The policy "grants to the University of Hawai`i at Manoa nonexclusive permission to make available his or her scholarly articles and to exercise the copyright in those articles for the purpose of open dissemination"</t>
  </si>
  <si>
    <t>Verified by Beth Tillinghast 
Email: betht@hawaii.edu
28/10/14</t>
  </si>
  <si>
    <t>disk0/00/00/05/38</t>
  </si>
  <si>
    <t>University of Illinois Chicago Circle</t>
  </si>
  <si>
    <t>Policy is limited to library faculty; "bibliographic information and an electronic copy of each article to UIC’s institutional repository [will be provided] within 30 days of publication"; policy grants a nonexclusive license</t>
  </si>
  <si>
    <t>disk0/00/00/05/40</t>
  </si>
  <si>
    <t>University of Kansas</t>
  </si>
  <si>
    <t>"faculty members will provide bibliographic information and an electronic copy of each article within 30 days of publication"; policy grants a nonexclusive license</t>
  </si>
  <si>
    <t>Verifed by Laura Ada Emmett
Email: aemmett@ku.edu
10/11/14</t>
  </si>
  <si>
    <t>disk0/00/00/05/41</t>
  </si>
  <si>
    <t>University of Kentucky</t>
  </si>
  <si>
    <t>Thesis policy: language of policy is not available, only the info page for students; "students have the option to provide free online access to their 
theses/dissertations"</t>
  </si>
  <si>
    <t>Also referenced FAQs: http://uknowledge.uky.edu/cgi/viewcontent.cgi?article=1006&amp;context=uknowledge_docs</t>
  </si>
  <si>
    <t>disk0/00/00/05/42</t>
  </si>
  <si>
    <t>University of Maryland College Park</t>
  </si>
  <si>
    <t>Thesis and dissertation policy; students can embargo for 1 or 6 years or indefinitely; policy grants a nonexclusive license</t>
  </si>
  <si>
    <t>Original policy not found, but graduate student handbook provides some information</t>
  </si>
  <si>
    <t>http://www.gradschool.umd.edu/current_students/electronic_thesis_and_dissertations_at_um.html; http://www.gradschool.umd.edu/images/uploads/ETDStyleGuide_NOV2013.pdf</t>
  </si>
  <si>
    <t>disk0/00/00/05/44</t>
  </si>
  <si>
    <t>University of North Carolina Greensboro</t>
  </si>
  <si>
    <t>Library faculty policy; submit "scholarly work" to IR "as soon as possible after acceptance for publication"; policy grants a nonexclusive license</t>
  </si>
  <si>
    <t>disk0/00/00/05/45</t>
  </si>
  <si>
    <t>University of North Florida</t>
  </si>
  <si>
    <t>"student shall electronically submit the completed thesis/dissertation to the UNF Graduate School Office along with hard copies of the license agreement and signed Certificate of Approval page by the posted deadline"; “Excepted from this policy are works produced as part of cooperative degree programs” and “works produced as part of the requirements of 
particular courses but not uniformly required for the successful completion of the requirements for 
a degree.”; policy grants a nonexclusive license</t>
  </si>
  <si>
    <t>disk0/00/00/05/46</t>
  </si>
  <si>
    <t>University of North Texas</t>
  </si>
  <si>
    <t>“The author is encouraged to make the deposit available to the public by setting access to the deposit as Open Access Immediately Upon Deposit (the default)…[but] will adjust the Open Access Immediately Upon Deposit requirement to align with the UNT Community Member’s request and/or to align with publisher’s policies regarding open access of self-archived works; policy grants a nonexclusive license</t>
  </si>
  <si>
    <t>UNT also makes theses openly available, though a more formal policy isn't available [see http://digital.library.unt.edu/explore/collections/UNTETD/]</t>
  </si>
  <si>
    <t>disk0/00/00/05/47</t>
  </si>
  <si>
    <t>University of Northern Colorado Library Faculty</t>
  </si>
  <si>
    <t>Deposit is "encouraged" at "earliest possible opportunity"</t>
  </si>
  <si>
    <t>Library faculty resolution preceeded the Faculty Senate resolution by about a year</t>
  </si>
  <si>
    <t>disk0/00/00/05/48</t>
  </si>
  <si>
    <t>University of Oregon</t>
  </si>
  <si>
    <t>disk0/00/00/05/49</t>
  </si>
  <si>
    <t>University of Oregon Department of Romance Languages</t>
  </si>
  <si>
    <t>No policy found; announcement indicates policy applies to "published research" and faculy are "directed" to deposit</t>
  </si>
  <si>
    <t>disk0/00/00/05/50</t>
  </si>
  <si>
    <t>University of Pennsylvania</t>
  </si>
  <si>
    <t>"Statement of principles" rather than a policy; faculty are "strongly encouraged" to participate; participation would includ granting a nonexclusive license</t>
  </si>
  <si>
    <t>disk0/00/00/05/51</t>
  </si>
  <si>
    <t>University of Puerto Rico School of Law</t>
  </si>
  <si>
    <t>No policy found; language of policy [per announcement] applies to law school faculty only; grants a nonexclusive license</t>
  </si>
  <si>
    <t>disk0/00/00/05/52</t>
  </si>
  <si>
    <t>University of Rhode Island</t>
  </si>
  <si>
    <t>Policy grants a nonexclusive license</t>
  </si>
  <si>
    <t>disk0/00/00/05/53</t>
  </si>
  <si>
    <t>University of Tennessee</t>
  </si>
  <si>
    <t>Embargo period of 24 months</t>
  </si>
  <si>
    <t>http://web.utk.edu/~thesis/etdpolicy.shtml; http://catalog.utk.edu/content.php?catoid=12&amp;navoid=1061#Theses_and_Dissertations</t>
  </si>
  <si>
    <t>disk0/00/00/05/54</t>
  </si>
  <si>
    <t>University of Virginia</t>
  </si>
  <si>
    <t>Verified by Ramsey, Ellen C. 
Email: ecr2c@eservices.virginia.edu
10/11/14</t>
  </si>
  <si>
    <t>disk0/00/00/05/55</t>
  </si>
  <si>
    <t>University of Wisconsin - Eau Claire: WD McIntyre Library</t>
  </si>
  <si>
    <t>Library faculty "declaration" rather than a policy; faculty "are committed to providing open access "</t>
  </si>
  <si>
    <t>disk0/00/00/05/56</t>
  </si>
  <si>
    <t>Utah State University</t>
  </si>
  <si>
    <t>Policy grants a nonexclusive license "to each of 
their scholarly articles, in any medium"; deposits are intended "to ensure the widest possible disemination"</t>
  </si>
  <si>
    <t>disk0/00/00/05/57</t>
  </si>
  <si>
    <t>Valparaiso University</t>
  </si>
  <si>
    <t>Library faculty policy; faculty submit their work "as soon as possible after acceptance for publication"; policy grants a nonexclusive license</t>
  </si>
  <si>
    <t>disk0/00/00/05/58</t>
  </si>
  <si>
    <t>Virginia Tech</t>
  </si>
  <si>
    <t>ETD policy; students have 2 weeks to submit their ETD</t>
  </si>
  <si>
    <t>Cross referenced FAQs here: http://etd.vt.edu/etdfaq.html#faq10</t>
  </si>
  <si>
    <t>disk0/00/00/05/59</t>
  </si>
  <si>
    <t>Virginia Tech Library Faculty Association</t>
  </si>
  <si>
    <t>Library facutly policy; policy states that "Each faculty member further endeavors to provide an electronic copy of other scholarly works 
for dissemination and preservation..."; "The faculty author retains copyright unless that author chooses to transfer the copyright."; policy grants a nonexclusive license</t>
  </si>
  <si>
    <t>disk0/00/00/05/60</t>
  </si>
  <si>
    <t>Wake Forest University Z Smith Reynolds Library Faculty</t>
  </si>
  <si>
    <t>Library faculty policy only; deposit made "as soon as 
possible, respecting some publishers’ requests for embargo"; policy grants a nonexclusive license</t>
  </si>
  <si>
    <t>disk0/00/00/05/61</t>
  </si>
  <si>
    <t>Wellesley College</t>
  </si>
  <si>
    <t>disk0/00/00/05/62</t>
  </si>
  <si>
    <t>West Virginia University</t>
  </si>
  <si>
    <t>Thesis policy; "Exceptions to filing electronically must be approved by the Office of the Provost"</t>
  </si>
  <si>
    <t>disk0/00/00/05/63</t>
  </si>
  <si>
    <t>Wichita State University</t>
  </si>
  <si>
    <t>Thesis policy; policy is not available, handbook provides some detail, but not much</t>
  </si>
  <si>
    <t>disk0/00/00/07/20</t>
  </si>
  <si>
    <t>Wikimedia Foundation</t>
  </si>
  <si>
    <t>disk0/00/00/06/31</t>
  </si>
  <si>
    <t>Universidad de Los Andes</t>
  </si>
  <si>
    <t>Processed by Pablo</t>
  </si>
  <si>
    <t>disk0/00/00/06/32</t>
  </si>
  <si>
    <t>Universidad de Oriente, Cumana</t>
  </si>
  <si>
    <t>disk0/00/00/07/05</t>
  </si>
  <si>
    <t>Universidad del Zulia</t>
  </si>
  <si>
    <t>disk0/00/00/00/47</t>
  </si>
  <si>
    <t>National Chung Hsing University</t>
  </si>
  <si>
    <t>RESOURCES: [1] 2010 Amendment to Copyright Law mentioned in ROARMAP &lt;http://www.wipo.int/wipolex/en/text.jsp?file_id=186569&gt; [2] 2010 Conference on IRs &lt;http://nchuir.lib.nchu.edu.tw/handle/309270000/67862&gt; [3] TAIR Copyright Conference Minutes &lt;http://tair.org.tw/explanation.jsp&gt; [4] Side by side translation of copyright law &lt;http://newmedia.cityu.edu.hk/cyberlaw/gp3/pdf/law_copyright.pdf&gt; [5] A guide for formatting ETDS states that students are required to deposit &lt;http://etds.lib.nchu.edu.tw/en/etdsystem/submit/submitLogin&gt;</t>
  </si>
  <si>
    <t>[1] Can't find the document "Copyright Announcement of National Chung Hsing University Institutional Resipotory" [2] The 2010 Copyright Amendment gives libraries the right to display and preserve a work in Section 4 - Article 22 - (8) and Section 4 also gives right to use and translate for study and teaching.</t>
  </si>
  <si>
    <t>Taiwan</t>
  </si>
  <si>
    <t>Geographical Region</t>
  </si>
  <si>
    <t>Central &amp; South America</t>
  </si>
  <si>
    <t>North America</t>
  </si>
  <si>
    <t>http://roarmap.eprints.org/775/</t>
  </si>
  <si>
    <t>http://www.univ-bouira.dz/fr/</t>
  </si>
  <si>
    <t>http://dspace.univ-bouira.dz:8080/jspui/</t>
  </si>
  <si>
    <t>http://roarmap.eprints.org/602/</t>
  </si>
  <si>
    <t>http://www.mincyt.gob.ar/</t>
  </si>
  <si>
    <t>http://roarmap.eprints.org/604/</t>
  </si>
  <si>
    <t>http://www.unlp.edu.ar/</t>
  </si>
  <si>
    <t>http://sedici.unlp.edu.ar/bitstream/handle/10915/18184/Documento_completo.pdf?sequence=1</t>
  </si>
  <si>
    <t>http://sedici.unlp.edu.ar/</t>
  </si>
  <si>
    <t>http://roarmap.eprints.org/605/</t>
  </si>
  <si>
    <t>http://eco.mdp.edu.ar/</t>
  </si>
  <si>
    <t>http://nulan.mdp.edu.ar/2031/</t>
  </si>
  <si>
    <t>http://nulan.mdp.edu.ar/</t>
  </si>
  <si>
    <t>http://roarmap.eprints.org/565/</t>
  </si>
  <si>
    <t>http://www.anu.edu.au/</t>
  </si>
  <si>
    <t>https://policies.anu.edu.au/ppl/document/ANUP_008802</t>
  </si>
  <si>
    <t>https://digitalcollections.anu.edu.au/</t>
  </si>
  <si>
    <t>http://roarmap.eprints.org/566/</t>
  </si>
  <si>
    <t>http://www.arc.gov.au/</t>
  </si>
  <si>
    <t>http://www.arc.gov.au/applicants/open_access.htm</t>
  </si>
  <si>
    <t>http://roarmap.eprints.org/568/</t>
  </si>
  <si>
    <t>http://www.csu.edu.au/</t>
  </si>
  <si>
    <t>http://www.csu.edu.au/research/performance/cro/policy</t>
  </si>
  <si>
    <t>http://digitool.unilinc.edu.au/R?func=search&amp;local_base=GEN01-CSU01</t>
  </si>
  <si>
    <t>http://roarmap.eprints.org/569/</t>
  </si>
  <si>
    <t>http://www.curtin.edu.au/</t>
  </si>
  <si>
    <t>http://research.curtin.edu.au/local/docs/graduate/TE-DTGuidelines.pdf</t>
  </si>
  <si>
    <t>http://espace.library.curtin.edu.au/R?func=search&amp;local_base=gen01-era02</t>
  </si>
  <si>
    <t>http://roarmap.eprints.org/570/</t>
  </si>
  <si>
    <t>http://www.deakin.edu.au/</t>
  </si>
  <si>
    <t>http://theguide.deakin.edu.au/TheGuide/TheGuide2011.nsf/191d0d51322b3a04ca2576be00064063/7299b3cb34d37e45ca257acb002546a3?OpenDocument</t>
  </si>
  <si>
    <t>http://dro.deakin.edu.au/</t>
  </si>
  <si>
    <t>http://roarmap.eprints.org/576/</t>
  </si>
  <si>
    <t>http://www.murdoch.edu.au/</t>
  </si>
  <si>
    <t>http://our.murdoch.edu.au/Research-and-Development/Resources-for-students/Thesis/Access-to-thesis/</t>
  </si>
  <si>
    <t>http://researchrepository.murdoch.edu.au/</t>
  </si>
  <si>
    <t>http://roarmap.eprints.org/577/</t>
  </si>
  <si>
    <t>http://www.nhmrc.gov.au/</t>
  </si>
  <si>
    <t>http://www.nhmrc.gov.au/grants/policy/nhmrc-open-access-policy</t>
  </si>
  <si>
    <t>http://roarmap.eprints.org/579/</t>
  </si>
  <si>
    <t>http://www.qut.edu.au/</t>
  </si>
  <si>
    <t>http://www.mopp.qut.edu.au/F/F_01_03.jsp</t>
  </si>
  <si>
    <t>http://eprints.qut.edu.au/</t>
  </si>
  <si>
    <t>http://roarmap.eprints.org/581/</t>
  </si>
  <si>
    <t>http://www.swinburne.edu.au/</t>
  </si>
  <si>
    <t>http://www.research.swinburne.edu.au/research-students/documents/format_of_examinable_outcome.pdf</t>
  </si>
  <si>
    <t>http://researchbank.swinburne.edu.au/vital/access/manager/Index</t>
  </si>
  <si>
    <t>http://roarmap.eprints.org/582/</t>
  </si>
  <si>
    <t>http://www.adelaide.edu.au/library/</t>
  </si>
  <si>
    <t>http://www.adelaide.edu.au/graduatecentre/handbook/09-examination/09-final-form-of-thesis/</t>
  </si>
  <si>
    <t>http://digital.library.adelaide.edu.au/dspace/</t>
  </si>
  <si>
    <t>http://roarmap.eprints.org/583/</t>
  </si>
  <si>
    <t>http://www.unimelb.edu.au/</t>
  </si>
  <si>
    <t>http://gradresearch.unimelb.edu.au/exams/digital-thesis.html</t>
  </si>
  <si>
    <t>http://library.unimelb.edu.au/digitalcollections/research_collections</t>
  </si>
  <si>
    <t>http://roarmap.eprints.org/586/</t>
  </si>
  <si>
    <t>http://www.unsw.edu.au/</t>
  </si>
  <si>
    <t>http://research.unsw.edu.au/document/thesis_format_guide.pdf</t>
  </si>
  <si>
    <t>http://www.unsworks.unsw.edu.au/primo_library/libweb/action/search.do?dscnt=1&amp;dstmp=1401409982283&amp;vid=UNSWORKS&amp;fromLogin=true</t>
  </si>
  <si>
    <t>http://roarmap.eprints.org/588/</t>
  </si>
  <si>
    <t>http://www.unisa.edu.au/</t>
  </si>
  <si>
    <t>http://w3.unisa.edu.au/policies/policies/resrch/res20.asp</t>
  </si>
  <si>
    <t>http://ura.unisa.edu.au/R?RN=648171307</t>
  </si>
  <si>
    <t>http://roarmap.eprints.org/679/</t>
  </si>
  <si>
    <t>http://sydney.edu.au/</t>
  </si>
  <si>
    <t>http://sydney.edu.au/policies/showdoc.aspx?recnum=PDOC2014/367</t>
  </si>
  <si>
    <t>http://ses.library.usyd.edu.au/</t>
  </si>
  <si>
    <t>http://roarmap.eprints.org/592/</t>
  </si>
  <si>
    <t>https://www.uts.edu.au/</t>
  </si>
  <si>
    <t>http://www.gsu.uts.edu.au/policies/open-access.html</t>
  </si>
  <si>
    <t>https://opus.lib.uts.edu.au/research/</t>
  </si>
  <si>
    <t>http://roarmap.eprints.org/593/</t>
  </si>
  <si>
    <t>http://www.uwa.edu.au/</t>
  </si>
  <si>
    <t>http://www.is.uwa.edu.au/research/theses#submitting</t>
  </si>
  <si>
    <t>http://www.is.uwa.edu.au/repository/home</t>
  </si>
  <si>
    <t>http://roarmap.eprints.org/595/</t>
  </si>
  <si>
    <t>http://www.vu.edu.au/</t>
  </si>
  <si>
    <t>http://wcf.vu.edu.au/GovernancePolicy/PDF/POI041116000.PDF</t>
  </si>
  <si>
    <t>http://vuir.vu.edu.au/</t>
  </si>
  <si>
    <t>http://roarmap.eprints.org/77/</t>
  </si>
  <si>
    <t>http://www.fwf.ac.at/en/index.asp</t>
  </si>
  <si>
    <t>https://www.fwf.ac.at/en/research-funding/open-access-policy/</t>
  </si>
  <si>
    <t>http://roarmap.eprints.org/78/</t>
  </si>
  <si>
    <t>http://ist.ac.at/</t>
  </si>
  <si>
    <t>http://ist.ac.at/open-access/open-access-policy/</t>
  </si>
  <si>
    <t>https://repository.ist.ac.at/</t>
  </si>
  <si>
    <t>http://roarmap.eprints.org/83/</t>
  </si>
  <si>
    <t>http://www.academielouvain.be/redirect.php3?id=410</t>
  </si>
  <si>
    <t>http://openaccess.eprints.org/index.php?/archives/71-guid.html</t>
  </si>
  <si>
    <t>http://dial.academielouvain.be/vital/access/manager/Index?site_name=BOREAL</t>
  </si>
  <si>
    <t>http://roarmap.eprints.org/85/</t>
  </si>
  <si>
    <t>http://www.uclouvain.be/index.html</t>
  </si>
  <si>
    <t>http://dial.academielouvain.be/vital/access/manager/FAQ#q1-1</t>
  </si>
  <si>
    <t>http://roarmap.eprints.org/680/</t>
  </si>
  <si>
    <t>http://ec.europa.eu/programmes/horizon2020/en</t>
  </si>
  <si>
    <t>http://ec.europa.eu/research/participants/data/ref/h2020/grants_manual/hi/oa_pilot/h2020-hi-oa-pilot-guide_en.pdf</t>
  </si>
  <si>
    <t>http://roarmap.eprints.org/86/</t>
  </si>
  <si>
    <t>http://www.frs-fnrs.be/</t>
  </si>
  <si>
    <t>http://www.uclouvain.be/cps/ucl/doc/bspo/documents/FRS-FNRS_Reglement_OPEN_ACCESS.pdf</t>
  </si>
  <si>
    <t>http://www.frs-fnrs.be/uploaddocs/docs/SOUTENIR/FRS-FNRS_Reglement_OPEN_ACCESS.pdf</t>
  </si>
  <si>
    <t>http://roarmap.eprints.org/88/</t>
  </si>
  <si>
    <t>http://www.ugent.be/</t>
  </si>
  <si>
    <t>https://biblio.ugent.be/downloads/20121109-oa-mandaat-ugent-v2.pdf</t>
  </si>
  <si>
    <t>https://biblio.ugent.be/</t>
  </si>
  <si>
    <t>http://roarmap.eprints.org/91/</t>
  </si>
  <si>
    <t>http://www.fwo.be/</t>
  </si>
  <si>
    <t>http://www.fwo.be/en/general-regulations/</t>
  </si>
  <si>
    <t>http://roarmap.eprints.org/92/</t>
  </si>
  <si>
    <t>http://www.usaintlouis.be/</t>
  </si>
  <si>
    <t>http://roarmap.eprints.org/992/1/DIAL%20et%20OA%20CR.pdf</t>
  </si>
  <si>
    <t>http://roarmap.eprints.org/93/</t>
  </si>
  <si>
    <t>http://www.scienceeurope.org/</t>
  </si>
  <si>
    <t>http://roarmap.eprints.org/704/1/ESFmandateRec.pdf</t>
  </si>
  <si>
    <t>http://roarmap.eprints.org/84/</t>
  </si>
  <si>
    <t>https://www.uantwerpen.be/en/library/services/publishing/open-access---reposi/</t>
  </si>
  <si>
    <t>https://anet.ua.ac.be/desktop/irua/</t>
  </si>
  <si>
    <t>http://roarmap.eprints.org/94/</t>
  </si>
  <si>
    <t>http://www.ulg.ac.be/cms/c_5000/en/home</t>
  </si>
  <si>
    <t>http://orbi.ulg.ac.be/files/extrait_moniteur_CA.pdf</t>
  </si>
  <si>
    <t>http://orbi.ulg.ac.be/</t>
  </si>
  <si>
    <t>http://roarmap.eprints.org/96/</t>
  </si>
  <si>
    <t>www.umons.ac.be</t>
  </si>
  <si>
    <t>http://di.umons.ac.be/</t>
  </si>
  <si>
    <t>http://roarmap.eprints.org/97/</t>
  </si>
  <si>
    <t>https://www.unamur.be/en</t>
  </si>
  <si>
    <t>https://pure.fundp.ac.be/admin/login.xhtml</t>
  </si>
  <si>
    <t>http://roarmap.eprints.org/95/</t>
  </si>
  <si>
    <t>http://www.ulb.ac.be</t>
  </si>
  <si>
    <t>http://www.bib.ulb.ac.be/fr/bibliotheque-electronique/depot-institutionnel-di-fusion/contexte-et-objectifs/index.html#c12738</t>
  </si>
  <si>
    <t>http://difusion.ulb.ac.be</t>
  </si>
  <si>
    <t>http://roarmap.eprints.org/607/</t>
  </si>
  <si>
    <t>http://www2.camara.leg.br/</t>
  </si>
  <si>
    <t>http://www.camara.gov.br/sileg/integras/461698.pdf</t>
  </si>
  <si>
    <t>http://roarmap.eprints.org/608/</t>
  </si>
  <si>
    <t>http://www.ensp.fiocruz.br/</t>
  </si>
  <si>
    <t>http://roarmap.eprints.org/700/1/portaria_acesso.pdf</t>
  </si>
  <si>
    <t>http://www6.ensp.fiocruz.br/repositorio/</t>
  </si>
  <si>
    <t>http://roarmap.eprints.org/622/</t>
  </si>
  <si>
    <t>https://portal.fiocruz.br/pt-br</t>
  </si>
  <si>
    <t>https://portal.fiocruz.br/sites/portal.fiocruz.br/files/documentos/portaria_-_politica_de_acesso_aberto_ao_conhecimento_na_fiocruz.pdf</t>
  </si>
  <si>
    <t>http://www.arca.fiocruz.br/</t>
  </si>
  <si>
    <t>http://roarmap.eprints.org/615/</t>
  </si>
  <si>
    <t>https://www.ufba.br/</t>
  </si>
  <si>
    <t>https://repositorio.ufba.br/ri/about/politica%20institucional.pdf</t>
  </si>
  <si>
    <t>https://repositorio.ufba.br/ri/</t>
  </si>
  <si>
    <t>http://roarmap.eprints.org/619/</t>
  </si>
  <si>
    <t>http://www.ufop.br/</t>
  </si>
  <si>
    <t>http://www.proad.ufop.br/cgp/arquivos/boletins/2013/Boletim_Administrativo_n_64_2013.pdf</t>
  </si>
  <si>
    <t>http://www.repositorio.ufop.br/</t>
  </si>
  <si>
    <t>http://roarmap.eprints.org/610/</t>
  </si>
  <si>
    <t>http://www.ufs.br/</t>
  </si>
  <si>
    <t>https://ri.ufs.br/files/politica-ri-ufs.pdf</t>
  </si>
  <si>
    <t>https://ri.ufs.br/</t>
  </si>
  <si>
    <t>http://roarmap.eprints.org/616/</t>
  </si>
  <si>
    <t>http://www.ufc.br/</t>
  </si>
  <si>
    <t>http://www.repositorio.ufc.br/ri/sobre/Resolucao02_Consuni_2011.pdf</t>
  </si>
  <si>
    <t>http://www.repositorio.ufc.br/</t>
  </si>
  <si>
    <t>http://roarmap.eprints.org/612/</t>
  </si>
  <si>
    <t>http://www.furg.br/</t>
  </si>
  <si>
    <t>http://roarmap.eprints.org/434/1/PII___FURG.pdf</t>
  </si>
  <si>
    <t>http://repositorio.furg.br/</t>
  </si>
  <si>
    <t>http://roarmap.eprints.org/617/</t>
  </si>
  <si>
    <t>http://www.ufrn.br/</t>
  </si>
  <si>
    <t>http://repositorio.ufrn.br:8080/jspui/sobre/resolucao_592010_consepe_riufrn.pdf</t>
  </si>
  <si>
    <t>http://repositorio.ufrn.br:8080/jspui/</t>
  </si>
  <si>
    <t>http://roarmap.eprints.org/611/</t>
  </si>
  <si>
    <t>http://www.ufrgs.br/</t>
  </si>
  <si>
    <t>http://roarmap.eprints.org/468/1/Portaria-5068.pdf</t>
  </si>
  <si>
    <t>http://www.lume.ufrgs.br/</t>
  </si>
  <si>
    <t>http://roarmap.eprints.org/620/</t>
  </si>
  <si>
    <t>http://www.utfpr.edu.br/londrina</t>
  </si>
  <si>
    <t>http://repositorio.utfpr.edu.br/jspui/sobre/politica_repositorio_1.pdf</t>
  </si>
  <si>
    <t>http://repositorio.utfpr.edu.br/jspui/</t>
  </si>
  <si>
    <t>http://roarmap.eprints.org/613/</t>
  </si>
  <si>
    <t>http://www.unb.br/</t>
  </si>
  <si>
    <t>http://repositorio.unb.br/termo/resolucao.pdf</t>
  </si>
  <si>
    <t>http://repositorio.unb.br/</t>
  </si>
  <si>
    <t>http://roarmap.eprints.org/614/</t>
  </si>
  <si>
    <t>http://www5.usp.br/</t>
  </si>
  <si>
    <t>http://www.producao.usp.br/page/politicaAcessoEnUS</t>
  </si>
  <si>
    <t>http://www.producao.usp.br</t>
  </si>
  <si>
    <t>http://roarmap.eprints.org/81/</t>
  </si>
  <si>
    <t>http://www.bntu.by/sclibrary.html</t>
  </si>
  <si>
    <t>http://rep.bntu.by/</t>
  </si>
  <si>
    <t>http://roarmap.eprints.org/82/</t>
  </si>
  <si>
    <t>http://www.bsu.by/</t>
  </si>
  <si>
    <t>http://roarmap.eprints.org/1001/1/%D0%9F%D0%BE%D0%BB%D0%BE%D0%B6%D0%B5%D0%BD%D0%B8%D0%B5%20%D0%BE%D0%B1%20%D0%AD%D0%91%20%D0%91%D0%93%D0%A3.pdf</t>
  </si>
  <si>
    <t>http://elib.bsu.by/</t>
  </si>
  <si>
    <t>http://roarmap.eprints.org/415/</t>
  </si>
  <si>
    <t>http://www.brocku.ca/</t>
  </si>
  <si>
    <t>http://brocku.ca/graduate-studies/current-students/thesis/e-thesis-submission</t>
  </si>
  <si>
    <t>https://dr.library.brocku.ca/</t>
  </si>
  <si>
    <t>http://roarmap.eprints.org/417/</t>
  </si>
  <si>
    <t>http://www.cancer.ca/</t>
  </si>
  <si>
    <t>http://www.cancer.ca/en/research/policies-and-administration/policies/open-access-policy/</t>
  </si>
  <si>
    <t>http://opendepot.org/</t>
  </si>
  <si>
    <t>http://roarmap.eprints.org/418/</t>
  </si>
  <si>
    <t>http://www.cfhi-fcass.ca/</t>
  </si>
  <si>
    <t>http://www.cfhi-fcass.ca/Migrated/PDF/OpenAccesstoResearchOutputs.pdf</t>
  </si>
  <si>
    <t>http://roarmap.eprints.org/419/</t>
  </si>
  <si>
    <t>http://www.cihr-irsc.gc.ca/</t>
  </si>
  <si>
    <t>http://www.cihr-irsc.gc.ca/e/46068.html</t>
  </si>
  <si>
    <t>http://roarmap.eprints.org/423/</t>
  </si>
  <si>
    <t>http://www.heartandstroke.com/</t>
  </si>
  <si>
    <t>http://hsf.ca/research/en/hsf-open-access-research-outputs-policy-guidelines</t>
  </si>
  <si>
    <t>http://roarmap.eprints.org/425/</t>
  </si>
  <si>
    <t>http://www.mcgill.ca/library/</t>
  </si>
  <si>
    <t>http://roarmap.eprints.org/806/1/McGillLibraryOAStatement.pdf</t>
  </si>
  <si>
    <t>http://digitool.library.mcgill.ca/R/</t>
  </si>
  <si>
    <t>http://roarmap.eprints.org/428/</t>
  </si>
  <si>
    <t>http://www.nrc-cnrc.gc.ca/eng/</t>
  </si>
  <si>
    <t>http://cisti-icist.nrc-cnrc.gc.ca/obj/cisti-icist/doc/nparc/NPArC-Statement-of-Responsibilities_e.pdf</t>
  </si>
  <si>
    <t>http://nparc.cisti-icist.nrc-cnrc.gc.ca/npsi/ctrl</t>
  </si>
  <si>
    <t>http://roarmap.eprints.org/429/</t>
  </si>
  <si>
    <t>http://www.nserc-crsng.gc.ca/</t>
  </si>
  <si>
    <t>http://www.science.gc.ca/default.asp?lang=En&amp;n=F6765465-1</t>
  </si>
  <si>
    <t>http://roarmap.eprints.org/430/</t>
  </si>
  <si>
    <t>http://oicr.on.ca/</t>
  </si>
  <si>
    <t>http://oicr.on.ca//files/public/november2009cancerresearchfundpolicies.pdf</t>
  </si>
  <si>
    <t>http://roarmap.eprints.org/682/</t>
  </si>
  <si>
    <t>http://www.sshrc-crsh.gc.ca/</t>
  </si>
  <si>
    <t>http://roarmap.eprints.org/432/</t>
  </si>
  <si>
    <t>http://www.teluq.ca/</t>
  </si>
  <si>
    <t>http://benhur.teluq.uquebec.ca/~mcouture/oa/accesLibreResol-UERST.htm</t>
  </si>
  <si>
    <t>http://roarmap.eprints.org/436/</t>
  </si>
  <si>
    <t>http://www.uottawa.ca/en</t>
  </si>
  <si>
    <t>http://www.ruor.uottawa.ca/en/static/help-thesis-submission.htm</t>
  </si>
  <si>
    <t>http://www.ruor.uottawa.ca/en/</t>
  </si>
  <si>
    <t>http://roarmap.eprints.org/438/</t>
  </si>
  <si>
    <t>http://www.library.yorku.ca</t>
  </si>
  <si>
    <t>http://www.library.yorku.ca/cms/open-access/</t>
  </si>
  <si>
    <t>http://yorkspace.library.yorku.ca/</t>
  </si>
  <si>
    <t>http://roarmap.eprints.org/439/</t>
  </si>
  <si>
    <t>http://www.etsmtl.ca/</t>
  </si>
  <si>
    <t>http://espace.etsmtl.ca/</t>
  </si>
  <si>
    <t>http://roarmap.eprints.org/13/</t>
  </si>
  <si>
    <t>http://english.cas.cn</t>
  </si>
  <si>
    <t>http://english.cas.cn/Ne/CASE/201405/t20140516_121037.shtml</t>
  </si>
  <si>
    <t>http://roarmap.eprints.org/15/</t>
  </si>
  <si>
    <t>http://www.nsfc.gov.cn/publish/portal1/</t>
  </si>
  <si>
    <t>http://roarmap.eprints.org/16/</t>
  </si>
  <si>
    <t>http://english.las.cas.cn/</t>
  </si>
  <si>
    <t>http://old.nlb.by/eifl/store/file/open_access_en/142-lin-en.pdf</t>
  </si>
  <si>
    <t>http://ir.las.ac.cn/</t>
  </si>
  <si>
    <t>http://roarmap.eprints.org/625/</t>
  </si>
  <si>
    <t>http://unal.edu.co/</t>
  </si>
  <si>
    <t>http://roarmap.eprints.org/403/1/ResolucionTesis.pdf</t>
  </si>
  <si>
    <t>http://www.bdigital.unal.edu.co/</t>
  </si>
  <si>
    <t>http://roarmap.eprints.org/745/</t>
  </si>
  <si>
    <t>http://www.irb.hr/</t>
  </si>
  <si>
    <t>http://lib.irb.hr/web/hr/projekti/fulir/item/1897-rudjer_boskovic_institute-self_archiving_mandate.html</t>
  </si>
  <si>
    <t>http://fulir.irb.hr/</t>
  </si>
  <si>
    <t>http://roarmap.eprints.org/99/</t>
  </si>
  <si>
    <t>http://www.cas.cz/</t>
  </si>
  <si>
    <t>http://www.cas.cz/o_avcr/zakladni_informace/dokumenty/politika-otevreneho-pristupu.html</t>
  </si>
  <si>
    <t>http://www.cas.cz/veda_a_vyzkum/</t>
  </si>
  <si>
    <t>http://roarmap.eprints.org/674/</t>
  </si>
  <si>
    <t>http://www.utb.cz/</t>
  </si>
  <si>
    <t>http://www.utb.cz/file/46119/</t>
  </si>
  <si>
    <t>http://publikace.k.utb.cz</t>
  </si>
  <si>
    <t>http://roarmap.eprints.org/101/</t>
  </si>
  <si>
    <t>http://www.au.dk/en/</t>
  </si>
  <si>
    <t>http://www.au.dk/en/about/uni/rektorat/newsletter/2010/8/</t>
  </si>
  <si>
    <t>http://medarbejdere.au.dk/pure/</t>
  </si>
  <si>
    <t>http://roarmap.eprints.org/102/</t>
  </si>
  <si>
    <t>http://www.cbs.dk/en</t>
  </si>
  <si>
    <t>http://www.cbs.dk/files/cbs.dk/call_to_action/open_access_politik_2009.pdf</t>
  </si>
  <si>
    <t>http://www.cbs.dk/en/research/cbs-publications</t>
  </si>
  <si>
    <t>http://roarmap.eprints.org/103/</t>
  </si>
  <si>
    <t>http://ufm.dk/</t>
  </si>
  <si>
    <t>http://ufm.dk/en/research-and-innovation/cooperation-between-research-and-innovation/open-science/open-access-policy-for-public-research-councils-and-foundations?searchterm=open%0A%20%20%20%20%20%20%20%20%20%20%20%20%20%20%20access</t>
  </si>
  <si>
    <t>http://roarmap.eprints.org/105/</t>
  </si>
  <si>
    <t>http://www.norden.org/en</t>
  </si>
  <si>
    <t>http://www.norden.org/en/publications/open-access/open-access-mandate</t>
  </si>
  <si>
    <t>http://norden.diva-portal.org/smash/search.jsf</t>
  </si>
  <si>
    <t>http://roarmap.eprints.org/106/</t>
  </si>
  <si>
    <t>http://www.ruc.dk/en/</t>
  </si>
  <si>
    <t>http://rudar.ruc.dk/bitstream/1800/5149/1/Digitaliserings_arkiveringspolitik.pdf</t>
  </si>
  <si>
    <t>http://rudar.ruc.dk/</t>
  </si>
  <si>
    <t>http://roarmap.eprints.org/177/</t>
  </si>
  <si>
    <t>http://www.etag.ee/en/estonian-research-council/</t>
  </si>
  <si>
    <t>http://www.etag.ee/rahastamine/personaalne-uurimistoetus/put-taotlusvoor-2013/</t>
  </si>
  <si>
    <t>https://www.etis.ee/portaal/tTpublikatsioonid.aspx?lang=en</t>
  </si>
  <si>
    <t>http://roarmap.eprints.org/176/</t>
  </si>
  <si>
    <t>http://www.hm.ee/?1</t>
  </si>
  <si>
    <t>https://www.riigiteataja.ee/akt/119022014016</t>
  </si>
  <si>
    <t>www.etis.ee</t>
  </si>
  <si>
    <t>http://roarmap.eprints.org/108/</t>
  </si>
  <si>
    <t>http://www.arcada.fi/en</t>
  </si>
  <si>
    <t>http://www.arene.fi/data/dokumentit/52bd599d-66f6-41a9-8cb7-6e151ec677d5_open%20access%20julkilausuma.pdf</t>
  </si>
  <si>
    <t>http://www.theseus.fi/</t>
  </si>
  <si>
    <t>http://roarmap.eprints.org/109/</t>
  </si>
  <si>
    <t>http://web.centria.fi/Default.aspx</t>
  </si>
  <si>
    <t>http://roarmap.eprints.org/110/</t>
  </si>
  <si>
    <t>http://www.diak.fi/Sivut/default.aspx</t>
  </si>
  <si>
    <t>http://roarmap.eprints.org/111/</t>
  </si>
  <si>
    <t>http://www.haaga-helia.fi/en/frontpage</t>
  </si>
  <si>
    <t>http://roarmap.eprints.org/112/</t>
  </si>
  <si>
    <t>http://portal.hamk.fi/portal/page/portal/HAMK/In_English</t>
  </si>
  <si>
    <t>http://roarmap.eprints.org/113/</t>
  </si>
  <si>
    <t>http://www.humak.fi/en</t>
  </si>
  <si>
    <t>http://theseus.fi/</t>
  </si>
  <si>
    <t>http://roarmap.eprints.org/114/</t>
  </si>
  <si>
    <t>http://www.metropolia.fi/en/</t>
  </si>
  <si>
    <t>http://roarmap.eprints.org/115/</t>
  </si>
  <si>
    <t>https://www.jamk.fi/en/Home/</t>
  </si>
  <si>
    <t>http://roarmap.eprints.org/116/</t>
  </si>
  <si>
    <t>http://www.kamk.fi/en</t>
  </si>
  <si>
    <t>http://roarmap.eprints.org/117/</t>
  </si>
  <si>
    <t>http://www.lapinamk.fi/en</t>
  </si>
  <si>
    <t>http://roarmap.eprints.org/118/</t>
  </si>
  <si>
    <t>http://www.kyamk.fi/Frontpage</t>
  </si>
  <si>
    <t>http://roarmap.eprints.org/119/</t>
  </si>
  <si>
    <t>http://www.lamk.fi/english/Sivut/default.aspx</t>
  </si>
  <si>
    <t>http://roarmap.eprints.org/120/</t>
  </si>
  <si>
    <t>http://www.laurea.fi/en/pages/default.aspx</t>
  </si>
  <si>
    <t>http://roarmap.eprints.org/121/</t>
  </si>
  <si>
    <t>http://www.mamk.fi/front_page</t>
  </si>
  <si>
    <t>http://roarmap.eprints.org/122/</t>
  </si>
  <si>
    <t>http://www.karelia.fi/en/</t>
  </si>
  <si>
    <t>http://roarmap.eprints.org/123/</t>
  </si>
  <si>
    <t>http://www.novia.fi/</t>
  </si>
  <si>
    <t>http://roarmap.eprints.org/124/</t>
  </si>
  <si>
    <t>http://www.oamk.fi/english/</t>
  </si>
  <si>
    <t>http://roarmap.eprints.org/127/</t>
  </si>
  <si>
    <t>http://www.saimia.fi/en-FI/general-information</t>
  </si>
  <si>
    <t>http://roarmap.eprints.org/128/</t>
  </si>
  <si>
    <t>http://www.samk.fi/</t>
  </si>
  <si>
    <t>http://roarmap.eprints.org/129/</t>
  </si>
  <si>
    <t>http://portal.savonia.fi/amk/en/</t>
  </si>
  <si>
    <t>http://roarmap.eprints.org/130/</t>
  </si>
  <si>
    <t>http://www.seamk.fi/en</t>
  </si>
  <si>
    <t>http://roarmap.eprints.org/131/</t>
  </si>
  <si>
    <t>http://www.tamk.fi/cms/tamken.nsf</t>
  </si>
  <si>
    <t>http://roarmap.eprints.org/133/</t>
  </si>
  <si>
    <t>http://www.helsinki.fi/university/index.html</t>
  </si>
  <si>
    <t>http://www.helsinki.fi/openaccess/open%20access/english/decision260508_eng.pdf</t>
  </si>
  <si>
    <t>https://helda.helsinki.fi/</t>
  </si>
  <si>
    <t>http://roarmap.eprints.org/135/</t>
  </si>
  <si>
    <t>http://www.puv.fi/en/</t>
  </si>
  <si>
    <t>http://roarmap.eprints.org/137/</t>
  </si>
  <si>
    <t>http://www.agence-nationale-recherche.fr/suivi-bilan/sciences-humaines-et-sociales/</t>
  </si>
  <si>
    <t>http://halshs.archives-ouvertes.fr/</t>
  </si>
  <si>
    <t>http://roarmap.eprints.org/741/</t>
  </si>
  <si>
    <t>http://www.ensam.eu/</t>
  </si>
  <si>
    <t>http://sam.ensam.eu</t>
  </si>
  <si>
    <t>http://roarmap.eprints.org/634/</t>
  </si>
  <si>
    <t>http://www.eur-oceans.eu/</t>
  </si>
  <si>
    <t>http://www.eur-oceans.eu/LogosPolicies</t>
  </si>
  <si>
    <t>https://www.openaire.eu/</t>
  </si>
  <si>
    <t>http://roarmap.eprints.org/140/</t>
  </si>
  <si>
    <t>http://institut.inra.fr/en</t>
  </si>
  <si>
    <t>http://prodinra.inra.fr/?locale=en</t>
  </si>
  <si>
    <t>http://roarmap.eprints.org/141/</t>
  </si>
  <si>
    <t>http://www.inra.fr/</t>
  </si>
  <si>
    <t>http://roarmap.eprints.org/6/</t>
  </si>
  <si>
    <t>http://roarmap.eprints.org/142/</t>
  </si>
  <si>
    <t>http://www.inria.fr/en/</t>
  </si>
  <si>
    <t>http://seism.inria.fr/hal/aide/spip.php?article328&amp;lang=en</t>
  </si>
  <si>
    <t>http://hal.inria.fr/</t>
  </si>
  <si>
    <t>http://roarmap.eprints.org/143/</t>
  </si>
  <si>
    <t>http://english.inserm.fr/</t>
  </si>
  <si>
    <t>http://www.hal.inserm.fr/</t>
  </si>
  <si>
    <t>http://roarmap.eprints.org/145/</t>
  </si>
  <si>
    <t>http://www.institutnicod.org/</t>
  </si>
  <si>
    <t>http://www.eprints.org/openaccess/policysignup/fullinfo.php?inst=Institut%20Jean%20Nicod</t>
  </si>
  <si>
    <t>http://jeannicod.ccsd.cnrs.fr/</t>
  </si>
  <si>
    <t>http://roarmap.eprints.org/146/</t>
  </si>
  <si>
    <t>http://wwz.ifremer.fr/institut</t>
  </si>
  <si>
    <t>http://archimer.ifremer.fr/depot.htm</t>
  </si>
  <si>
    <t>http://archimer.ifremer.fr/default.jsp?la=en</t>
  </si>
  <si>
    <t>http://roarmap.eprints.org/147/</t>
  </si>
  <si>
    <t>http://www.psychologie.parisdescartes.fr/</t>
  </si>
  <si>
    <t>http://hal-descartes.archives-ouvertes.fr/</t>
  </si>
  <si>
    <t>http://roarmap.eprints.org/149/</t>
  </si>
  <si>
    <t>http://www.univ-angers.fr/en/index.html</t>
  </si>
  <si>
    <t>http://hal.archives-ouvertes.fr/</t>
  </si>
  <si>
    <t>http://roarmap.eprints.org/150/</t>
  </si>
  <si>
    <t>http://www.univ-lorraine.fr/</t>
  </si>
  <si>
    <t>http://bu.univ-lorraine.fr/ressources/theses-et-memoires/procedure-de-depot-final-de-votre-these-de-doctorat</t>
  </si>
  <si>
    <t>http://roarmap.eprints.org/154/</t>
  </si>
  <si>
    <t>http://www.fu-berlin.de/en</t>
  </si>
  <si>
    <t>http://www.fu-berlin.de/sites/open_access/</t>
  </si>
  <si>
    <t>http://edocs.fu-berlin.de/docs/content/below/index.xml</t>
  </si>
  <si>
    <t>http://roarmap.eprints.org/158/</t>
  </si>
  <si>
    <t>http://www.helmholtz.de/en/home/</t>
  </si>
  <si>
    <t>http://www.helmholtz.de/fileadmin/user_upload/01_forschung/2013-10-14_oa-policy-ivf_e.pdf</t>
  </si>
  <si>
    <t>http://oa.helmholtz.de/open-science-in-der-helmholtz-gemeinschaft/open-access-der-gruene-weg.html</t>
  </si>
  <si>
    <t>http://roarmap.eprints.org/17/</t>
  </si>
  <si>
    <t>http://www.polyu.edu.hk/cpa/polyu/index.php</t>
  </si>
  <si>
    <t>http://www.polyu.edu.hk/ro/newRO415.html</t>
  </si>
  <si>
    <t>http://repository.lib.polyu.edu.hk/jspui/</t>
  </si>
  <si>
    <t>http://roarmap.eprints.org/18/</t>
  </si>
  <si>
    <t>http://www.hku.hk/</t>
  </si>
  <si>
    <t>http://www.eprints.org/openaccess/policysignup/fullinfo.php?inst=The%20University%20of%20Hong%20Kong</t>
  </si>
  <si>
    <t>http://hub.hku.hk/</t>
  </si>
  <si>
    <t>http://roarmap.eprints.org/19/</t>
  </si>
  <si>
    <t>http://lib.hku.hk/</t>
  </si>
  <si>
    <t>http://hub.hku.hk/local/oaPolicy.jsp</t>
  </si>
  <si>
    <t>http://roarmap.eprints.org/178/</t>
  </si>
  <si>
    <t>http://www.kormany.hu/en</t>
  </si>
  <si>
    <t>http://roarmap.eprints.org/181/</t>
  </si>
  <si>
    <t>http://www.bifrost.is/</t>
  </si>
  <si>
    <t>http://roarmap.eprints.org/606/1/bifrostmand.pdf</t>
  </si>
  <si>
    <t>http://skemman.is/en/</t>
  </si>
  <si>
    <t>http://roarmap.eprints.org/758/</t>
  </si>
  <si>
    <t>http://www.hi.is</t>
  </si>
  <si>
    <t>http://www.hi.is/adalvefur/stefna_um_opinn_adgang</t>
  </si>
  <si>
    <t>http://www.skemman.is</t>
  </si>
  <si>
    <t>http://roarmap.eprints.org/20/</t>
  </si>
  <si>
    <t>http://www.bdu.ac.in/</t>
  </si>
  <si>
    <t>http://www.bdu.ac.in/about-ckr/</t>
  </si>
  <si>
    <t>http://roarmap.eprints.org/21/</t>
  </si>
  <si>
    <t>http://www.cgiar.org/</t>
  </si>
  <si>
    <t>http://www.cgiar.org/resources/open/</t>
  </si>
  <si>
    <t>http://roarmap.eprints.org/22/</t>
  </si>
  <si>
    <t>http://rdpp.csir.res.in/csir_acsir/Home.aspx</t>
  </si>
  <si>
    <t>http://www.csircentral.net/mandate.pdf</t>
  </si>
  <si>
    <t>http://roarmap.eprints.org/651/</t>
  </si>
  <si>
    <t>http://dst.gov.in/</t>
  </si>
  <si>
    <t>http://dst.gov.in/whats_new/whats_new14/APPROVED%20OPEN%20ACCESS%20POLICY-DBT&amp;DST(12.12.2014).pdf</t>
  </si>
  <si>
    <t>http://roarmap.eprints.org/23/</t>
  </si>
  <si>
    <t>http://www.icar.org.in/</t>
  </si>
  <si>
    <t>http://icar.org.in/en/node/6609</t>
  </si>
  <si>
    <t>http://roarmap.eprints.org/24/</t>
  </si>
  <si>
    <t>http://www.iihr.ernet.in/</t>
  </si>
  <si>
    <t>http://erepo.iihr.ernet.in/</t>
  </si>
  <si>
    <t>http://www.erepo.iihr.ernet.in/</t>
  </si>
  <si>
    <t>http://roarmap.eprints.org/28/</t>
  </si>
  <si>
    <t>http://www.mguniversity.edu/</t>
  </si>
  <si>
    <t>http://mgutheses.in/</t>
  </si>
  <si>
    <t>http://roarmap.eprints.org/29/</t>
  </si>
  <si>
    <t>http://www.nio.org/</t>
  </si>
  <si>
    <t>http://drs.nio.org/drs/index.jsp</t>
  </si>
  <si>
    <t>http://roarmap.eprints.org/30/</t>
  </si>
  <si>
    <t>http://www.nitrkl.ac.in/</t>
  </si>
  <si>
    <t>http://dspace.nitrkl.ac.in/dspace/</t>
  </si>
  <si>
    <t>http://roarmap.eprints.org/34/</t>
  </si>
  <si>
    <t>http://www.unsri.ac.id/</t>
  </si>
  <si>
    <t>http://roarmap.eprints.org/592/1/policies.html</t>
  </si>
  <si>
    <t>http://eprints.unsri.ac.id/</t>
  </si>
  <si>
    <t>http://roarmap.eprints.org/37/</t>
  </si>
  <si>
    <t>http://www.ubaya.ac.id/</t>
  </si>
  <si>
    <t>http://elib.ubaya.ac.id/index.php/repository</t>
  </si>
  <si>
    <t>http://repository.ubaya.ac.id/</t>
  </si>
  <si>
    <t>http://roarmap.eprints.org/183/</t>
  </si>
  <si>
    <t>http://www.tcd.ie/</t>
  </si>
  <si>
    <t>http://arrow.dit.ie/National_Principles_on_Open_Access_Policy_Statement.pdf</t>
  </si>
  <si>
    <t>http://www.tara.tcd.ie/</t>
  </si>
  <si>
    <t>http://roarmap.eprints.org/184/</t>
  </si>
  <si>
    <t>http://www.dit.ie</t>
  </si>
  <si>
    <t>http://arrow.dit.ie/mandate.html</t>
  </si>
  <si>
    <t>http://arrow.dit.ie/</t>
  </si>
  <si>
    <t>http://roarmap.eprints.org/185/</t>
  </si>
  <si>
    <t>http://www.hrb.ie/research-strategy-funding/policies-and-guidelines/policies/open-access/</t>
  </si>
  <si>
    <t>http://www.hrb.ie/uploads/media/HRB_Policy_on_Open_Access__1_May_2014__01.pdf</t>
  </si>
  <si>
    <t>http://roarmap.eprints.org/186/</t>
  </si>
  <si>
    <t>http://www.hea.ie/</t>
  </si>
  <si>
    <t>http://www.hea.ie/sites/default/files/national_principles_on_open_access_policy_statement_final_23_oct_2012_v1_3_0.pdf</t>
  </si>
  <si>
    <t>http://roarmap.eprints.org/187/</t>
  </si>
  <si>
    <t>http://research.ie/</t>
  </si>
  <si>
    <t>http://research.ie/sites/default/files/irc_open_access_policy_final.doc</t>
  </si>
  <si>
    <t>http://rian.ie/</t>
  </si>
  <si>
    <t>http://roarmap.eprints.org/189/</t>
  </si>
  <si>
    <t>http://www.sfi.ie/</t>
  </si>
  <si>
    <t>http://www.sfi.ie/assets/files/downloads/Funding/grant_policies/open%20access%20dec%2010.pdf</t>
  </si>
  <si>
    <t>http://roarmap.eprints.org/193/</t>
  </si>
  <si>
    <t>http://www.iss.it/</t>
  </si>
  <si>
    <t>http://dspace.iss.it/dspace/bitstream/2198/352/1/Policy_ISS_IT.pdf</t>
  </si>
  <si>
    <t>http://dspace.iss.it/dspace/</t>
  </si>
  <si>
    <t>http://roarmap.eprints.org/194/</t>
  </si>
  <si>
    <t>http://attiministeriali.miur.it/</t>
  </si>
  <si>
    <t>http://roarmap.eprints.org/1000/1/dd-23012014.aspx</t>
  </si>
  <si>
    <t>http://roarmap.eprints.org/195/</t>
  </si>
  <si>
    <t>http://web.uniroma2.it/home.php?sr=1024</t>
  </si>
  <si>
    <t>http://roarmap.eprints.org/253/</t>
  </si>
  <si>
    <t>http://dspace.uniroma2.it/dspace/index.jsp</t>
  </si>
  <si>
    <t>http://roarmap.eprints.org/196/</t>
  </si>
  <si>
    <t>http://www.luiss.it/</t>
  </si>
  <si>
    <t>http://eprints.luiss.it/</t>
  </si>
  <si>
    <t>http://roarmap.eprints.org/199/</t>
  </si>
  <si>
    <t>http://www.imtlucca.it</t>
  </si>
  <si>
    <t>http://e-theses.imtlucca.it/images/FullDepositGuide.pdf</t>
  </si>
  <si>
    <t>http://e-theses.imtlucca.it/</t>
  </si>
  <si>
    <t>http://roarmap.eprints.org/204/</t>
  </si>
  <si>
    <t>http://www.units.it/</t>
  </si>
  <si>
    <t>http://hdl.handle.net/10077/8791</t>
  </si>
  <si>
    <t>http://www.openstarts.units.it</t>
  </si>
  <si>
    <t>http://roarmap.eprints.org/229/</t>
  </si>
  <si>
    <t>http://www.unipi.it/</t>
  </si>
  <si>
    <t>http://www.unipi.it/index.php/phoca-ateneo/category/6-area-didattica-e-studenti?download=29%3Aregolamento-per-il-deposito-elettronico-degli-elaborati-finali-e-delle-tesi</t>
  </si>
  <si>
    <t>http://etd.adm.unipi.it/</t>
  </si>
  <si>
    <t>http://roarmap.eprints.org/203/</t>
  </si>
  <si>
    <t>http://www.unicattolica.it/</t>
  </si>
  <si>
    <t>http://www.unicatt.it/libraries/sbda-archivi-istituzionali-docta-tesi-di-dottorato</t>
  </si>
  <si>
    <t>http://tesionline.unicatt.it/</t>
  </si>
  <si>
    <t>http://roarmap.eprints.org/642/</t>
  </si>
  <si>
    <t>http://publicatt.unicatt.it/cms/Policy.htm</t>
  </si>
  <si>
    <t>http://publicatt.unicatt.it/</t>
  </si>
  <si>
    <t>http://roarmap.eprints.org/638/</t>
  </si>
  <si>
    <t>http://www.univpm.it/</t>
  </si>
  <si>
    <t>http://openarchive.univpm.it/jspui/</t>
  </si>
  <si>
    <t>http://roarmap.eprints.org/227/</t>
  </si>
  <si>
    <t>http://www4.uninsubria.it/on-line/home.html</t>
  </si>
  <si>
    <t>http://roarmap.eprints.org/219/</t>
  </si>
  <si>
    <t>http://www.unica.it</t>
  </si>
  <si>
    <t>http://veprints.unica.it/</t>
  </si>
  <si>
    <t>http://roarmap.eprints.org/221/</t>
  </si>
  <si>
    <t>http://www.unimi.it/</t>
  </si>
  <si>
    <t>http://www.unimi.it/ricerca/air/76762.htm</t>
  </si>
  <si>
    <t>http://air.unimi.it/</t>
  </si>
  <si>
    <t>http://roarmap.eprints.org/222/</t>
  </si>
  <si>
    <t>http://www.unimo.it</t>
  </si>
  <si>
    <t>https://morethesis.unimore.it/RegolamentoDeposito.pdf</t>
  </si>
  <si>
    <t>https://morethesis.unimore.it/</t>
  </si>
  <si>
    <t>http://roarmap.eprints.org/228/</t>
  </si>
  <si>
    <t>http://www.uniparthenope.it/</t>
  </si>
  <si>
    <t>http://roarmap.eprints.org/230/</t>
  </si>
  <si>
    <t>http://www.uniud.it/</t>
  </si>
  <si>
    <t>https://dspace-uniud.cilea.it/</t>
  </si>
  <si>
    <t>http://roarmap.eprints.org/215/</t>
  </si>
  <si>
    <t>http://www.unito.it/</t>
  </si>
  <si>
    <t>http://www.unito.it/unitoWAR/ShowBinary/FSRepo/Area_Portale_Pubblico/Documenti/R/regolamento_accesso_aperto.PDF</t>
  </si>
  <si>
    <t>http://aperto.unito.it/</t>
  </si>
  <si>
    <t>http://roarmap.eprints.org/640/</t>
  </si>
  <si>
    <t>http://www.unipr.it/</t>
  </si>
  <si>
    <t>http://dspace-unipr.cineca.it/</t>
  </si>
  <si>
    <t>http://roarmap.eprints.org/41/</t>
  </si>
  <si>
    <t>http://www.mext.go.jp/english/</t>
  </si>
  <si>
    <t>http://drf.lib.hokudai.ac.jp/drf/index.php?plugin=attach&amp;refer=ETD2013&amp;openfile=notice_en.pdf</t>
  </si>
  <si>
    <t>http://roarmap.eprints.org/762/</t>
  </si>
  <si>
    <t>http://www.kyoto-u.ac.jp/en</t>
  </si>
  <si>
    <t>http://www.kulib.kyoto-u.ac.jp/modules/content0/index.php?content_id=92&amp;ml_lang=en</t>
  </si>
  <si>
    <t>http://repository.kulib.kyoto-u.ac.jp/dspace/?locale=en</t>
  </si>
  <si>
    <t>http://roarmap.eprints.org/42/</t>
  </si>
  <si>
    <t>http://www.nitech.ac.jp/eng/</t>
  </si>
  <si>
    <t>http://drf.lib.hokudai.ac.jp/drf/index.php?plugin=attach&amp;refer=DRF-Fukushima&amp;openfile=hayashi.pdf</t>
  </si>
  <si>
    <t>http://repo.lib.nitech.ac.jp/?lang=en</t>
  </si>
  <si>
    <t>http://roarmap.eprints.org/2/</t>
  </si>
  <si>
    <t>http://www.jkuat.ac.ke</t>
  </si>
  <si>
    <t>http://www.jkuat.ac.ke/?wpdmact=process&amp;did=NjguaG90bGluaw==</t>
  </si>
  <si>
    <t>http://41.204.187.24:8080/jspui/</t>
  </si>
  <si>
    <t>http://roarmap.eprints.org/3/</t>
  </si>
  <si>
    <t>http://www.ku.ac.ke</t>
  </si>
  <si>
    <t>http://library.ku.ac.ke/wp-content/uploads/2013/01/Library-IR-Policy.pdf</t>
  </si>
  <si>
    <t>http://ir-library.ku.ac.ke/</t>
  </si>
  <si>
    <t>http://roarmap.eprints.org/656/</t>
  </si>
  <si>
    <t>http://pu.ac.ke/</t>
  </si>
  <si>
    <t>http://elibrary.pu.ac.ke/ir/</t>
  </si>
  <si>
    <t>http://roarmap.eprints.org/4/</t>
  </si>
  <si>
    <t>http://www.strathmore.edu/</t>
  </si>
  <si>
    <t>http://www.eifl.net/news/strathmore-university-open-access-policy-keny</t>
  </si>
  <si>
    <t>http://ir.library.strathmore.edu/</t>
  </si>
  <si>
    <t>http://roarmap.eprints.org/5/</t>
  </si>
  <si>
    <t>http://www.uonbi.ac.ke</t>
  </si>
  <si>
    <t>http://erepository.uonbi.ac.ke:8080/xmlui/handle/11295/7447?show=full</t>
  </si>
  <si>
    <t>http://erepository.uonbi.ac.ke</t>
  </si>
  <si>
    <t>http://roarmap.eprints.org/239/</t>
  </si>
  <si>
    <t>http://www.uni.lu</t>
  </si>
  <si>
    <t>http://roarmap.eprints.org/825/1/Mandate-ORBilu.pdf</t>
  </si>
  <si>
    <t>http://orbilu.uni.lu</t>
  </si>
  <si>
    <t>http://roarmap.eprints.org/242/</t>
  </si>
  <si>
    <t>http://w3.tue.nl/en/</t>
  </si>
  <si>
    <t>http://w3.tue.nl/en/services/library/about/openaccesscoach/oa_and_tue/tue_policy/</t>
  </si>
  <si>
    <t>http://repository.tue.nl/</t>
  </si>
  <si>
    <t>http://roarmap.eprints.org/243/</t>
  </si>
  <si>
    <t>http://www.eur.nl/english/</t>
  </si>
  <si>
    <t>http://www.eur.nl/researchmatters/open_access/eur_policy/</t>
  </si>
  <si>
    <t>http://repub.eur.nl/</t>
  </si>
  <si>
    <t>http://roarmap.eprints.org/244/</t>
  </si>
  <si>
    <t>https://www.knaw.nl/en</t>
  </si>
  <si>
    <t>https://www.knaw.nl/en/openaccess</t>
  </si>
  <si>
    <t>https://pure.knaw.nl</t>
  </si>
  <si>
    <t>http://roarmap.eprints.org/247/</t>
  </si>
  <si>
    <t>http://www.wageningenur.nl/en.htm</t>
  </si>
  <si>
    <t>http://www.wageningenur.nl/en/Expertise-Services/Facilities/Library/Expertise/Write-cite/Open-Access/policy.htm</t>
  </si>
  <si>
    <t>http://www.wageningenur.nl/en/Expertise-Services/Facilities/Library/Expertise/Find-discover/Wageningen-Yield.htm</t>
  </si>
  <si>
    <t>http://roarmap.eprints.org/597/</t>
  </si>
  <si>
    <t>https://www.auckland.ac.nz/en.html</t>
  </si>
  <si>
    <t>http://www.calendar.auckland.ac.nz/regulations/doctoral/PhD.html</t>
  </si>
  <si>
    <t>https://researchspace.auckland.ac.nz/</t>
  </si>
  <si>
    <t>http://roarmap.eprints.org/600/</t>
  </si>
  <si>
    <t>http://www.waikato.ac.nz/</t>
  </si>
  <si>
    <t>http://www.waikato.ac.nz/__data/assets/pdf_file/0007/186586/open-access-guidlines.pdf</t>
  </si>
  <si>
    <t>http://researchcommons.waikato.ac.nz/</t>
  </si>
  <si>
    <t>http://roarmap.eprints.org/601/</t>
  </si>
  <si>
    <t>http://www.victoria.ac.nz/home/</t>
  </si>
  <si>
    <t>http://www.victoria.ac.nz/documents/policy/library-and-information-systems/library-statute.pdf</t>
  </si>
  <si>
    <t>http://researcharchive.vuw.ac.nz/</t>
  </si>
  <si>
    <t>http://covenantuniversity.edu.ng/</t>
  </si>
  <si>
    <t>http://eprints.covenantuniversity.edu.ng/policies.html#.U31IKq1dWwE</t>
  </si>
  <si>
    <t>http://eprints.covenantuniversity.edu.ng/</t>
  </si>
  <si>
    <t>http://roarmap.eprints.org/248/</t>
  </si>
  <si>
    <t>http://www.kunnskapssenteret.no/</t>
  </si>
  <si>
    <t>http://hera.openrepository.com/hera/bitstream/10143/41633/7/OApolicy_NOKC_251108.pdf</t>
  </si>
  <si>
    <t>http://hera.helsebiblioteket.no/</t>
  </si>
  <si>
    <t>http://roarmap.eprints.org/249/</t>
  </si>
  <si>
    <t>http://www.regjeringen.no/nb.html?id=4</t>
  </si>
  <si>
    <t>http://www.uhr.no/documents/fra_KD_om_OA.pdf</t>
  </si>
  <si>
    <t>http://utdanning.no/</t>
  </si>
  <si>
    <t>http://roarmap.eprints.org/252/</t>
  </si>
  <si>
    <t>http://en.uit.no/inenglish</t>
  </si>
  <si>
    <t>http://uit.no/Content/375533/OA%20policy%20UiT%20141010.pdf</t>
  </si>
  <si>
    <t>http://munin.uit.no/</t>
  </si>
  <si>
    <t>http://roarmap.eprints.org/710/</t>
  </si>
  <si>
    <t>http://genesandcells.com/</t>
  </si>
  <si>
    <t>http://genesandcells.com/index.php/gnc/oai</t>
  </si>
  <si>
    <t>http://roarmap.eprints.org/734/</t>
  </si>
  <si>
    <t>http://www.upc.edu.pe</t>
  </si>
  <si>
    <t>http://repositorioacademico.upc.edu.pe/upc/PoliticaRAUPC.pdf</t>
  </si>
  <si>
    <t>http://repositorioacademico.upc.edu.pe</t>
  </si>
  <si>
    <t>http://roarmap.eprints.org/257/</t>
  </si>
  <si>
    <t>http://www.ibb.waw.pl</t>
  </si>
  <si>
    <t>http://roarmap.eprints.org/258/</t>
  </si>
  <si>
    <t>http://www.chlc.min-saude.pt/homepage.aspx?menuid=1</t>
  </si>
  <si>
    <t>http://repositorio.chlc.min-saude.pt/resources/politica_repositorio_chlc.pdf</t>
  </si>
  <si>
    <t>http://repositorio.chlc.min-saude.pt/</t>
  </si>
  <si>
    <t>http://roarmap.eprints.org/260/</t>
  </si>
  <si>
    <t>http://www.fct.pt/</t>
  </si>
  <si>
    <t>http://roarmap.eprints.org/262/</t>
  </si>
  <si>
    <t>http://www.hff.min-saude.pt/</t>
  </si>
  <si>
    <t>http://www.chuc.min-saude.pt/media/Deliberacao_CA-CHUC_nordm_25-2013.pdf</t>
  </si>
  <si>
    <t>http://rihuc.huc.min-saude.pt/</t>
  </si>
  <si>
    <t>http://roarmap.eprints.org/261/</t>
  </si>
  <si>
    <t>http://www.hff.min-saude.pt/media/content/DA_0281_T_CA_v01_-_Politica_de_Acesso_Aberto_do_Hospital_Prof_Dr_Fernando_Fonseca_EPE.pdf</t>
  </si>
  <si>
    <t>http://repositorio.hff.min-saude.pt/</t>
  </si>
  <si>
    <t>http://roarmap.eprints.org/263/</t>
  </si>
  <si>
    <t>http://www.iscte-iul.pt/home.aspx</t>
  </si>
  <si>
    <t>https://repositorio.iscte-iul.pt/</t>
  </si>
  <si>
    <t>http://roarmap.eprints.org/265/</t>
  </si>
  <si>
    <t>http://www.ipcb.pt/</t>
  </si>
  <si>
    <t>http://roarmap.eprints.org/598/3/POLITICA_MANDATORIA_FINAL.pdf</t>
  </si>
  <si>
    <t>http://repositorio.ipcb.pt/?locale=en</t>
  </si>
  <si>
    <t>http://roarmap.eprints.org/264/</t>
  </si>
  <si>
    <t>http://portal3.ipb.pt/index.php/pt/ipb</t>
  </si>
  <si>
    <t>http://www.ipb.pt/go/e852</t>
  </si>
  <si>
    <t>https://bibliotecadigital.ipb.pt/</t>
  </si>
  <si>
    <t>http://roarmap.eprints.org/270/</t>
  </si>
  <si>
    <t>http://www.universidade-autonoma.pt/</t>
  </si>
  <si>
    <t>http://repositorio.ual.pt/Pol%C3%ADtica%20de%20Dep%C3%B3sito%20de%20Publica%C3%A7%C3%B5es.pdf</t>
  </si>
  <si>
    <t>http://repositorio.ual.pt/?locale=en</t>
  </si>
  <si>
    <t>http://roarmap.eprints.org/274/</t>
  </si>
  <si>
    <t>http://www.uminho.pt/</t>
  </si>
  <si>
    <t>https://repositorium.sdum.uminho.pt/about/docs/Despacho_RT-98_2010.pdf</t>
  </si>
  <si>
    <t>https://repositorium.sdum.uminho.pt</t>
  </si>
  <si>
    <t>http://roarmap.eprints.org/276/</t>
  </si>
  <si>
    <t>http://sigarra.up.pt/up/pt/web_page.inicial</t>
  </si>
  <si>
    <t>http://repositorio.up.pt/files/Regulamentos_Open_Access.pdf</t>
  </si>
  <si>
    <t>http://roarmap.eprints.org/279/</t>
  </si>
  <si>
    <t>http://www.bsu.edu.ru/</t>
  </si>
  <si>
    <t>http://roarmap.eprints.org/877/1/%D0%BF%D1%80%D0%B8%D0%BA%D0%B0%D0%B7%20%D0%BE%D0%B1%20%D1%83%D0%BD%D0%B8%D0%B2%D0%B5%D1%80%20%D0%BC%D0%B0%D0%BD%D0%B4%D0%B0%D1%82%D0%B5.pdf</t>
  </si>
  <si>
    <t>http://roarmap.eprints.org/280/</t>
  </si>
  <si>
    <t>http://www.cemi.rssi.ru/</t>
  </si>
  <si>
    <t>http://socionet.ru/</t>
  </si>
  <si>
    <t>http://roarmap.eprints.org/281/</t>
  </si>
  <si>
    <t>http://keldysh.ru/</t>
  </si>
  <si>
    <t>http://roarmap.eprints.org/282/</t>
  </si>
  <si>
    <t>http://www.vscc.ac.ru/</t>
  </si>
  <si>
    <t>http://roarmap.eprints.org/43/</t>
  </si>
  <si>
    <t>http://www.kaust.edu.sa/</t>
  </si>
  <si>
    <t>http://libguides.kaust.edu.sa/OpenAccessPolicy</t>
  </si>
  <si>
    <t>http://repository.kaust.edu.sa/kaust/</t>
  </si>
  <si>
    <t>http://roarmap.eprints.org/44/</t>
  </si>
  <si>
    <t>http://www.a-star.edu.sg/</t>
  </si>
  <si>
    <t>http://roarmap.eprints.org/933/1/FAQ_OAR.pdf</t>
  </si>
  <si>
    <t>http://oar.a-star.edu.sg/jspui/</t>
  </si>
  <si>
    <t>http://roarmap.eprints.org/45/</t>
  </si>
  <si>
    <t>http://www.ntu.edu.sg/Pages/index.aspx</t>
  </si>
  <si>
    <t>https://www.ntu.edu.sg/library/scholarlycomm/OAmandates/Pages/NTU-OAmandate.aspx</t>
  </si>
  <si>
    <t>http://dr.ntu.edu.sg/</t>
  </si>
  <si>
    <t>http://roarmap.eprints.org/46/</t>
  </si>
  <si>
    <t>http://www.smu.edu.sg/</t>
  </si>
  <si>
    <t>http://library.smu.edu.sg/sites/default/files/library/pdf/smuopenaccesspolicy_24102013.pdf</t>
  </si>
  <si>
    <t>http://ink.library.smu.edu.sg/</t>
  </si>
  <si>
    <t>http://roarmap.eprints.org/284/</t>
  </si>
  <si>
    <t>http://www.cvtisr.sk/</t>
  </si>
  <si>
    <t>http://www.crzp.sk/crzpopacxe</t>
  </si>
  <si>
    <t>http://roarmap.eprints.org/285/</t>
  </si>
  <si>
    <t>http://www.uni-lj.si/</t>
  </si>
  <si>
    <t>http://www.uradni-list.si/1/content?id=114726#!/Dopolnitev-Statuta-Univerze-v-Ljubljani</t>
  </si>
  <si>
    <t>https://repozitorij.uni-lj.si</t>
  </si>
  <si>
    <t>http://roarmap.eprints.org/687/</t>
  </si>
  <si>
    <t>http://www.nrf.ac.za</t>
  </si>
  <si>
    <t>http://hdl.handle.net/10907/103</t>
  </si>
  <si>
    <t>http://ir.nrf.ac.za/</t>
  </si>
  <si>
    <t>http://roarmap.eprints.org/660/</t>
  </si>
  <si>
    <t>https://www.uct.ac.za/</t>
  </si>
  <si>
    <t>https://www.uct.ac.za/downloads/uct.ac.za/about/policies/UCTOpenAccessPolicy.pdf</t>
  </si>
  <si>
    <t>https://open.uct.ac.za/</t>
  </si>
  <si>
    <t>http://roarmap.eprints.org/9/</t>
  </si>
  <si>
    <t>www.up.ac.za/</t>
  </si>
  <si>
    <t>http://www.library.up.ac.za/openup/policies.htm</t>
  </si>
  <si>
    <t>http://repository.up.ac.za/</t>
  </si>
  <si>
    <t>http://roarmap.eprints.org/658/</t>
  </si>
  <si>
    <t>http://www.buse.ac.zw/</t>
  </si>
  <si>
    <t>http://digilib.buse.ac.zw:8090/xmlui/</t>
  </si>
  <si>
    <t>http://roarmap.eprints.org/659/</t>
  </si>
  <si>
    <t>http://www.msu.ac.zw/</t>
  </si>
  <si>
    <t>http://ir.msu.ac.zw:8080/jspui/</t>
  </si>
  <si>
    <t>http://roarmap.eprints.org/288/</t>
  </si>
  <si>
    <t>http://www.uchceu.es/en/</t>
  </si>
  <si>
    <t>http://roarmap.eprints.org/1016/1/politica-acceso-abierto.pdf</t>
  </si>
  <si>
    <t>http://dspace.ceu.es/</t>
  </si>
  <si>
    <t>http://roarmap.eprints.org/290/</t>
  </si>
  <si>
    <t>http://www.consorciomadrono.es/docs/declaracion_acceso_abierto.pdf</t>
  </si>
  <si>
    <t>http://www.madrid.org/cs/Satellite?pagename=ComunidadMadrid/Home</t>
  </si>
  <si>
    <t>http://www.madrimasd.org/informacionidi/convocatorias/2009/documentos/Orden_679-2009_19-02-09_Convocatoria_Ayuda_Programas_Actividades_Tecnonologia.pdf</t>
  </si>
  <si>
    <t>http://roarmap.eprints.org/291/</t>
  </si>
  <si>
    <t>http://www.mpt.gob.es/enlaces/administracion_general_del_estado</t>
  </si>
  <si>
    <t>http://roarmap.eprints.org/293/</t>
  </si>
  <si>
    <t>http://www.uc3m.es/Home</t>
  </si>
  <si>
    <t>http://hdl.handle.net/10016/17691</t>
  </si>
  <si>
    <t>http://e-archivo.uc3m.es</t>
  </si>
  <si>
    <t>http://roarmap.eprints.org/673/</t>
  </si>
  <si>
    <t>http://www.ucm.es/</t>
  </si>
  <si>
    <t>http://biblioteca.ucm.es/data/cont/docs/politica_acceso_abierto_20140527.pdf</t>
  </si>
  <si>
    <t>http://eprints.ucm.es/</t>
  </si>
  <si>
    <t>http://roarmap.eprints.org/300/</t>
  </si>
  <si>
    <t>http://www.urjc.es/</t>
  </si>
  <si>
    <t>http://eciencia.urjc.es/dspace/</t>
  </si>
  <si>
    <t>http://roarmap.eprints.org/686/</t>
  </si>
  <si>
    <t>http://www.uhu.es/index.php</t>
  </si>
  <si>
    <t>http://hdl.handle.net/10272/10023</t>
  </si>
  <si>
    <t>http://rabida.uhu.es/dspace/</t>
  </si>
  <si>
    <t>http://roarmap.eprints.org/296/</t>
  </si>
  <si>
    <t>http://www.unileon.es</t>
  </si>
  <si>
    <t>https://buleria.unileon.es/handle/10612/1850</t>
  </si>
  <si>
    <t>https://buleria.unileon.es/</t>
  </si>
  <si>
    <t>http://roarmap.eprints.org/301/</t>
  </si>
  <si>
    <t>http://www.usal.es</t>
  </si>
  <si>
    <t>http://www.agenciasinc.es/Noticias/Tesis-Proyectos-Fin-de-Masters-y-Proyectos-de-Investigacion-en-Open-Access</t>
  </si>
  <si>
    <t>http://gredos.usal.es</t>
  </si>
  <si>
    <t>http://roarmap.eprints.org/750/</t>
  </si>
  <si>
    <t>http://www.us.es/</t>
  </si>
  <si>
    <t>http://bous.us.es/2014/BOUS-04-2014/numero%204/10</t>
  </si>
  <si>
    <t>https://idus.us.es/xmlui/</t>
  </si>
  <si>
    <t>http://roarmap.eprints.org/310/</t>
  </si>
  <si>
    <t>http://www.uva.es</t>
  </si>
  <si>
    <t>http://bocyl.jcyl.es/boletines/2012/12/19/pdf/BOCYL-D-19122012-18.pdf</t>
  </si>
  <si>
    <t>http://uvadoc.uva.es</t>
  </si>
  <si>
    <t>http://roarmap.eprints.org/303/</t>
  </si>
  <si>
    <t>http://www.uab.cat/</t>
  </si>
  <si>
    <t>http://ddd.uab.cat/record/89641</t>
  </si>
  <si>
    <t>http://ddd.uab.cat</t>
  </si>
  <si>
    <t>http://roarmap.eprints.org/304/</t>
  </si>
  <si>
    <t>http://www.uoc.edu/portal/en/index.html</t>
  </si>
  <si>
    <t>http://openaccess.uoc.edu/webapps/o2/bitstream/10609/4966/8/InstitucionalMandateUOC_eng.pdf</t>
  </si>
  <si>
    <t>http://openaccess.uoc.edu/webapps/o2/</t>
  </si>
  <si>
    <t>http://roarmap.eprints.org/308/</t>
  </si>
  <si>
    <t>http://www.upf.edu/</t>
  </si>
  <si>
    <t>http://roarmap.eprints.org/428/1/politica_AO_UPF.pdf</t>
  </si>
  <si>
    <t>http://repositori.upf.edu/</t>
  </si>
  <si>
    <t>http://roarmap.eprints.org/312/</t>
  </si>
  <si>
    <t>http://www.bth.se/eng</t>
  </si>
  <si>
    <t>http://www.bth.se/fou/forskinfo.nsf/textpages/bth-oa-policy</t>
  </si>
  <si>
    <t>http://www.bth.se/fou</t>
  </si>
  <si>
    <t>http://roarmap.eprints.org/313/</t>
  </si>
  <si>
    <t>http://www.chalmers.se/en/Pages/default.aspx</t>
  </si>
  <si>
    <t>http://www.chalmers.se/en/about-chalmers/policies-and-rules/Pages/open-access-policy.aspx</t>
  </si>
  <si>
    <t>http://publications.lib.chalmers.se/</t>
  </si>
  <si>
    <t>http://roarmap.eprints.org/316/</t>
  </si>
  <si>
    <t>http://www.mah.se/english</t>
  </si>
  <si>
    <t>http://www.mah.se/bit/press/openaccess_eng</t>
  </si>
  <si>
    <t>http://dspace.mah.se/</t>
  </si>
  <si>
    <t>http://roarmap.eprints.org/317/</t>
  </si>
  <si>
    <t>http://www.su.se/</t>
  </si>
  <si>
    <t>http://www.sub.su.se/home/publish/open-access.aspx</t>
  </si>
  <si>
    <t>http://su.diva-portal.org/smash/search.jsf</t>
  </si>
  <si>
    <t>http://roarmap.eprints.org/318/</t>
  </si>
  <si>
    <t>http://www.kb.se/hjalp/english/</t>
  </si>
  <si>
    <t>http://www.kb.se/OpenAccess_english/OA-News/Open-Access-policy-for-the-National-Library-of-Sweden/</t>
  </si>
  <si>
    <t>http://www.kb.se/</t>
  </si>
  <si>
    <t>http://roarmap.eprints.org/319/</t>
  </si>
  <si>
    <t>http://www.formas.se/en/</t>
  </si>
  <si>
    <t>http://www.formas.se/Global/Handbook%20english/140306_Formas_Handbook_2014.pdf</t>
  </si>
  <si>
    <t>http://roarmap.eprints.org/320/</t>
  </si>
  <si>
    <t>http://www.vr.se/</t>
  </si>
  <si>
    <t>http://bit.ly/cbc8r6</t>
  </si>
  <si>
    <t>http://roarmap.eprints.org/321/</t>
  </si>
  <si>
    <t>http://www.umu.se/</t>
  </si>
  <si>
    <t>http://www.ub.umu.se/en/about/news/open-access-policy-umea-university</t>
  </si>
  <si>
    <t>http://umu.diva-portal.org/smash/search.jsf</t>
  </si>
  <si>
    <t>http://roarmap.eprints.org/322/</t>
  </si>
  <si>
    <t>http://www.hb.se/en/</t>
  </si>
  <si>
    <t>http://www.hb.se/en/Library/Research-support/Publish/Rectors-resolution-on-publishing/</t>
  </si>
  <si>
    <t>http://bada.hb.se/</t>
  </si>
  <si>
    <t>http://roarmap.eprints.org/323/</t>
  </si>
  <si>
    <t>https://www.ethz.ch/de.html</t>
  </si>
  <si>
    <t>http://www.open-access.ethz.ch/oazurich/policy_EN</t>
  </si>
  <si>
    <t>http://e-collection.library.ethz.ch/</t>
  </si>
  <si>
    <t>http://roarmap.eprints.org/324/</t>
  </si>
  <si>
    <t>http://www.snf.ch/en/Pages/default.aspx</t>
  </si>
  <si>
    <t>http://www.snf.ch/SiteCollectionDocuments/Dossiers/dos_OA_regelung_auf_einen_blick_e.pdf</t>
  </si>
  <si>
    <t>http://www.snf.ch/en/Search/Pages/default.aspx?k=repository</t>
  </si>
  <si>
    <t>http://roarmap.eprints.org/325/</t>
  </si>
  <si>
    <t>http://www.unibas.ch/</t>
  </si>
  <si>
    <t>http://www.ub.unibas.ch/en/ub-hauptbibliothek/dienstleistungen/publizieren/open-access/open-access-policy/</t>
  </si>
  <si>
    <t>http://edoc.unibas.ch/</t>
  </si>
  <si>
    <t>http://roarmap.eprints.org/326/</t>
  </si>
  <si>
    <t>http://www.unibe.ch/</t>
  </si>
  <si>
    <t>http://boris.unibe.ch/</t>
  </si>
  <si>
    <t>http://roarmap.eprints.org/328/</t>
  </si>
  <si>
    <t>http://www.unisg.ch/</t>
  </si>
  <si>
    <t>https://www.alexandria.unisg.ch/Open-Access-at-the-University-of-St-Gallen</t>
  </si>
  <si>
    <t>http://www.unisg.ch/en/forschung/forschungsplattformalexandria</t>
  </si>
  <si>
    <t>http://roarmap.eprints.org/329/</t>
  </si>
  <si>
    <t>http://www.uzh.ch/index.html</t>
  </si>
  <si>
    <t>http://www.oai.uzh.ch/en/working-with-zora/regulations/guidelines</t>
  </si>
  <si>
    <t>http://www.zora.unizh.ch/</t>
  </si>
  <si>
    <t>http://roarmap.eprints.org/63/</t>
  </si>
  <si>
    <t>http://en.bingol.edu.tr/</t>
  </si>
  <si>
    <t>http://www.bingol.edu.tr/media/163822/BiNGoL-uNiVERSiTESi-AciK-ERisiM-POLiTiKASi.pdf</t>
  </si>
  <si>
    <t>http://acikerisim.bingol.edu.tr:8080/xmlui</t>
  </si>
  <si>
    <t>http://roarmap.eprints.org/51/</t>
  </si>
  <si>
    <t>http://www.dogus.edu.tr/en/</t>
  </si>
  <si>
    <t>http://openaccess.dogus.edu.tr:8080/dokumanlar/oa_politika.html</t>
  </si>
  <si>
    <t>http://openaccess.dogus.edu.tr:8080/xmlui/</t>
  </si>
  <si>
    <t>http://roarmap.eprints.org/62/</t>
  </si>
  <si>
    <t>http://www.eng.duzce.edu.tr/</t>
  </si>
  <si>
    <t>http://roarmap.eprints.org/72/</t>
  </si>
  <si>
    <t>http://www.gantep.edu.tr/en/</t>
  </si>
  <si>
    <t>http://roarmap.eprints.org/67/</t>
  </si>
  <si>
    <t>http://www.igdir.edu.tr/en/default.aspx</t>
  </si>
  <si>
    <t>http://roarmap.eprints.org/771/</t>
  </si>
  <si>
    <t>http://sehir.edu.tr/Pages/anasayfa.aspx</t>
  </si>
  <si>
    <t>http://www.sehir.edu.tr/en/Pages/Library/Sehir_Repository_Policy.aspx</t>
  </si>
  <si>
    <t>http://earsiv.sehir.edu.tr:8080/xmlui/</t>
  </si>
  <si>
    <t>http://roarmap.eprints.org/49/</t>
  </si>
  <si>
    <t>http://www.iyte.edu.tr/</t>
  </si>
  <si>
    <t>http://library.iyte.edu.tr/dosya/AcikErisim.pdf</t>
  </si>
  <si>
    <t>http://openaccess.iyte.edu.tr:8080/xmlui/</t>
  </si>
  <si>
    <t>http://roarmap.eprints.org/50/</t>
  </si>
  <si>
    <t>http://www.metu.edu.tr/</t>
  </si>
  <si>
    <t>http://etd.lib.metu.edu.tr/oai</t>
  </si>
  <si>
    <t>http://roarmap.eprints.org/65/</t>
  </si>
  <si>
    <t>http://www.sinop.edu.tr/</t>
  </si>
  <si>
    <t>http://roarmap.eprints.org/53/</t>
  </si>
  <si>
    <t>http://www.tedankara.k12.tr/public/english/</t>
  </si>
  <si>
    <t>http://tedprints.tedankara.k12.tr/policies.html</t>
  </si>
  <si>
    <t>http://tedprints.tedankara.k12.tr/</t>
  </si>
  <si>
    <t>http://roarmap.eprints.org/55/</t>
  </si>
  <si>
    <t>http://www.yalova.edu.tr/</t>
  </si>
  <si>
    <t>http://dspace.yalova.edu.tr/bitstream/handle/123456789/8/acikerisim.pdf?sequence=1</t>
  </si>
  <si>
    <t>http://dspace.yalova.edu.tr/</t>
  </si>
  <si>
    <t>http://roarmap.eprints.org/330/</t>
  </si>
  <si>
    <t>http://donntu.edu.ua</t>
  </si>
  <si>
    <t>http://roarmap.eprints.org/607/1/prikaz.jpg</t>
  </si>
  <si>
    <t>http://ea.donntu.edu.ua:8080/jspui/</t>
  </si>
  <si>
    <t>http://roarmap.eprints.org/332/</t>
  </si>
  <si>
    <t>http://www.knmu.kharkov.ua/</t>
  </si>
  <si>
    <t>http://roarmap.eprints.org/531/</t>
  </si>
  <si>
    <t>http://repo.knmu.edu.ua/</t>
  </si>
  <si>
    <t>http://roarmap.eprints.org/664/</t>
  </si>
  <si>
    <t>http://repository.kpi.kharkov.ua</t>
  </si>
  <si>
    <t>http://www.kpi.kharkov.ua</t>
  </si>
  <si>
    <t>http://library.kpi.kharkov.ua</t>
  </si>
  <si>
    <t>http://roarmap.eprints.org/336/</t>
  </si>
  <si>
    <t>http://www.sumdu.edu.ua/ukr/</t>
  </si>
  <si>
    <t>http://essuir.sumdu.edu.ua/position.jsp</t>
  </si>
  <si>
    <t>http://essuir.sumdu.edu.ua</t>
  </si>
  <si>
    <t>http://roarmap.eprints.org/339/</t>
  </si>
  <si>
    <t>http://www.tntu.edu.ua/</t>
  </si>
  <si>
    <t>http://roarmap.eprints.org/125/</t>
  </si>
  <si>
    <t>http://elartu.tntu.edu.ua/</t>
  </si>
  <si>
    <t>http://roarmap.eprints.org/337/</t>
  </si>
  <si>
    <t>http://vsau.org</t>
  </si>
  <si>
    <t>http://roarmap.eprints.org/952/</t>
  </si>
  <si>
    <t>http://repository.vsau.org</t>
  </si>
  <si>
    <t>http://roarmap.eprints.org/338/</t>
  </si>
  <si>
    <t>http://snu.edu.ua/</t>
  </si>
  <si>
    <t>http://roarmap.eprints.org/501/</t>
  </si>
  <si>
    <t>http://dspace.snu.edu.ua:8080/jspui/</t>
  </si>
  <si>
    <t>http://roarmap.eprints.org/340/</t>
  </si>
  <si>
    <t>http://www.aber.ac.uk</t>
  </si>
  <si>
    <t>http://www.aber.ac.uk/en/is/help/openaccess/publish/</t>
  </si>
  <si>
    <t>http://cadair.aber.ac.uk/dspace/</t>
  </si>
  <si>
    <t>http://roarmap.eprints.org/341/</t>
  </si>
  <si>
    <t>http://www.arthritisresearchuk.org/</t>
  </si>
  <si>
    <t>http://www.arthritisresearchuk.org/research/our-research-policies/open-access-policy.aspx</t>
  </si>
  <si>
    <t>http://europepmc.org/</t>
  </si>
  <si>
    <t>http://roarmap.eprints.org/342/</t>
  </si>
  <si>
    <t>http://www.ahrc.ac.uk/Pages/Home.aspx</t>
  </si>
  <si>
    <t>http://www.rcuk.ac.uk/RCUK-prod/assets/documents/documents/RCUKOpenAccessPolicy.pdf</t>
  </si>
  <si>
    <t>http://roarmap.eprints.org/343/</t>
  </si>
  <si>
    <t>http://www.aston.ac.uk/</t>
  </si>
  <si>
    <t>http://www.aston.ac.uk/library/additional-information-for/aston-authors/astons-open-access-policy/</t>
  </si>
  <si>
    <t>https://research.aston.ac.uk/portal/</t>
  </si>
  <si>
    <t>http://roarmap.eprints.org/344/</t>
  </si>
  <si>
    <t>http://www.bangor.ac.uk/</t>
  </si>
  <si>
    <t>http://www.bangor.ac.uk/library/resources/documents/Bangor-University-Publications-Policy-02-1D.pdf</t>
  </si>
  <si>
    <t>http://dspace.bangor.ac.uk/dspace/</t>
  </si>
  <si>
    <t>http://roarmap.eprints.org/730/</t>
  </si>
  <si>
    <t>http://www.bathspa.ac.uk/</t>
  </si>
  <si>
    <t>http://www.bathspa.ac.uk/regulations/open-access-policy</t>
  </si>
  <si>
    <t>http://researchspace.bathspa.ac.uk/</t>
  </si>
  <si>
    <t>http://roarmap.eprints.org/345/</t>
  </si>
  <si>
    <t>http://www.bbsrc.ac.uk/home/home.aspx</t>
  </si>
  <si>
    <t>http://roarmap.eprints.org/347/</t>
  </si>
  <si>
    <t>http://www.bbk.ac.uk/law/</t>
  </si>
  <si>
    <t>http://www.bbk.ac.uk/lib/elib/BIROn/mandate-to-deposit</t>
  </si>
  <si>
    <t>http://eprints.bbk.ac.uk/</t>
  </si>
  <si>
    <t>http://roarmap.eprints.org/346/</t>
  </si>
  <si>
    <t>http://www.bbk.ac.uk/front-page</t>
  </si>
  <si>
    <t>http://roarmap.eprints.org/728/</t>
  </si>
  <si>
    <t>http://www.breastcancercampaign.org/</t>
  </si>
  <si>
    <t>http://www.breastcancercampaign.org/documents/research/open-access-policy-sept2014-update.pdf</t>
  </si>
  <si>
    <t>http://roarmap.eprints.org/348/</t>
  </si>
  <si>
    <t>http://www.bhf.org.uk/#&amp;panel1-2</t>
  </si>
  <si>
    <t>http://www.bhf.org.uk/research/research-grants/managing-your-grant/open-access-policy.aspx</t>
  </si>
  <si>
    <t>http://roarmap.eprints.org/349/</t>
  </si>
  <si>
    <t>http://www.brunel.ac.uk/</t>
  </si>
  <si>
    <t>http://www.brunel.ac.uk/__data/assets/pdf_file/0007/384235/research-integrity-code.pdf</t>
  </si>
  <si>
    <t>http://bura.brunel.ac.uk/</t>
  </si>
  <si>
    <t>http://roarmap.eprints.org/351/</t>
  </si>
  <si>
    <t>http://www.cancerresearchuk.org/</t>
  </si>
  <si>
    <t>http://www.cancerresearchuk.org/funding-for-researchers/applying-for-funding/policies-that-affect-your-grant/policy-on-open-access-and-pubmed-central</t>
  </si>
  <si>
    <t>http://roarmap.eprints.org/689/</t>
  </si>
  <si>
    <t>http://www.canterbury.ac.uk/</t>
  </si>
  <si>
    <t>http://www.canterbury.ac.uk/centres/red/open-access/open-access-policy-CCCU-Feb2015.pdf</t>
  </si>
  <si>
    <t>http://create.canterbury.ac.uk/</t>
  </si>
  <si>
    <t>http://roarmap.eprints.org/744/</t>
  </si>
  <si>
    <t>http://www.cardiff.ac.uk</t>
  </si>
  <si>
    <t>http://www.cardiff.ac.uk/insrv/forresearchers/openaccess/policy/index.html</t>
  </si>
  <si>
    <t>http://orca.cf.ac.uk/</t>
  </si>
  <si>
    <t>http://roarmap.eprints.org/352/</t>
  </si>
  <si>
    <t>http://www.cso.scot.nhs.uk/</t>
  </si>
  <si>
    <t>http://www.cso.scot.nhs.uk/about/publications/cso-open-access-policy/compliance-with-cso-open-access-policy/</t>
  </si>
  <si>
    <t>http://roarmap.eprints.org/353/</t>
  </si>
  <si>
    <t>http://www.city.ac.uk/</t>
  </si>
  <si>
    <t>http://www.city.ac.uk/research/research/support-for-staff/open-access-to-research</t>
  </si>
  <si>
    <t>http://openaccess.city.ac.uk/</t>
  </si>
  <si>
    <t>http://roarmap.eprints.org/354/</t>
  </si>
  <si>
    <t>http://www.coventry.ac.uk/life-on-campus/faculties-and-schools/coventry-school-of-art-and-design/departments/media/</t>
  </si>
  <si>
    <t>https://curve.coventry.ac.uk/open/access/home.do</t>
  </si>
  <si>
    <t>http://roarmap.eprints.org/357/</t>
  </si>
  <si>
    <t>http://www.dmu.ac.uk</t>
  </si>
  <si>
    <t>http://www.dmu.ac.uk/documents/research-documents/research-support/doramandaterevisedmarch13.docx</t>
  </si>
  <si>
    <t>https://www.dora.dmu.ac.uk/</t>
  </si>
  <si>
    <t>http://roarmap.eprints.org/356/</t>
  </si>
  <si>
    <t>https://www.gov.uk/government/organisations/department-of-health</t>
  </si>
  <si>
    <t>http://roarmap.eprints.org/729/</t>
  </si>
  <si>
    <t>http://www.diabetes.org.uk/</t>
  </si>
  <si>
    <t>http://www.diabetes.org.uk/Research/For-researchers/Apply-for-a-grant/Grant-conditions/</t>
  </si>
  <si>
    <t>http://roarmap.eprints.org/358/</t>
  </si>
  <si>
    <t>https://www.dur.ac.uk/</t>
  </si>
  <si>
    <t>http://dro.dur.ac.uk/du_oa_policy_summary.pdf</t>
  </si>
  <si>
    <t>http://dro.dur.ac.uk/</t>
  </si>
  <si>
    <t>http://roarmap.eprints.org/359/</t>
  </si>
  <si>
    <t>http://www.esrc.ac.uk/</t>
  </si>
  <si>
    <t>http://www.esrc.ac.uk/research/research-catalogue/index.aspx</t>
  </si>
  <si>
    <t>http://roarmap.eprints.org/360/</t>
  </si>
  <si>
    <t>http://www.epsrc.ac.uk/Pages/default.aspx</t>
  </si>
  <si>
    <t>http://roarmap.eprints.org/361/</t>
  </si>
  <si>
    <t>http://www.falmouth.ac.uk/</t>
  </si>
  <si>
    <t>http://www.falmouth.ac.uk/repository/policies</t>
  </si>
  <si>
    <t>http://roarmap.eprints.org/362/</t>
  </si>
  <si>
    <t>http://www.hefce.ac.uk/</t>
  </si>
  <si>
    <t>https://www.hefce.ac.uk/pubs/year/2014/201407/name,86771,en.html</t>
  </si>
  <si>
    <t>http://roarmap.eprints.org/363/</t>
  </si>
  <si>
    <t>http://www3.imperial.ac.uk/</t>
  </si>
  <si>
    <t>http://www3.imperial.ac.uk/library/subjectsandsupport/spiral/oamandate</t>
  </si>
  <si>
    <t>http://www3.imperial.ac.uk/library/subjectsandsupport/spiral</t>
  </si>
  <si>
    <t>http://roarmap.eprints.org/690/</t>
  </si>
  <si>
    <t>http://www.kcl.ac.uk/index.aspx</t>
  </si>
  <si>
    <t>http://www.kcl.ac.uk/college/policyzone/assets/files/information_policies/Kings_Open_Access_Policy.pdf</t>
  </si>
  <si>
    <t>https://kclpure.kcl.ac.uk/portal/en/</t>
  </si>
  <si>
    <t>http://roarmap.eprints.org/365/</t>
  </si>
  <si>
    <t>http://www.lancaster.ac.uk/</t>
  </si>
  <si>
    <t>http://lancaster.libguides.com/loader.php?type=d&amp;id=702037</t>
  </si>
  <si>
    <t>http://eprints.lancs.ac.uk/</t>
  </si>
  <si>
    <t>http://roarmap.eprints.org/727/</t>
  </si>
  <si>
    <t>https://leukaemialymphomaresearch.org.uk</t>
  </si>
  <si>
    <t>https://leukaemialymphomaresearch.org.uk/node/58188</t>
  </si>
  <si>
    <t>http://roarmap.eprints.org/366/</t>
  </si>
  <si>
    <t>http://www.lboro.ac.uk/</t>
  </si>
  <si>
    <t>http://www.lboro.ac.uk/media/wwwlboroacuk/content/library/downloads/researchsupport/Lboro-OA-Policy.pdf</t>
  </si>
  <si>
    <t>https://dspace.lboro.ac.uk/dspace-jspui/</t>
  </si>
  <si>
    <t>http://roarmap.eprints.org/692/</t>
  </si>
  <si>
    <t>http://www2.mmu.ac.uk/</t>
  </si>
  <si>
    <t>http://libguides.mmu.ac.uk/openaccess/policy</t>
  </si>
  <si>
    <t>http://www.e-space.mmu.ac.uk/e-space/</t>
  </si>
  <si>
    <t>http://roarmap.eprints.org/367/</t>
  </si>
  <si>
    <t>http://www.mariecurie.org.uk/</t>
  </si>
  <si>
    <t>http://www.mariecurie.org.uk/Global/Research/Open-Access-policy-March_2014.pdf</t>
  </si>
  <si>
    <t>http://roarmap.eprints.org/368/</t>
  </si>
  <si>
    <t>http://www.mrc.ac.uk/index.htm</t>
  </si>
  <si>
    <t>http://roarmap.eprints.org/369/</t>
  </si>
  <si>
    <t>http://www.mdx.ac.uk/</t>
  </si>
  <si>
    <t>http://eprints.mdx.ac.uk/policies.html</t>
  </si>
  <si>
    <t>http://eprints.mdx.ac.uk/</t>
  </si>
  <si>
    <t>http://roarmap.eprints.org/725/</t>
  </si>
  <si>
    <t>http://www.mndassociation.org/</t>
  </si>
  <si>
    <t>http://www.mndassociation.org/Resources/MNDA/Research/MND-Association-Grantee-Guide-to-Open-Access---30Oct12-v1.pdf</t>
  </si>
  <si>
    <t>http://roarmap.eprints.org/370/</t>
  </si>
  <si>
    <t>http://www.mssociety.org.uk/</t>
  </si>
  <si>
    <t>http://www.mssociety.org.uk/sites/default/files/MS%20Society%20Policy%20for%20Publishing%20Research.pdf</t>
  </si>
  <si>
    <t>http://roarmap.eprints.org/723/</t>
  </si>
  <si>
    <t>http://www.myrovlytistrust.org</t>
  </si>
  <si>
    <t>http://www.myrovlytistrust.org/wp-content/uploads/2011/06/Open-Access-Policy-20122.pdf</t>
  </si>
  <si>
    <t>http://roarmap.eprints.org/371/</t>
  </si>
  <si>
    <t>http://www.napier.ac.uk/Pages/home.aspx</t>
  </si>
  <si>
    <t>http://researchrepository.napier.ac.uk/mandate.html</t>
  </si>
  <si>
    <t>http://www.napier.ac.uk/research/Pages/Research-repository.aspx</t>
  </si>
  <si>
    <t>http://roarmap.eprints.org/372/</t>
  </si>
  <si>
    <t>http://www.nerc.ac.uk/</t>
  </si>
  <si>
    <t>http://nora.nerc.ac.uk/</t>
  </si>
  <si>
    <t>http://roarmap.eprints.org/374/</t>
  </si>
  <si>
    <t>http://www.ntu.ac.uk</t>
  </si>
  <si>
    <t>http://www.ntu.ac.uk/library/resources_collections/irep/general_faqs/index.html</t>
  </si>
  <si>
    <t>http://irep.ntu.ac.uk/</t>
  </si>
  <si>
    <t>http://roarmap.eprints.org/376/</t>
  </si>
  <si>
    <t>http://www.qmu.ac.uk/</t>
  </si>
  <si>
    <t>http://eresearch.qmu.ac.uk/policies.html</t>
  </si>
  <si>
    <t>http://eresearch.qmu.ac.uk/</t>
  </si>
  <si>
    <t>http://roarmap.eprints.org/693/</t>
  </si>
  <si>
    <t>http://www.qub.ac.uk/</t>
  </si>
  <si>
    <t>http://www.qub.ac.uk/directorates/InformationServices/TheLibrary/FileStore/Filetoupload,471694,en.pdf</t>
  </si>
  <si>
    <t>http://pure.qub.ac.uk/portal/</t>
  </si>
  <si>
    <t>http://roarmap.eprints.org/375/</t>
  </si>
  <si>
    <t>http://www.rcuk.ac.uk/</t>
  </si>
  <si>
    <t>http://roarmap.eprints.org/377/</t>
  </si>
  <si>
    <t>http://www.roehampton.ac.uk</t>
  </si>
  <si>
    <t>http://roehampton.openrepository.com/roehampton/</t>
  </si>
  <si>
    <t>http://roarmap.eprints.org/378/</t>
  </si>
  <si>
    <t>https://www.royalholloway.ac.uk/home.aspx</t>
  </si>
  <si>
    <t>https://www.royalholloway.ac.uk/library/documents/policies/royalhollowayoapp.pdf</t>
  </si>
  <si>
    <t>http://digirep.rhul.ac.uk/access/search.do?hier.topic=cf34f320-af5e-6950-c244-1dfc3a2c5315</t>
  </si>
  <si>
    <t>http://roarmap.eprints.org/379/</t>
  </si>
  <si>
    <t>http://www.stfc.ac.uk/Home.aspx</t>
  </si>
  <si>
    <t>http://roarmap.eprints.org/380/</t>
  </si>
  <si>
    <t>http://www.sgul.ac.uk/</t>
  </si>
  <si>
    <t>http://roarmap.eprints.org/910/1/Research%20Publications%20Policy%20v04.pdf</t>
  </si>
  <si>
    <t>http://openaccess.sgul.ac.uk/</t>
  </si>
  <si>
    <t>http://roarmap.eprints.org/381/</t>
  </si>
  <si>
    <t>http://www.tees.ac.uk/</t>
  </si>
  <si>
    <t>http://tees.openrepository.com/tees/bitstream/10149/278893/2/278893.pdf</t>
  </si>
  <si>
    <t>http://tees.openrepository.com/tees/</t>
  </si>
  <si>
    <t>http://roarmap.eprints.org/382/</t>
  </si>
  <si>
    <t>http://www.dunhillmedical.org.uk/_files/D7F0395691A12397B44F6F3E1C5A4028.pdf</t>
  </si>
  <si>
    <t>http://roarmap.eprints.org/509/1/open_access_april11.pdf</t>
  </si>
  <si>
    <t>http://roarmap.eprints.org/385/</t>
  </si>
  <si>
    <t>http://www.abertay.ac.uk/</t>
  </si>
  <si>
    <t>http://www.abertay.ac.uk/media/Self-Archiving-and-Research-Repository-PolicyV1-1.pdf</t>
  </si>
  <si>
    <t>https://repository.abertay.ac.uk/jspui/</t>
  </si>
  <si>
    <t>http://roarmap.eprints.org/386/</t>
  </si>
  <si>
    <t>http://www.bath.ac.uk/</t>
  </si>
  <si>
    <t>http://roarmap.eprints.org/466/1/University_of_Bath_Open_Access_Publications_Policy_Why_do_this_v2.1.doc</t>
  </si>
  <si>
    <t>http://opus.bath.ac.uk/</t>
  </si>
  <si>
    <t>http://roarmap.eprints.org/387/</t>
  </si>
  <si>
    <t>http://www.birmingham.ac.uk/index.aspx</t>
  </si>
  <si>
    <t>http://etheses.bham.ac.uk/deposit.html</t>
  </si>
  <si>
    <t>http://www.ubira.bham.ac.uk</t>
  </si>
  <si>
    <t>http://roarmap.eprints.org/389/</t>
  </si>
  <si>
    <t>http://www.cam.ac.uk/</t>
  </si>
  <si>
    <t>https://www.openaccess.cam.ac.uk/changing</t>
  </si>
  <si>
    <t>https://www.repository.cam.ac.uk/</t>
  </si>
  <si>
    <t>http://roarmap.eprints.org/390/</t>
  </si>
  <si>
    <t>http://www.uclan.ac.uk/</t>
  </si>
  <si>
    <t>http://clok.uclan.ac.uk/policies.html</t>
  </si>
  <si>
    <t>http://clok.uclan.ac.uk/</t>
  </si>
  <si>
    <t>http://roarmap.eprints.org/391/</t>
  </si>
  <si>
    <t>http://www.dundee.ac.uk/</t>
  </si>
  <si>
    <t>http://roarmap.eprints.org/1047/1/Open_Access_Policy_V1_Final_November_2012%283%29.pdf</t>
  </si>
  <si>
    <t>http://discovery.dundee.ac.uk/portal/</t>
  </si>
  <si>
    <t>http://roarmap.eprints.org/392/</t>
  </si>
  <si>
    <t>http://www.uea.ac.uk/</t>
  </si>
  <si>
    <t>https://ueaeprints.uea.ac.uk/policies.html</t>
  </si>
  <si>
    <t>http://ueaeprints.uea.ac.uk/</t>
  </si>
  <si>
    <t>http://roarmap.eprints.org/393/</t>
  </si>
  <si>
    <t>http://www.uel.ac.uk/</t>
  </si>
  <si>
    <t>http://dx.doi.org/10.15123/PUB.4048</t>
  </si>
  <si>
    <t>http://roar.uel.ac.uk/</t>
  </si>
  <si>
    <t>http://roarmap.eprints.org/394/</t>
  </si>
  <si>
    <t>http://www.ed.ac.uk/home</t>
  </si>
  <si>
    <t>http://www.ed.ac.uk/polopoly_fs/1.14203!/fileManager/research-publications-policy.pdf</t>
  </si>
  <si>
    <t>https://www.era.lib.ed.ac.uk/</t>
  </si>
  <si>
    <t>http://roarmap.eprints.org/395/</t>
  </si>
  <si>
    <t>http://www.exeter.ac.uk/</t>
  </si>
  <si>
    <t>https://ore.exeter.ac.uk/repository/bitstream/handle/10036/4280/OA_RDM_Policy_Final.pdf?sequence=4#page=1&amp;zoom=auto,-108,842</t>
  </si>
  <si>
    <t>https://ore.exeter.ac.uk/repository/</t>
  </si>
  <si>
    <t>http://roarmap.eprints.org/396/</t>
  </si>
  <si>
    <t>http://www.gla.ac.uk/</t>
  </si>
  <si>
    <t>http://www.lib.gla.ac.uk/enlighten/publicationspolicy/index.html</t>
  </si>
  <si>
    <t>http://www.lib.gla.ac.uk/enlighten/</t>
  </si>
  <si>
    <t>http://roarmap.eprints.org/696/</t>
  </si>
  <si>
    <t>http://www2.hull.ac.uk/</t>
  </si>
  <si>
    <t>https://hydra.hull.ac.uk/assets/hull:10503/content</t>
  </si>
  <si>
    <t>https://hydra.hull.ac.uk/</t>
  </si>
  <si>
    <t>http://roarmap.eprints.org/397/</t>
  </si>
  <si>
    <t>http://kent.ac.uk/</t>
  </si>
  <si>
    <t>http://www.kent.ac.uk/researchservices/docs/open-access-policy-april-2013.pdf</t>
  </si>
  <si>
    <t>http://kar.kent.ac.uk/</t>
  </si>
  <si>
    <t>http://roarmap.eprints.org/398/</t>
  </si>
  <si>
    <t>http://www.leeds.ac.uk/</t>
  </si>
  <si>
    <t>http://eprints.whiterose.ac.uk/</t>
  </si>
  <si>
    <t>http://roarmap.eprints.org/399/</t>
  </si>
  <si>
    <t>http://www.le.ac.uk/</t>
  </si>
  <si>
    <t>http://www2.le.ac.uk/library/for/researchers/publish/nutshell</t>
  </si>
  <si>
    <t>https://lra.le.ac.uk/</t>
  </si>
  <si>
    <t>http://roarmap.eprints.org/400/</t>
  </si>
  <si>
    <t>http://www.lincoln.ac.uk/home/</t>
  </si>
  <si>
    <t>http://secretariat.blogs.lincoln.ac.uk/files/2013/08/Open-Access-Policy-2014.pdf</t>
  </si>
  <si>
    <t>http://eprints.lincoln.ac.uk/</t>
  </si>
  <si>
    <t>http://roarmap.eprints.org/401/</t>
  </si>
  <si>
    <t>http://www.nottingham.ac.uk</t>
  </si>
  <si>
    <t>http://eprints.nottingham.ac.uk/policies.html</t>
  </si>
  <si>
    <t>http://eprints.nottingham.ac.uk/</t>
  </si>
  <si>
    <t>http://roarmap.eprints.org/697/</t>
  </si>
  <si>
    <t>http://www.port.ac.uk/</t>
  </si>
  <si>
    <t>http://www.port.ac.uk/accesstoinformation/policies/humanresources/filetodownload,183267,en.pdf</t>
  </si>
  <si>
    <t>http://eprints.port.ac.uk/</t>
  </si>
  <si>
    <t>http://roarmap.eprints.org/403/</t>
  </si>
  <si>
    <t>http://www.reading.ac.uk/</t>
  </si>
  <si>
    <t>http://www.reading.ac.uk/web/FILES/library/uoropenaccesspolicy.pdf</t>
  </si>
  <si>
    <t>http://centaur.reading.ac.uk/</t>
  </si>
  <si>
    <t>http://roarmap.eprints.org/404/</t>
  </si>
  <si>
    <t>http://www.salford.ac.uk/</t>
  </si>
  <si>
    <t>http://www.salford.ac.uk/__data/assets/pdf_file/0010/508492/Senate_and_committee_report_template_2014-15_open-access-policy.pdf</t>
  </si>
  <si>
    <t>http://usir.salford.ac.uk/</t>
  </si>
  <si>
    <t>http://roarmap.eprints.org/405/</t>
  </si>
  <si>
    <t>http://www.southampton.ac.uk/</t>
  </si>
  <si>
    <t>http://www.southampton.ac.uk/library/research/eprints/policies/oapolicy.html</t>
  </si>
  <si>
    <t>http://eprints.soton.ac.uk/</t>
  </si>
  <si>
    <t>http://roarmap.eprints.org/406/</t>
  </si>
  <si>
    <t>http://www.ecs.soton.ac.uk/</t>
  </si>
  <si>
    <t>http://roarmap.eprints.org/407/</t>
  </si>
  <si>
    <t>http://www.st-andrews.ac.uk/</t>
  </si>
  <si>
    <t>http://www.st-andrews.ac.uk/library/services/researchsupport/openaccess/oapolicy/</t>
  </si>
  <si>
    <t>http://research-repository.st-andrews.ac.uk/</t>
  </si>
  <si>
    <t>http://roarmap.eprints.org/408/</t>
  </si>
  <si>
    <t>http://www.stir.ac.uk/</t>
  </si>
  <si>
    <t>http://www.stir.ac.uk/is/researchers/writing/publishingimpact/openaccesspublishing/#OA</t>
  </si>
  <si>
    <t>https://dspace.stir.ac.uk/</t>
  </si>
  <si>
    <t>http://roarmap.eprints.org/409/</t>
  </si>
  <si>
    <t>http://www.strath.ac.uk/</t>
  </si>
  <si>
    <t>http://strathprints.strath.ac.uk/Strathclyde_Publications_Mandate2v4.pdf</t>
  </si>
  <si>
    <t>http://strathprints.strath.ac.uk/</t>
  </si>
  <si>
    <t>http://roarmap.eprints.org/410/</t>
  </si>
  <si>
    <t>http://www2.surrey.ac.uk/</t>
  </si>
  <si>
    <t>http://epubs.surrey.ac.uk/policies.html#3</t>
  </si>
  <si>
    <t>http://epubs.surrey.ac.uk/</t>
  </si>
  <si>
    <t>http://roarmap.eprints.org/411/</t>
  </si>
  <si>
    <t>http://www.ulster.ac.uk/</t>
  </si>
  <si>
    <t>http://eprints.ulster.ac.uk/policies.html</t>
  </si>
  <si>
    <t>http://eprints.ulster.ac.uk/</t>
  </si>
  <si>
    <t>http://roarmap.eprints.org/412/</t>
  </si>
  <si>
    <t>http://www2.warwick.ac.uk/</t>
  </si>
  <si>
    <t>http://www2.warwick.ac.uk/fac/sci/sbdtc/publications/university_of_warwick_open_access_policy_website.pdf</t>
  </si>
  <si>
    <t>http://wrap.warwick.ac.uk/</t>
  </si>
  <si>
    <t>http://roarmap.eprints.org/413/</t>
  </si>
  <si>
    <t>http://www.westminster.ac.uk/</t>
  </si>
  <si>
    <t>http://www.westminster.ac.uk/research/research-framework/dissemination-policy-wr</t>
  </si>
  <si>
    <t>http://westminsterresearch.wmin.ac.uk/</t>
  </si>
  <si>
    <t>http://roarmap.eprints.org/699/</t>
  </si>
  <si>
    <t>http://www.worcester.ac.uk/</t>
  </si>
  <si>
    <t>http://libguides.worc.ac.uk/content.php?pid=528562&amp;sid=4349103</t>
  </si>
  <si>
    <t>http://eprints.worc.ac.uk/</t>
  </si>
  <si>
    <t>http://roarmap.eprints.org/700/</t>
  </si>
  <si>
    <t>http://www.york.ac.uk/</t>
  </si>
  <si>
    <t>http://www.york.ac.uk/media/library/documents/information-for/researchers/oa/UoYPolicyOnPublicationOfResearch20140611-WithGuidance.pdf</t>
  </si>
  <si>
    <t>http://roarmap.eprints.org/637/</t>
  </si>
  <si>
    <t>http://www.wellcome.ac.uk/index.htm</t>
  </si>
  <si>
    <t>http://www.wellcome.ac.uk/About-us/Policy/Policy-and-position-statements/WTD002766.htm</t>
  </si>
  <si>
    <t>http://roarmap.eprints.org/701/</t>
  </si>
  <si>
    <t>http://www.yorksj.ac.uk/</t>
  </si>
  <si>
    <t>http://www.yorksj.ac.uk/information-learning-services/information-learning-services/services-for-you/staff/institutional-repository/open-access-policy.aspx</t>
  </si>
  <si>
    <t>http://www.yorksj.ac.uk/information-learning-services/information-learning-services/services-for-you/staff/institutional-repository.aspx</t>
  </si>
  <si>
    <t>http://roarmap.eprints.org/444/</t>
  </si>
  <si>
    <t>http://allegheny.edu/</t>
  </si>
  <si>
    <t>http://sites.allegheny.edu/scholarlycommunication/acoapolicy/</t>
  </si>
  <si>
    <t>https://dspace.allegheny.edu/</t>
  </si>
  <si>
    <t>http://roarmap.eprints.org/445/</t>
  </si>
  <si>
    <t>https://www.amherst.edu/</t>
  </si>
  <si>
    <t>https://www.amherst.edu/library/services/facstaff/openaccessresolution</t>
  </si>
  <si>
    <t>http://roarmap.eprints.org/447/</t>
  </si>
  <si>
    <t>http://www.autismspeaks.org/</t>
  </si>
  <si>
    <t>http://www.autismspeaks.org/science/policy-statements/policy-public-access-research-we-fund</t>
  </si>
  <si>
    <t>http://www.pubmedcentral.gov/</t>
  </si>
  <si>
    <t>http://roarmap.eprints.org/726/</t>
  </si>
  <si>
    <t>http://www.gatesfoundation.org/</t>
  </si>
  <si>
    <t>http://www.gatesfoundation.org/How-We-Work/General-Information/Open-Access-Policy</t>
  </si>
  <si>
    <t>http://roarmap.eprints.org/450/</t>
  </si>
  <si>
    <t>http://lib.byu.edu/</t>
  </si>
  <si>
    <t>http://etd.byu.edu/</t>
  </si>
  <si>
    <t>http://scholarsarchive.byu.edu/</t>
  </si>
  <si>
    <t>http://roarmap.eprints.org/451/</t>
  </si>
  <si>
    <t>http://www.brynmawr.edu/</t>
  </si>
  <si>
    <t>http://www.brynmawr.edu/openaccess/</t>
  </si>
  <si>
    <t>http://repository.brynmawr.edu/</t>
  </si>
  <si>
    <t>http://roarmap.eprints.org/452/</t>
  </si>
  <si>
    <t>http://www.bucknell.edu/</t>
  </si>
  <si>
    <t>https://www.bucknell.edu/library-and-information-technology/library/open-access/open-access-publishing-policy.html</t>
  </si>
  <si>
    <t>http://digitalcommons.bucknell.edu/</t>
  </si>
  <si>
    <t>http://roarmap.eprints.org/458/</t>
  </si>
  <si>
    <t>http://www.ldeo.columbia.edu/</t>
  </si>
  <si>
    <t>http://scholcomm.columbia.edu/open-access/open-access-policies/lamont-doherty-earth-observatory-open-access-policy/</t>
  </si>
  <si>
    <t>http://academiccommons.columbia.edu/</t>
  </si>
  <si>
    <t>http://roarmap.eprints.org/459/</t>
  </si>
  <si>
    <t>http://library.columbia.edu/</t>
  </si>
  <si>
    <t>http://scholcomm.columbia.edu/open-access/open-access-policies/columbia-university-libraries-information-services-open-access-policy/</t>
  </si>
  <si>
    <t>http://roarmap.eprints.org/461/</t>
  </si>
  <si>
    <t>http://www.mailman.columbia.edu/</t>
  </si>
  <si>
    <t>http://scholcomm.columbia.edu/open-access/open-access-policies/mailman-school-of-public-health-open-access-policy/</t>
  </si>
  <si>
    <t>http://roarmap.eprints.org/462/</t>
  </si>
  <si>
    <t>http://www.conncoll.edu/</t>
  </si>
  <si>
    <t>http://www.conncoll.edu/media/website-media/libraries/Open-Access-Policy-of-the-Connecticut-College-Faculty.pdf</t>
  </si>
  <si>
    <t>http://digitalcommons.conncoll.edu/</t>
  </si>
  <si>
    <t>http://roarmap.eprints.org/465/</t>
  </si>
  <si>
    <t>http://duke.edu/</t>
  </si>
  <si>
    <t>http://provost.duke.edu/wp-content/uploads/FHB_App_P.pdf</t>
  </si>
  <si>
    <t>http://dukespace.lib.duke.edu/dspace/</t>
  </si>
  <si>
    <t>http://roarmap.eprints.org/466/</t>
  </si>
  <si>
    <t>http://gradschool.duke.edu/</t>
  </si>
  <si>
    <t>http://gradschool.duke.edu/sites/default/files/documents/ElectronicThesisDissGuide.pdf</t>
  </si>
  <si>
    <t>http://dukespace.lib.duke.edu/dspace/handle/10161/1</t>
  </si>
  <si>
    <t>http://roarmap.eprints.org/469/</t>
  </si>
  <si>
    <t>http://www.gatech.edu/</t>
  </si>
  <si>
    <t>http://www.policylibrary.gatech.edu/faculty-handbook/5.5-policy-open-access-faculty-publications</t>
  </si>
  <si>
    <t>https://smartech.gatech.edu/</t>
  </si>
  <si>
    <t>http://roarmap.eprints.org/471/</t>
  </si>
  <si>
    <t>http://www.hbs.edu/Pages/default.aspx</t>
  </si>
  <si>
    <t>https://osc.hul.harvard.edu/hbspolicy</t>
  </si>
  <si>
    <t>http://dash.harvard.edu/</t>
  </si>
  <si>
    <t>http://roarmap.eprints.org/472/</t>
  </si>
  <si>
    <t>http://hds.harvard.edu/</t>
  </si>
  <si>
    <t>https://osc.hul.harvard.edu/hdspolicy</t>
  </si>
  <si>
    <t>http://roarmap.eprints.org/473/</t>
  </si>
  <si>
    <t>http://www.law.harvard.edu/</t>
  </si>
  <si>
    <t>https://osc.hul.harvard.edu/hlspolicy</t>
  </si>
  <si>
    <t>http://roarmap.eprints.org/474/</t>
  </si>
  <si>
    <t>http://www.hsph.harvard.edu/</t>
  </si>
  <si>
    <t>https://osc.hul.harvard.edu/hsphpolicy</t>
  </si>
  <si>
    <t>http://roarmap.eprints.org/477/</t>
  </si>
  <si>
    <t>http://www.fas.harvard.edu/</t>
  </si>
  <si>
    <t>https://osc.hul.harvard.edu/hfaspolicy</t>
  </si>
  <si>
    <t>http://roarmap.eprints.org/475/</t>
  </si>
  <si>
    <t>http://www.gsd.harvard.edu/</t>
  </si>
  <si>
    <t>https://osc.hul.harvard.edu/hgsdpolicy</t>
  </si>
  <si>
    <t>http://roarmap.eprints.org/476/</t>
  </si>
  <si>
    <t>http://www.gse.harvard.edu/</t>
  </si>
  <si>
    <t>https://osc.hul.harvard.edu/hgsepolicy</t>
  </si>
  <si>
    <t>http://roarmap.eprints.org/478/</t>
  </si>
  <si>
    <t>http://www.hks.harvard.edu/</t>
  </si>
  <si>
    <t>https://osc.hul.harvard.edu/hksgpolicy</t>
  </si>
  <si>
    <t>http://roarmap.eprints.org/479/</t>
  </si>
  <si>
    <t>http://hms.harvard.edu/</t>
  </si>
  <si>
    <t>https://osc.hul.harvard.edu/hmspolicy</t>
  </si>
  <si>
    <t>http://repository.countway.harvard.edu/</t>
  </si>
  <si>
    <t>http://roarmap.eprints.org/652/</t>
  </si>
  <si>
    <t>http://shorensteincenter.org/</t>
  </si>
  <si>
    <t>https://osc.hul.harvard.edu/shorensteinpolicy</t>
  </si>
  <si>
    <t>https://osc.hul.harvard.edu/dash/</t>
  </si>
  <si>
    <t>http://roarmap.eprints.org/756/</t>
  </si>
  <si>
    <t>http://library.ipfw.edu/</t>
  </si>
  <si>
    <t>http://opus.ipfw.edu/</t>
  </si>
  <si>
    <t>http://roarmap.eprints.org/481/</t>
  </si>
  <si>
    <t>http://www.ulib.iupui.edu/</t>
  </si>
  <si>
    <t>http://www.ulib.iupui.edu/OAMandate</t>
  </si>
  <si>
    <t>https://scholarworks.iupui.edu/</t>
  </si>
  <si>
    <t>http://roarmap.eprints.org/482/</t>
  </si>
  <si>
    <t>http://ies.ed.gov/</t>
  </si>
  <si>
    <t>http://ies.ed.gov/funding/researchaccess.asp</t>
  </si>
  <si>
    <t>http://eric.ed.gov/</t>
  </si>
  <si>
    <t>http://roarmap.eprints.org/486/</t>
  </si>
  <si>
    <t>http://web.mit.edu/</t>
  </si>
  <si>
    <t>http://libraries.mit.edu/scholarly/mit-open-access/open-access-at-mit/mit-open-access-policy/</t>
  </si>
  <si>
    <t>http://dspace.mit.edu/</t>
  </si>
  <si>
    <t>http://roarmap.eprints.org/487/</t>
  </si>
  <si>
    <t>http://www.lib.miamioh.edu/</t>
  </si>
  <si>
    <t>http://www.lib.miamioh.edu/policies/others/open_access_policy</t>
  </si>
  <si>
    <t>http://sc.lib.miamioh.edu/</t>
  </si>
  <si>
    <t>http://roarmap.eprints.org/488/</t>
  </si>
  <si>
    <t>http://research.microsoft.com/en-us/</t>
  </si>
  <si>
    <t>http://research.microsoft.com/en-us/help/openaccess.aspx</t>
  </si>
  <si>
    <t>http://roarmap.eprints.org/491/</t>
  </si>
  <si>
    <t>http://publicaccess.nih.gov/policy.htm</t>
  </si>
  <si>
    <t>http://publicaccess.nih.gov/</t>
  </si>
  <si>
    <t>http://www.ncbi.nlm.nih.gov/pmc/</t>
  </si>
  <si>
    <t>http://roarmap.eprints.org/492/</t>
  </si>
  <si>
    <t>https://home.oberlin.edu/</t>
  </si>
  <si>
    <t>http://oberlin.edu/library/programs/openaccess/resolution.html</t>
  </si>
  <si>
    <t>http://ohio5.openrepository.com/ohio5/handle/11282/293015</t>
  </si>
  <si>
    <t>http://roarmap.eprints.org/493/</t>
  </si>
  <si>
    <t>http://oregonstate.edu/</t>
  </si>
  <si>
    <t>http://cdss.library.oregonstate.edu/sites/default/files/osu_openacesspolicy_final_single_page.pdf</t>
  </si>
  <si>
    <t>http://ir.library.oregonstate.edu</t>
  </si>
  <si>
    <t>http://roarmap.eprints.org/497/</t>
  </si>
  <si>
    <t>http://www.rice.edu/</t>
  </si>
  <si>
    <t>http://openaccess.rice.edu/rice-faculty-senate-policy/</t>
  </si>
  <si>
    <t>http://scholarship.rice.edu/</t>
  </si>
  <si>
    <t>http://roarmap.eprints.org/498/</t>
  </si>
  <si>
    <t>http://www.rollins.edu/</t>
  </si>
  <si>
    <t>http://scholarship.rollins.edu/open_access_policy.pdf</t>
  </si>
  <si>
    <t>http://scholarship.rollins.edu</t>
  </si>
  <si>
    <t>http://roarmap.eprints.org/499/</t>
  </si>
  <si>
    <t>https://www.rutgers.edu/</t>
  </si>
  <si>
    <t>http://policies.rutgers.edu/50317-currentpdf</t>
  </si>
  <si>
    <t>https://rucore.libraries.rutgers.edu/</t>
  </si>
  <si>
    <t>http://roarmap.eprints.org/502/</t>
  </si>
  <si>
    <t>https://ed.stanford.edu/</t>
  </si>
  <si>
    <t>https://ed.stanford.edu/faculty-research/open-archive/open-access-motion</t>
  </si>
  <si>
    <t>https://openarchive.stanford.edu/</t>
  </si>
  <si>
    <t>http://roarmap.eprints.org/503/</t>
  </si>
  <si>
    <t>http://www.temple.edu/</t>
  </si>
  <si>
    <t>http://www.temple.edu/dissertationhandbook/publishcopyright.html</t>
  </si>
  <si>
    <t>http://digital.library.temple.edu/cdm/</t>
  </si>
  <si>
    <t>http://roarmap.eprints.org/504/</t>
  </si>
  <si>
    <t>http://www.tamu.edu/</t>
  </si>
  <si>
    <t>http://ogs.tamu.edu/wp-content/uploads/2012/07/Thesis_Manual_July_2013_minorrevision_8_22_13.pdf</t>
  </si>
  <si>
    <t>http://oaktrust.library.tamu.edu/</t>
  </si>
  <si>
    <t>http://roarmap.eprints.org/505/</t>
  </si>
  <si>
    <t>http://www.wooster.edu/</t>
  </si>
  <si>
    <t>http://openaccess.voices.wooster.edu/policy/</t>
  </si>
  <si>
    <t>http://openworks.wooster.edu/</t>
  </si>
  <si>
    <t>http://roarmap.eprints.org/506/</t>
  </si>
  <si>
    <t>http://new.trinity.edu/</t>
  </si>
  <si>
    <t>http://blog.trinity.edu/open_access/93/</t>
  </si>
  <si>
    <t>http://roarmap.eprints.org/507/</t>
  </si>
  <si>
    <t>http://www.ahrq.gov/</t>
  </si>
  <si>
    <t>http://www.ahrq.gov/funding/policies/publicaccess/index.html</t>
  </si>
  <si>
    <t>http://beta.congress.gov/</t>
  </si>
  <si>
    <t>http://www.gpo.gov/fdsys/pkg/BILLS-113hr3547enr/pdf/BILLS-113hr3547enr.pdf</t>
  </si>
  <si>
    <t>http://roarmap.eprints.org/512/</t>
  </si>
  <si>
    <t>http://www.defense.gov/</t>
  </si>
  <si>
    <t>http://dtic.mil/dtic/pdf/PublicAccessMemo2014.pdf</t>
  </si>
  <si>
    <t>http://www.dtic.mil/dtic/</t>
  </si>
  <si>
    <t>http://roarmap.eprints.org/528/</t>
  </si>
  <si>
    <t>http://www.nsf.gov/</t>
  </si>
  <si>
    <t>http://www.nsf.gov/news/special_reports/public_access/</t>
  </si>
  <si>
    <t>http://roarmap.eprints.org/529/</t>
  </si>
  <si>
    <t>http://www.whitehouse.gov/administration/eop/ostp</t>
  </si>
  <si>
    <t>http://www.whitehouse.gov/sites/default/files/microsites/ostp/ostp_public_access_memo_2013.pdf</t>
  </si>
  <si>
    <t>http://roarmap.eprints.org/532/</t>
  </si>
  <si>
    <t>http://www.universityofcalifornia.edu/</t>
  </si>
  <si>
    <t>http://osc.universityofcalifornia.edu/open-access-policy/</t>
  </si>
  <si>
    <t>http://escholarship.org/</t>
  </si>
  <si>
    <t>http://roarmap.eprints.org/533/</t>
  </si>
  <si>
    <t>http://www.ucsf.edu/</t>
  </si>
  <si>
    <t>http://www.library.ucsf.edu/sites/all/files/ucsf_assets/ucsf_oa_policy.pdf</t>
  </si>
  <si>
    <t>http://roarmap.eprints.org/534/</t>
  </si>
  <si>
    <t>http://www.ucf.edu/</t>
  </si>
  <si>
    <t>http://roarmap.eprints.org/751/</t>
  </si>
  <si>
    <t>http://www.udel.edu/</t>
  </si>
  <si>
    <t>http://guides.lib.udel.edu/scholcom/openaccess</t>
  </si>
  <si>
    <t>http://udspace.udel.edu/</t>
  </si>
  <si>
    <t>http://roarmap.eprints.org/537/</t>
  </si>
  <si>
    <t>http://www.manoa.hawaii.edu/</t>
  </si>
  <si>
    <t>http://manoa.hawaii.edu/ovcaa/admin_memos/pdf/memo_04042012_openaccess.pdf</t>
  </si>
  <si>
    <t>https://scholarspace.manoa.hawaii.edu/</t>
  </si>
  <si>
    <t>http://roarmap.eprints.org/538/</t>
  </si>
  <si>
    <t>http://www.uic.edu/uic/</t>
  </si>
  <si>
    <t>http://researchguides.uic.edu/libraryoapolicy</t>
  </si>
  <si>
    <t>http://indigo.uic.edu/</t>
  </si>
  <si>
    <t>http://roarmap.eprints.org/540/</t>
  </si>
  <si>
    <t>http://www.ku.edu/</t>
  </si>
  <si>
    <t>http://policy.ku.edu/governance/open-access-policy</t>
  </si>
  <si>
    <t>http://kuscholarworks.ku.edu/</t>
  </si>
  <si>
    <t>http://roarmap.eprints.org/542/</t>
  </si>
  <si>
    <t>http://www.umd.edu/</t>
  </si>
  <si>
    <t>http://drum.lib.umd.edu/</t>
  </si>
  <si>
    <t>http://roarmap.eprints.org/544/</t>
  </si>
  <si>
    <t>http://www.uncg.edu/</t>
  </si>
  <si>
    <t>http://library.uncg.edu/services/scholarly_communication/open_access_policy.aspx</t>
  </si>
  <si>
    <t>http://libres.uncg.edu/ir/</t>
  </si>
  <si>
    <t>http://roarmap.eprints.org/545/</t>
  </si>
  <si>
    <t>http://www.unf.edu/</t>
  </si>
  <si>
    <t>http://lgdata.s3-website-us-east-1.amazonaws.com/docs/1652/740785/Thesis_deposit_policy_and_guide_2012_rev.pdf</t>
  </si>
  <si>
    <t>http://digitalcommons.unf.edu/</t>
  </si>
  <si>
    <t>http://roarmap.eprints.org/546/</t>
  </si>
  <si>
    <t>http://www.unt.edu/</t>
  </si>
  <si>
    <t>https://policy.unt.edu/sites/default/files/untpolicy/17.5_Open%20Access_Self-Archiving_and%20Long-Term%20Digital%20Stewardship%20for%20UNT%20Scholarly%20Works.pdf</t>
  </si>
  <si>
    <t>http://digital.library.unt.edu/</t>
  </si>
  <si>
    <t>http://roarmap.eprints.org/551/</t>
  </si>
  <si>
    <t>http://www.law.upr.edu/</t>
  </si>
  <si>
    <t>https://mx2.arl.org/Lists/SPARC-OAForum/Message/5436.html</t>
  </si>
  <si>
    <t>http://repositorio.upr.edu:8080/jspui/</t>
  </si>
  <si>
    <t>http://roarmap.eprints.org/552/</t>
  </si>
  <si>
    <t>http://ww2.uri.edu/</t>
  </si>
  <si>
    <t>http://www.uri.edu/facsen/about/legislation/legislation_documents/2012-13/Bill_12-13-29.pdf</t>
  </si>
  <si>
    <t>http://digitalcommons.uri.edu/</t>
  </si>
  <si>
    <t>http://roarmap.eprints.org/553/</t>
  </si>
  <si>
    <t>http://www.utk.edu/</t>
  </si>
  <si>
    <t>http://www.trace.tennessee.edu/</t>
  </si>
  <si>
    <t>http://roarmap.eprints.org/557/</t>
  </si>
  <si>
    <t>http://www.valpo.edu/</t>
  </si>
  <si>
    <t>http://library.valpo.edu/policies/openaccess.html</t>
  </si>
  <si>
    <t>http://scholar.valpo.edu/</t>
  </si>
  <si>
    <t>http://roarmap.eprints.org/558/</t>
  </si>
  <si>
    <t>http://www.vt.edu/</t>
  </si>
  <si>
    <t>http://etd.vt.edu/index.html</t>
  </si>
  <si>
    <t>http://vtechworks.lib.vt.edu/</t>
  </si>
  <si>
    <t>http://roarmap.eprints.org/559/</t>
  </si>
  <si>
    <t>http://www.lib.vt.edu/</t>
  </si>
  <si>
    <t>http://www.lib.vt.edu/openaccess/lfa-oa-policy.pdf</t>
  </si>
  <si>
    <t>http://roarmap.eprints.org/560/</t>
  </si>
  <si>
    <t>http://www.wfu.edu/</t>
  </si>
  <si>
    <t>http://zsr.wfu.edu/documents/ZSR_Librarians_Assembly_Open_Access_Policy.pdf</t>
  </si>
  <si>
    <t>http://wakespace.lib.wfu.edu/handle/10339/14934</t>
  </si>
  <si>
    <t>http://roarmap.eprints.org/561/</t>
  </si>
  <si>
    <t>http://www.wellesley.edu/</t>
  </si>
  <si>
    <t>http://www.wellesley.edu/sites/default/files/assets/departments/provost/files/openaccesspolicy2.13.13.pdf</t>
  </si>
  <si>
    <t>http://repository.wellesley.edu/</t>
  </si>
  <si>
    <t>http://roarmap.eprints.org/562/</t>
  </si>
  <si>
    <t>http://www.wvu.edu/</t>
  </si>
  <si>
    <t>http://www.wvu.edu/~thesis/News/ETDpolicysummary.pdf</t>
  </si>
  <si>
    <t>http://wvuscholar.wvu.edu:8881/R?RN=17903662</t>
  </si>
  <si>
    <t>http://roarmap.eprints.org/720/</t>
  </si>
  <si>
    <t>https://wikimediafoundation.org</t>
  </si>
  <si>
    <t>https://wikimediafoundation.org/wiki/Open_access_policy</t>
  </si>
  <si>
    <t>http://roarmap.eprints.org/631/</t>
  </si>
  <si>
    <t>http://www.ula.ve/</t>
  </si>
  <si>
    <t>http://www.cca.ula.ve/documentos/ResolucionCU0580del030308.pdf</t>
  </si>
  <si>
    <t>http://www.saber.ula.ve/</t>
  </si>
  <si>
    <t>http://roarmap.eprints.org/705/</t>
  </si>
  <si>
    <t>http://www.luz.edu.ve/</t>
  </si>
  <si>
    <t>http://www.serbi.luz.edu.ve/index.php/politica-de-acceso-abierto</t>
  </si>
  <si>
    <t>http://repositorio.luz.edu.ve/</t>
  </si>
  <si>
    <t>http://roarmap.eprints.org/47/</t>
  </si>
  <si>
    <t>http://www.nchu.edu.tw/en-index.php</t>
  </si>
  <si>
    <t>http://nchuir.lib.nchu.edu.tw/?locale=en-US</t>
  </si>
  <si>
    <t>Country_url</t>
  </si>
  <si>
    <t>036</t>
  </si>
  <si>
    <t>012</t>
  </si>
  <si>
    <t>031</t>
  </si>
  <si>
    <t>032</t>
  </si>
  <si>
    <t>040</t>
  </si>
  <si>
    <t>056</t>
  </si>
  <si>
    <t>068</t>
  </si>
  <si>
    <t>076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</si>
</sst>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6" x14ac:knownFonts="1">
    <font>
      <sz val="10"/>
      <color rgb="FF000000"/>
      <name val="Arial"/>
    </font>
    <font>
      <sz val="10"/>
      <name val="Arial"/>
    </font>
    <font>
      <sz val="12"/>
      <color rgb="FF000000"/>
      <name val="Calibri"/>
    </font>
    <font>
      <u/>
      <sz val="10"/>
      <color rgb="FF000000"/>
      <name val="Arial"/>
    </font>
    <font>
      <u/>
      <sz val="10"/>
      <color rgb="FF0000FF"/>
      <name val="Arial"/>
    </font>
    <font>
      <u/>
      <sz val="10"/>
      <color theme="11"/>
      <name val="Arial"/>
    </font>
  </fonts>
  <fills count="2">
    <fill>
      <patternFill patternType="none"/>
    </fill>
    <fill>
      <patternFill patternType="gray125"/>
    </fill>
  </fills>
  <borders count="1">
    <border>
      <left/>
      <right/>
      <top/>
      <bottom/>
      <diagonal/>
    </border>
  </borders>
  <cellStyleXfs count="25">
    <xf numFmtId="0" fontId="0"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12">
    <xf numFmtId="0" fontId="0" fillId="0" borderId="0" xfId="0" applyFont="1" applyAlignment="1"/>
    <xf numFmtId="0" fontId="1" fillId="0" borderId="0" xfId="0" applyFont="1"/>
    <xf numFmtId="164" fontId="2" fillId="0" borderId="0" xfId="0" applyNumberFormat="1" applyFont="1"/>
    <xf numFmtId="0" fontId="0" fillId="0" borderId="0" xfId="0" applyFont="1"/>
    <xf numFmtId="0" fontId="2" fillId="0" borderId="0" xfId="0" applyFont="1" applyAlignment="1">
      <alignment vertical="center" wrapText="1"/>
    </xf>
    <xf numFmtId="0" fontId="3" fillId="0" borderId="0" xfId="0" applyFont="1"/>
    <xf numFmtId="0" fontId="0" fillId="0" borderId="0" xfId="0" applyFont="1"/>
    <xf numFmtId="164" fontId="0" fillId="0" borderId="0" xfId="0" applyNumberFormat="1" applyFont="1"/>
    <xf numFmtId="0" fontId="4" fillId="0" borderId="0" xfId="0" applyFont="1"/>
    <xf numFmtId="49" fontId="0" fillId="0" borderId="0" xfId="0" applyNumberFormat="1" applyFont="1"/>
    <xf numFmtId="49" fontId="0" fillId="0" borderId="0" xfId="0" applyNumberFormat="1" applyFont="1" applyAlignment="1"/>
    <xf numFmtId="164" fontId="0" fillId="0" borderId="0" xfId="0" applyNumberFormat="1" applyFont="1" applyAlignment="1"/>
  </cellXfs>
  <cellStyles count="25">
    <cellStyle name="Followed Hyperlink" xfId="1" builtinId="9" hidden="1"/>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500" Type="http://schemas.openxmlformats.org/officeDocument/2006/relationships/hyperlink" Target="http://roarmap.eprints.org/109/" TargetMode="External"/><Relationship Id="rId501" Type="http://schemas.openxmlformats.org/officeDocument/2006/relationships/hyperlink" Target="http://web.centria.fi/Default.aspx" TargetMode="External"/><Relationship Id="rId502" Type="http://schemas.openxmlformats.org/officeDocument/2006/relationships/hyperlink" Target="http://www.arene.fi/data/dokumentit/52bd599d-66f6-41a9-8cb7-6e151ec677d5_open%20access%20julkilausuma.pdf" TargetMode="External"/><Relationship Id="rId503" Type="http://schemas.openxmlformats.org/officeDocument/2006/relationships/hyperlink" Target="http://www.theseus.fi/" TargetMode="External"/><Relationship Id="rId110" Type="http://schemas.openxmlformats.org/officeDocument/2006/relationships/hyperlink" Target="http://www.unsworks.unsw.edu.au/primo_library/libweb/action/search.do?dscnt=1&amp;dstmp=1401409982283&amp;vid=UNSWORKS&amp;fromLogin=true" TargetMode="External"/><Relationship Id="rId111" Type="http://schemas.openxmlformats.org/officeDocument/2006/relationships/hyperlink" Target="http://roarmap.eprints.org/587/" TargetMode="External"/><Relationship Id="rId112" Type="http://schemas.openxmlformats.org/officeDocument/2006/relationships/hyperlink" Target="http://www.newcastle.edu.au/" TargetMode="External"/><Relationship Id="rId113" Type="http://schemas.openxmlformats.org/officeDocument/2006/relationships/hyperlink" Target="http://www.newcastle.edu.au/about-uon/governance-and-leadership/policy-library/document?RecordNumber=D09_2070%5bV6%5d" TargetMode="External"/><Relationship Id="rId114" Type="http://schemas.openxmlformats.org/officeDocument/2006/relationships/hyperlink" Target="http://nova.newcastle.edu.au/vital/access/manager/Index" TargetMode="External"/><Relationship Id="rId115" Type="http://schemas.openxmlformats.org/officeDocument/2006/relationships/hyperlink" Target="http://roarmap.eprints.org/584/" TargetMode="External"/><Relationship Id="rId116" Type="http://schemas.openxmlformats.org/officeDocument/2006/relationships/hyperlink" Target="https://www.uq.edu.au/" TargetMode="External"/><Relationship Id="rId117" Type="http://schemas.openxmlformats.org/officeDocument/2006/relationships/hyperlink" Target="http://ppl.app.uq.edu.au/content/4.20.08-open-access-uq-research-outputs" TargetMode="External"/><Relationship Id="rId118" Type="http://schemas.openxmlformats.org/officeDocument/2006/relationships/hyperlink" Target="http://espace.library.uq.edu.au/" TargetMode="External"/><Relationship Id="rId119" Type="http://schemas.openxmlformats.org/officeDocument/2006/relationships/hyperlink" Target="http://roarmap.eprints.org/588/" TargetMode="External"/><Relationship Id="rId504" Type="http://schemas.openxmlformats.org/officeDocument/2006/relationships/hyperlink" Target="http://roarmap.eprints.org/110/" TargetMode="External"/><Relationship Id="rId505" Type="http://schemas.openxmlformats.org/officeDocument/2006/relationships/hyperlink" Target="http://www.diak.fi/Sivut/default.aspx" TargetMode="External"/><Relationship Id="rId506" Type="http://schemas.openxmlformats.org/officeDocument/2006/relationships/hyperlink" Target="http://www.arene.fi/data/dokumentit/52bd599d-66f6-41a9-8cb7-6e151ec677d5_open%20access%20julkilausuma.pdf" TargetMode="External"/><Relationship Id="rId507" Type="http://schemas.openxmlformats.org/officeDocument/2006/relationships/hyperlink" Target="http://www.theseus.fi/" TargetMode="External"/><Relationship Id="rId508" Type="http://schemas.openxmlformats.org/officeDocument/2006/relationships/hyperlink" Target="http://roarmap.eprints.org/111/" TargetMode="External"/><Relationship Id="rId509" Type="http://schemas.openxmlformats.org/officeDocument/2006/relationships/hyperlink" Target="http://www.haaga-helia.fi/en/frontpage" TargetMode="External"/><Relationship Id="rId1760" Type="http://schemas.openxmlformats.org/officeDocument/2006/relationships/hyperlink" Target="http://www.wellcome.ac.uk/About-us/Policy/Spotlight-issues/Open-access/Charity-open-access-fund/" TargetMode="External"/><Relationship Id="rId1761" Type="http://schemas.openxmlformats.org/officeDocument/2006/relationships/hyperlink" Target="http://roarmap.eprints.org/348/" TargetMode="External"/><Relationship Id="rId1762" Type="http://schemas.openxmlformats.org/officeDocument/2006/relationships/hyperlink" Target="http://www.bhf.org.uk/" TargetMode="External"/><Relationship Id="rId1763" Type="http://schemas.openxmlformats.org/officeDocument/2006/relationships/hyperlink" Target="http://www.bhf.org.uk/research/research-grants/managing-your-grant/open-access-policy.aspx" TargetMode="External"/><Relationship Id="rId1370" Type="http://schemas.openxmlformats.org/officeDocument/2006/relationships/hyperlink" Target="http://www3.fgg.uni-lj.si/" TargetMode="External"/><Relationship Id="rId1371" Type="http://schemas.openxmlformats.org/officeDocument/2006/relationships/hyperlink" Target="http://drugg.fgg.uni-lj.si/" TargetMode="External"/><Relationship Id="rId1372" Type="http://schemas.openxmlformats.org/officeDocument/2006/relationships/hyperlink" Target="http://roarmap.eprints.org/287/" TargetMode="External"/><Relationship Id="rId1373" Type="http://schemas.openxmlformats.org/officeDocument/2006/relationships/hyperlink" Target="http://www.pef.uni-lj.si/" TargetMode="External"/><Relationship Id="rId1374" Type="http://schemas.openxmlformats.org/officeDocument/2006/relationships/hyperlink" Target="http://pefprints.pef.uni-lj.si/" TargetMode="External"/><Relationship Id="rId1375" Type="http://schemas.openxmlformats.org/officeDocument/2006/relationships/hyperlink" Target="http://roarmap.eprints.org/687/" TargetMode="External"/><Relationship Id="rId1376" Type="http://schemas.openxmlformats.org/officeDocument/2006/relationships/hyperlink" Target="http://www.nrf.ac.za" TargetMode="External"/><Relationship Id="rId1377" Type="http://schemas.openxmlformats.org/officeDocument/2006/relationships/hyperlink" Target="http://hdl.handle.net/10907/103" TargetMode="External"/><Relationship Id="rId1378" Type="http://schemas.openxmlformats.org/officeDocument/2006/relationships/hyperlink" Target="http://ir.nrf.ac.za/" TargetMode="External"/><Relationship Id="rId1379" Type="http://schemas.openxmlformats.org/officeDocument/2006/relationships/hyperlink" Target="http://roarmap.eprints.org/11/" TargetMode="External"/><Relationship Id="rId1764" Type="http://schemas.openxmlformats.org/officeDocument/2006/relationships/hyperlink" Target="http://europepmc.org/" TargetMode="External"/><Relationship Id="rId1765" Type="http://schemas.openxmlformats.org/officeDocument/2006/relationships/hyperlink" Target="http://roarmap.eprints.org/349/" TargetMode="External"/><Relationship Id="rId1766" Type="http://schemas.openxmlformats.org/officeDocument/2006/relationships/hyperlink" Target="http://www.brunel.ac.uk/" TargetMode="External"/><Relationship Id="rId1767" Type="http://schemas.openxmlformats.org/officeDocument/2006/relationships/hyperlink" Target="http://www.brunel.ac.uk/__data/assets/pdf_file/0007/384235/research-integrity-code.pdf" TargetMode="External"/><Relationship Id="rId1768" Type="http://schemas.openxmlformats.org/officeDocument/2006/relationships/hyperlink" Target="http://bura.brunel.ac.uk/" TargetMode="External"/><Relationship Id="rId1769" Type="http://schemas.openxmlformats.org/officeDocument/2006/relationships/hyperlink" Target="http://www.brunel.ac.uk/__data/assets/pdf_file/0007/101203/OA_Fund_AppForm.pdf" TargetMode="External"/><Relationship Id="rId2060" Type="http://schemas.openxmlformats.org/officeDocument/2006/relationships/hyperlink" Target="http://roarmap.eprints.org/410/" TargetMode="External"/><Relationship Id="rId2061" Type="http://schemas.openxmlformats.org/officeDocument/2006/relationships/hyperlink" Target="http://www2.surrey.ac.uk/" TargetMode="External"/><Relationship Id="rId2062" Type="http://schemas.openxmlformats.org/officeDocument/2006/relationships/hyperlink" Target="http://epubs.surrey.ac.uk/policies.html" TargetMode="External"/><Relationship Id="rId2063" Type="http://schemas.openxmlformats.org/officeDocument/2006/relationships/hyperlink" Target="http://epubs.surrey.ac.uk/" TargetMode="External"/><Relationship Id="rId2064" Type="http://schemas.openxmlformats.org/officeDocument/2006/relationships/hyperlink" Target="http://roarmap.eprints.org/411/" TargetMode="External"/><Relationship Id="rId2065" Type="http://schemas.openxmlformats.org/officeDocument/2006/relationships/hyperlink" Target="http://www.ulster.ac.uk/" TargetMode="External"/><Relationship Id="rId2066" Type="http://schemas.openxmlformats.org/officeDocument/2006/relationships/hyperlink" Target="http://eprints.ulster.ac.uk/policies.html" TargetMode="External"/><Relationship Id="rId2067" Type="http://schemas.openxmlformats.org/officeDocument/2006/relationships/hyperlink" Target="http://eprints.ulster.ac.uk/" TargetMode="External"/><Relationship Id="rId2068" Type="http://schemas.openxmlformats.org/officeDocument/2006/relationships/hyperlink" Target="http://roarmap.eprints.org/412/" TargetMode="External"/><Relationship Id="rId2069" Type="http://schemas.openxmlformats.org/officeDocument/2006/relationships/hyperlink" Target="http://www2.warwick.ac.uk/" TargetMode="External"/><Relationship Id="rId2450" Type="http://schemas.openxmlformats.org/officeDocument/2006/relationships/hyperlink" Target="http://roarmap.eprints.org/539/" TargetMode="External"/><Relationship Id="rId2451" Type="http://schemas.openxmlformats.org/officeDocument/2006/relationships/hyperlink" Target="http://www.uillinois.edu/campuses/UrbanaChampaign/" TargetMode="External"/><Relationship Id="rId2452" Type="http://schemas.openxmlformats.org/officeDocument/2006/relationships/hyperlink" Target="http://roarmap.eprints.org/535/" TargetMode="External"/><Relationship Id="rId2453" Type="http://schemas.openxmlformats.org/officeDocument/2006/relationships/hyperlink" Target="http://www.colorado.edu/" TargetMode="External"/><Relationship Id="rId2454" Type="http://schemas.openxmlformats.org/officeDocument/2006/relationships/hyperlink" Target="http://ucblibraries.colorado.edu/ScholarlyCommunications/oa/CU-Boulder%20Libraries%20Faculty%20Open%20Access%20Policy%20rev103113.pdf" TargetMode="External"/><Relationship Id="rId2455" Type="http://schemas.openxmlformats.org/officeDocument/2006/relationships/hyperlink" Target="http://digitool.library.colostate.edu/R/KU5QP19484T6LLSQMI9MJKDTUG4TEXNPM7V1Q1DHKRPYGYD1Y8-00382?func=collections&amp;collection_id=2382&amp;local_base=GEN01-UCB" TargetMode="External"/><Relationship Id="rId2456" Type="http://schemas.openxmlformats.org/officeDocument/2006/relationships/hyperlink" Target="http://roarmap.eprints.org/751/" TargetMode="External"/><Relationship Id="rId2457" Type="http://schemas.openxmlformats.org/officeDocument/2006/relationships/hyperlink" Target="http://www.udel.edu/" TargetMode="External"/><Relationship Id="rId2458" Type="http://schemas.openxmlformats.org/officeDocument/2006/relationships/hyperlink" Target="http://guides.lib.udel.edu/scholcom/openaccess" TargetMode="External"/><Relationship Id="rId2459" Type="http://schemas.openxmlformats.org/officeDocument/2006/relationships/hyperlink" Target="http://udspace.udel.edu/" TargetMode="External"/><Relationship Id="rId900" Type="http://schemas.openxmlformats.org/officeDocument/2006/relationships/hyperlink" Target="http://roarmap.eprints.org/190/" TargetMode="External"/><Relationship Id="rId901" Type="http://schemas.openxmlformats.org/officeDocument/2006/relationships/hyperlink" Target="http://www.tcd.ie/" TargetMode="External"/><Relationship Id="rId902" Type="http://schemas.openxmlformats.org/officeDocument/2006/relationships/hyperlink" Target="https://www.tcd.ie/research_innovation/assets/TCD%20Open%20Access%20Policy.pdf" TargetMode="External"/><Relationship Id="rId903" Type="http://schemas.openxmlformats.org/officeDocument/2006/relationships/hyperlink" Target="http://www.tara.tcd.ie/" TargetMode="External"/><Relationship Id="rId904" Type="http://schemas.openxmlformats.org/officeDocument/2006/relationships/hyperlink" Target="http://roarmap.eprints.org/191/" TargetMode="External"/><Relationship Id="rId905" Type="http://schemas.openxmlformats.org/officeDocument/2006/relationships/hyperlink" Target="http://www.crui.it/english/" TargetMode="External"/><Relationship Id="rId906" Type="http://schemas.openxmlformats.org/officeDocument/2006/relationships/hyperlink" Target="http://roarmap.eprints.org/830/1/Position_paper_en.pdf" TargetMode="External"/><Relationship Id="rId907" Type="http://schemas.openxmlformats.org/officeDocument/2006/relationships/hyperlink" Target="http://roarmap.eprints.org/192/" TargetMode="External"/><Relationship Id="rId120" Type="http://schemas.openxmlformats.org/officeDocument/2006/relationships/hyperlink" Target="http://www.unisa.edu.au/" TargetMode="External"/><Relationship Id="rId121" Type="http://schemas.openxmlformats.org/officeDocument/2006/relationships/hyperlink" Target="http://w3.unisa.edu.au/policies/policies/resrch/res20.asp" TargetMode="External"/><Relationship Id="rId122" Type="http://schemas.openxmlformats.org/officeDocument/2006/relationships/hyperlink" Target="http://ura.unisa.edu.au/R?RN=648171307" TargetMode="External"/><Relationship Id="rId123" Type="http://schemas.openxmlformats.org/officeDocument/2006/relationships/hyperlink" Target="http://roarmap.eprints.org/589/" TargetMode="External"/><Relationship Id="rId124" Type="http://schemas.openxmlformats.org/officeDocument/2006/relationships/hyperlink" Target="http://www.usq.edu.au/" TargetMode="External"/><Relationship Id="rId125" Type="http://schemas.openxmlformats.org/officeDocument/2006/relationships/hyperlink" Target="http://eprints.usq.edu.au/" TargetMode="External"/><Relationship Id="rId126" Type="http://schemas.openxmlformats.org/officeDocument/2006/relationships/hyperlink" Target="http://roarmap.eprints.org/679/" TargetMode="External"/><Relationship Id="rId127" Type="http://schemas.openxmlformats.org/officeDocument/2006/relationships/hyperlink" Target="http://sydney.edu.au/" TargetMode="External"/><Relationship Id="rId128" Type="http://schemas.openxmlformats.org/officeDocument/2006/relationships/hyperlink" Target="http://sydney.edu.au/policies/showdoc.aspx?recnum=PDOC2014/367" TargetMode="External"/><Relationship Id="rId129" Type="http://schemas.openxmlformats.org/officeDocument/2006/relationships/hyperlink" Target="http://ses.library.usyd.edu.au/" TargetMode="External"/><Relationship Id="rId908" Type="http://schemas.openxmlformats.org/officeDocument/2006/relationships/hyperlink" Target="http://www.eui.eu/Home.aspx" TargetMode="External"/><Relationship Id="rId909" Type="http://schemas.openxmlformats.org/officeDocument/2006/relationships/hyperlink" Target="http://roarmap.eprints.org/496/4/EUIPolicyonOpenAccess2013.pdf" TargetMode="External"/><Relationship Id="rId510" Type="http://schemas.openxmlformats.org/officeDocument/2006/relationships/hyperlink" Target="http://www.arene.fi/data/dokumentit/52bd599d-66f6-41a9-8cb7-6e151ec677d5_open%20access%20julkilausuma.pdf" TargetMode="External"/><Relationship Id="rId511" Type="http://schemas.openxmlformats.org/officeDocument/2006/relationships/hyperlink" Target="http://www.theseus.fi/" TargetMode="External"/><Relationship Id="rId512" Type="http://schemas.openxmlformats.org/officeDocument/2006/relationships/hyperlink" Target="http://roarmap.eprints.org/112/" TargetMode="External"/><Relationship Id="rId513" Type="http://schemas.openxmlformats.org/officeDocument/2006/relationships/hyperlink" Target="http://portal.hamk.fi/portal/page/portal/HAMK/In_English" TargetMode="External"/><Relationship Id="rId514" Type="http://schemas.openxmlformats.org/officeDocument/2006/relationships/hyperlink" Target="http://www.arene.fi/data/dokumentit/52bd599d-66f6-41a9-8cb7-6e151ec677d5_open%20access%20julkilausuma.pdf" TargetMode="External"/><Relationship Id="rId515" Type="http://schemas.openxmlformats.org/officeDocument/2006/relationships/hyperlink" Target="http://www.theseus.fi/" TargetMode="External"/><Relationship Id="rId516" Type="http://schemas.openxmlformats.org/officeDocument/2006/relationships/hyperlink" Target="http://roarmap.eprints.org/113/" TargetMode="External"/><Relationship Id="rId517" Type="http://schemas.openxmlformats.org/officeDocument/2006/relationships/hyperlink" Target="http://www.humak.fi/en" TargetMode="External"/><Relationship Id="rId518" Type="http://schemas.openxmlformats.org/officeDocument/2006/relationships/hyperlink" Target="http://www.arene.fi/data/dokumentit/52bd599d-66f6-41a9-8cb7-6e151ec677d5_open%20access%20julkilausuma.pdf" TargetMode="External"/><Relationship Id="rId519" Type="http://schemas.openxmlformats.org/officeDocument/2006/relationships/hyperlink" Target="http://theseus.fi/" TargetMode="External"/><Relationship Id="rId1770" Type="http://schemas.openxmlformats.org/officeDocument/2006/relationships/hyperlink" Target="http://roarmap.eprints.org/350/" TargetMode="External"/><Relationship Id="rId1771" Type="http://schemas.openxmlformats.org/officeDocument/2006/relationships/hyperlink" Target="http://www.brunel.ac.uk/siscm" TargetMode="External"/><Relationship Id="rId1772" Type="http://schemas.openxmlformats.org/officeDocument/2006/relationships/hyperlink" Target="http://bura.brunel.ac.uk/" TargetMode="External"/><Relationship Id="rId1773" Type="http://schemas.openxmlformats.org/officeDocument/2006/relationships/hyperlink" Target="http://roarmap.eprints.org/752/" TargetMode="External"/><Relationship Id="rId1380" Type="http://schemas.openxmlformats.org/officeDocument/2006/relationships/hyperlink" Target="http://www.sun.ac.za/english" TargetMode="External"/><Relationship Id="rId1381" Type="http://schemas.openxmlformats.org/officeDocument/2006/relationships/hyperlink" Target="http://scholar.sun.ac.za/" TargetMode="External"/><Relationship Id="rId1382" Type="http://schemas.openxmlformats.org/officeDocument/2006/relationships/hyperlink" Target="http://library.sun.ac.za/English/services/oa/Pages/su-oafund.aspx" TargetMode="External"/><Relationship Id="rId1383" Type="http://schemas.openxmlformats.org/officeDocument/2006/relationships/hyperlink" Target="http://roarmap.eprints.org/7/" TargetMode="External"/><Relationship Id="rId1384" Type="http://schemas.openxmlformats.org/officeDocument/2006/relationships/hyperlink" Target="http://twas.assaf.org.za/" TargetMode="External"/><Relationship Id="rId1385" Type="http://schemas.openxmlformats.org/officeDocument/2006/relationships/hyperlink" Target="http://twas.assaf.org.za/" TargetMode="External"/><Relationship Id="rId1386" Type="http://schemas.openxmlformats.org/officeDocument/2006/relationships/hyperlink" Target="http://roarmap.eprints.org/660/" TargetMode="External"/><Relationship Id="rId1387" Type="http://schemas.openxmlformats.org/officeDocument/2006/relationships/hyperlink" Target="https://www.uct.ac.za/" TargetMode="External"/><Relationship Id="rId1388" Type="http://schemas.openxmlformats.org/officeDocument/2006/relationships/hyperlink" Target="https://www.uct.ac.za/downloads/uct.ac.za/about/policies/UCTOpenAccessPolicy.pdf" TargetMode="External"/><Relationship Id="rId1389" Type="http://schemas.openxmlformats.org/officeDocument/2006/relationships/hyperlink" Target="https://open.uct.ac.za/" TargetMode="External"/><Relationship Id="rId1774" Type="http://schemas.openxmlformats.org/officeDocument/2006/relationships/hyperlink" Target="http://bucks.ac.uk/" TargetMode="External"/><Relationship Id="rId1775" Type="http://schemas.openxmlformats.org/officeDocument/2006/relationships/hyperlink" Target="http://bucks.ac.uk/content/documents/Formal_Documents/Research/Open_Access_Policy.pdf" TargetMode="External"/><Relationship Id="rId1776" Type="http://schemas.openxmlformats.org/officeDocument/2006/relationships/hyperlink" Target="http://eprints.bucks.ac.uk/" TargetMode="External"/><Relationship Id="rId1777" Type="http://schemas.openxmlformats.org/officeDocument/2006/relationships/hyperlink" Target="http://roarmap.eprints.org/351/" TargetMode="External"/><Relationship Id="rId1778" Type="http://schemas.openxmlformats.org/officeDocument/2006/relationships/hyperlink" Target="http://www.cancerresearchuk.org/" TargetMode="External"/><Relationship Id="rId1779" Type="http://schemas.openxmlformats.org/officeDocument/2006/relationships/hyperlink" Target="http://www.cancerresearchuk.org/funding-for-researchers/applying-for-funding/policies-that-affect-your-grant/policy-on-open-access-and-pubmed-central" TargetMode="External"/><Relationship Id="rId2070" Type="http://schemas.openxmlformats.org/officeDocument/2006/relationships/hyperlink" Target="http://www2.warwick.ac.uk/fac/sci/sbdtc/publications/university_of_warwick_open_access_policy_website.pdf" TargetMode="External"/><Relationship Id="rId2071" Type="http://schemas.openxmlformats.org/officeDocument/2006/relationships/hyperlink" Target="http://wrap.warwick.ac.uk/" TargetMode="External"/><Relationship Id="rId2072" Type="http://schemas.openxmlformats.org/officeDocument/2006/relationships/hyperlink" Target="http://roarmap.eprints.org/413/" TargetMode="External"/><Relationship Id="rId2073" Type="http://schemas.openxmlformats.org/officeDocument/2006/relationships/hyperlink" Target="http://www.westminster.ac.uk/" TargetMode="External"/><Relationship Id="rId2074" Type="http://schemas.openxmlformats.org/officeDocument/2006/relationships/hyperlink" Target="http://www.westminster.ac.uk/research/research-framework/dissemination-policy-wr" TargetMode="External"/><Relationship Id="rId2075" Type="http://schemas.openxmlformats.org/officeDocument/2006/relationships/hyperlink" Target="http://westminsterresearch.wmin.ac.uk/" TargetMode="External"/><Relationship Id="rId2076" Type="http://schemas.openxmlformats.org/officeDocument/2006/relationships/hyperlink" Target="http://roarmap.eprints.org/699/" TargetMode="External"/><Relationship Id="rId2077" Type="http://schemas.openxmlformats.org/officeDocument/2006/relationships/hyperlink" Target="http://www.worcester.ac.uk/" TargetMode="External"/><Relationship Id="rId2078" Type="http://schemas.openxmlformats.org/officeDocument/2006/relationships/hyperlink" Target="http://libguides.worc.ac.uk/content.php?pid=528562&amp;sid=4349103" TargetMode="External"/><Relationship Id="rId2079" Type="http://schemas.openxmlformats.org/officeDocument/2006/relationships/hyperlink" Target="http://eprints.worc.ac.uk/" TargetMode="External"/><Relationship Id="rId2460" Type="http://schemas.openxmlformats.org/officeDocument/2006/relationships/hyperlink" Target="http://roarmap.eprints.org/536/" TargetMode="External"/><Relationship Id="rId2461" Type="http://schemas.openxmlformats.org/officeDocument/2006/relationships/hyperlink" Target="http://www.ufl.edu/" TargetMode="External"/><Relationship Id="rId2462" Type="http://schemas.openxmlformats.org/officeDocument/2006/relationships/hyperlink" Target="http://ufdc.ufl.edu/ir" TargetMode="External"/><Relationship Id="rId2463" Type="http://schemas.openxmlformats.org/officeDocument/2006/relationships/hyperlink" Target="http://roarmap.eprints.org/537/" TargetMode="External"/><Relationship Id="rId2464" Type="http://schemas.openxmlformats.org/officeDocument/2006/relationships/hyperlink" Target="http://www.manoa.hawaii.edu/" TargetMode="External"/><Relationship Id="rId2465" Type="http://schemas.openxmlformats.org/officeDocument/2006/relationships/hyperlink" Target="http://manoa.hawaii.edu/ovcaa/admin_memos/pdf/memo_04042012_openaccess.pdf" TargetMode="External"/><Relationship Id="rId2466" Type="http://schemas.openxmlformats.org/officeDocument/2006/relationships/hyperlink" Target="https://scholarspace.manoa.hawaii.edu/" TargetMode="External"/><Relationship Id="rId2467" Type="http://schemas.openxmlformats.org/officeDocument/2006/relationships/hyperlink" Target="http://roarmap.eprints.org/538/" TargetMode="External"/><Relationship Id="rId2468" Type="http://schemas.openxmlformats.org/officeDocument/2006/relationships/hyperlink" Target="http://www.uic.edu/uic/" TargetMode="External"/><Relationship Id="rId2469" Type="http://schemas.openxmlformats.org/officeDocument/2006/relationships/hyperlink" Target="http://researchguides.uic.edu/libraryoapolicy" TargetMode="External"/><Relationship Id="rId910" Type="http://schemas.openxmlformats.org/officeDocument/2006/relationships/hyperlink" Target="http://cadmus.eui.eu/" TargetMode="External"/><Relationship Id="rId911" Type="http://schemas.openxmlformats.org/officeDocument/2006/relationships/hyperlink" Target="http://roarmap.eprints.org/193/" TargetMode="External"/><Relationship Id="rId912" Type="http://schemas.openxmlformats.org/officeDocument/2006/relationships/hyperlink" Target="http://www.iss.it/" TargetMode="External"/><Relationship Id="rId913" Type="http://schemas.openxmlformats.org/officeDocument/2006/relationships/hyperlink" Target="http://dspace.iss.it/dspace/bitstream/2198/352/1/Policy_ISS_IT.pdf" TargetMode="External"/><Relationship Id="rId914" Type="http://schemas.openxmlformats.org/officeDocument/2006/relationships/hyperlink" Target="http://dspace.iss.it/dspace/" TargetMode="External"/><Relationship Id="rId915" Type="http://schemas.openxmlformats.org/officeDocument/2006/relationships/hyperlink" Target="http://roarmap.eprints.org/194/" TargetMode="External"/><Relationship Id="rId916" Type="http://schemas.openxmlformats.org/officeDocument/2006/relationships/hyperlink" Target="http://attiministeriali.miur.it/" TargetMode="External"/><Relationship Id="rId917" Type="http://schemas.openxmlformats.org/officeDocument/2006/relationships/hyperlink" Target="http://roarmap.eprints.org/1000/1/dd-23012014.aspx" TargetMode="External"/><Relationship Id="rId130" Type="http://schemas.openxmlformats.org/officeDocument/2006/relationships/hyperlink" Target="http://roarmap.eprints.org/590/" TargetMode="External"/><Relationship Id="rId131" Type="http://schemas.openxmlformats.org/officeDocument/2006/relationships/hyperlink" Target="http://www.utas.edu.au/" TargetMode="External"/><Relationship Id="rId132" Type="http://schemas.openxmlformats.org/officeDocument/2006/relationships/hyperlink" Target="http://eprints.utas.edu.au/" TargetMode="External"/><Relationship Id="rId133" Type="http://schemas.openxmlformats.org/officeDocument/2006/relationships/hyperlink" Target="http://roarmap.eprints.org/591/" TargetMode="External"/><Relationship Id="rId134" Type="http://schemas.openxmlformats.org/officeDocument/2006/relationships/hyperlink" Target="http://www.utas.edu.au/computing-information-systems" TargetMode="External"/><Relationship Id="rId135" Type="http://schemas.openxmlformats.org/officeDocument/2006/relationships/hyperlink" Target="http://eprints.utas.edu.au/" TargetMode="External"/><Relationship Id="rId136" Type="http://schemas.openxmlformats.org/officeDocument/2006/relationships/hyperlink" Target="http://roarmap.eprints.org/592/" TargetMode="External"/><Relationship Id="rId137" Type="http://schemas.openxmlformats.org/officeDocument/2006/relationships/hyperlink" Target="https://www.uts.edu.au/" TargetMode="External"/><Relationship Id="rId138" Type="http://schemas.openxmlformats.org/officeDocument/2006/relationships/hyperlink" Target="http://www.gsu.uts.edu.au/policies/open-access.html" TargetMode="External"/><Relationship Id="rId139" Type="http://schemas.openxmlformats.org/officeDocument/2006/relationships/hyperlink" Target="https://opus.lib.uts.edu.au/research/" TargetMode="External"/><Relationship Id="rId918" Type="http://schemas.openxmlformats.org/officeDocument/2006/relationships/hyperlink" Target="http://roarmap.eprints.org/641/" TargetMode="External"/><Relationship Id="rId919" Type="http://schemas.openxmlformats.org/officeDocument/2006/relationships/hyperlink" Target="http://www.ircres.cnr.it/index.php/it/" TargetMode="External"/><Relationship Id="rId520" Type="http://schemas.openxmlformats.org/officeDocument/2006/relationships/hyperlink" Target="http://roarmap.eprints.org/114/" TargetMode="External"/><Relationship Id="rId521" Type="http://schemas.openxmlformats.org/officeDocument/2006/relationships/hyperlink" Target="http://www.metropolia.fi/en/" TargetMode="External"/><Relationship Id="rId522" Type="http://schemas.openxmlformats.org/officeDocument/2006/relationships/hyperlink" Target="http://www.arene.fi/data/dokumentit/52bd599d-66f6-41a9-8cb7-6e151ec677d5_open%20access%20julkilausuma.pdf" TargetMode="External"/><Relationship Id="rId523" Type="http://schemas.openxmlformats.org/officeDocument/2006/relationships/hyperlink" Target="http://www.theseus.fi/" TargetMode="External"/><Relationship Id="rId524" Type="http://schemas.openxmlformats.org/officeDocument/2006/relationships/hyperlink" Target="http://roarmap.eprints.org/115/" TargetMode="External"/><Relationship Id="rId525" Type="http://schemas.openxmlformats.org/officeDocument/2006/relationships/hyperlink" Target="https://www.jamk.fi/en/Home/" TargetMode="External"/><Relationship Id="rId526" Type="http://schemas.openxmlformats.org/officeDocument/2006/relationships/hyperlink" Target="http://www.arene.fi/data/dokumentit/52bd599d-66f6-41a9-8cb7-6e151ec677d5_open%20access%20julkilausuma.pdf" TargetMode="External"/><Relationship Id="rId527" Type="http://schemas.openxmlformats.org/officeDocument/2006/relationships/hyperlink" Target="http://theseus.fi/" TargetMode="External"/><Relationship Id="rId528" Type="http://schemas.openxmlformats.org/officeDocument/2006/relationships/hyperlink" Target="http://roarmap.eprints.org/116/" TargetMode="External"/><Relationship Id="rId529" Type="http://schemas.openxmlformats.org/officeDocument/2006/relationships/hyperlink" Target="http://www.kamk.fi/en" TargetMode="External"/><Relationship Id="rId1780" Type="http://schemas.openxmlformats.org/officeDocument/2006/relationships/hyperlink" Target="http://europepmc.org/" TargetMode="External"/><Relationship Id="rId1781" Type="http://schemas.openxmlformats.org/officeDocument/2006/relationships/hyperlink" Target="http://roarmap.eprints.org/689/" TargetMode="External"/><Relationship Id="rId1782" Type="http://schemas.openxmlformats.org/officeDocument/2006/relationships/hyperlink" Target="http://www.canterbury.ac.uk/" TargetMode="External"/><Relationship Id="rId1783" Type="http://schemas.openxmlformats.org/officeDocument/2006/relationships/hyperlink" Target="http://www.canterbury.ac.uk/centres/red/open-access/open-access-policy-CCCU-Feb2015.pdf" TargetMode="External"/><Relationship Id="rId1390" Type="http://schemas.openxmlformats.org/officeDocument/2006/relationships/hyperlink" Target="http://roarmap.eprints.org/8/" TargetMode="External"/><Relationship Id="rId1391" Type="http://schemas.openxmlformats.org/officeDocument/2006/relationships/hyperlink" Target="http://www.uj.ac.za" TargetMode="External"/><Relationship Id="rId1392" Type="http://schemas.openxmlformats.org/officeDocument/2006/relationships/hyperlink" Target="http://roarmap.eprints.org/670/1/University%20of%20Johannesburg%20Open%20Access%20mandate.pdf" TargetMode="External"/><Relationship Id="rId1393" Type="http://schemas.openxmlformats.org/officeDocument/2006/relationships/hyperlink" Target="https://ujdigispace.uj.ac.za/" TargetMode="External"/><Relationship Id="rId1394" Type="http://schemas.openxmlformats.org/officeDocument/2006/relationships/hyperlink" Target="http://roarmap.eprints.org/9/" TargetMode="External"/><Relationship Id="rId1395" Type="http://schemas.openxmlformats.org/officeDocument/2006/relationships/hyperlink" Target="http://www.up.ac.za/" TargetMode="External"/><Relationship Id="rId1396" Type="http://schemas.openxmlformats.org/officeDocument/2006/relationships/hyperlink" Target="http://www.library.up.ac.za/openup/policies.htm" TargetMode="External"/><Relationship Id="rId1397" Type="http://schemas.openxmlformats.org/officeDocument/2006/relationships/hyperlink" Target="http://repository.up.ac.za/" TargetMode="External"/><Relationship Id="rId1398" Type="http://schemas.openxmlformats.org/officeDocument/2006/relationships/hyperlink" Target="http://roarmap.eprints.org/10/" TargetMode="External"/><Relationship Id="rId1399" Type="http://schemas.openxmlformats.org/officeDocument/2006/relationships/hyperlink" Target="http://www.unisa.ac.za/" TargetMode="External"/><Relationship Id="rId1784" Type="http://schemas.openxmlformats.org/officeDocument/2006/relationships/hyperlink" Target="http://create.canterbury.ac.uk/" TargetMode="External"/><Relationship Id="rId1785" Type="http://schemas.openxmlformats.org/officeDocument/2006/relationships/hyperlink" Target="http://roarmap.eprints.org/744/" TargetMode="External"/><Relationship Id="rId1786" Type="http://schemas.openxmlformats.org/officeDocument/2006/relationships/hyperlink" Target="http://www.cardiff.ac.uk" TargetMode="External"/><Relationship Id="rId1787" Type="http://schemas.openxmlformats.org/officeDocument/2006/relationships/hyperlink" Target="http://www.cardiff.ac.uk/insrv/forresearchers/openaccess/policy/index.html" TargetMode="External"/><Relationship Id="rId1788" Type="http://schemas.openxmlformats.org/officeDocument/2006/relationships/hyperlink" Target="http://orca.cf.ac.uk/" TargetMode="External"/><Relationship Id="rId1789" Type="http://schemas.openxmlformats.org/officeDocument/2006/relationships/hyperlink" Target="http://roarmap.eprints.org/352/" TargetMode="External"/><Relationship Id="rId2080" Type="http://schemas.openxmlformats.org/officeDocument/2006/relationships/hyperlink" Target="http://libguides.worc.ac.uk/APCs" TargetMode="External"/><Relationship Id="rId2081" Type="http://schemas.openxmlformats.org/officeDocument/2006/relationships/hyperlink" Target="http://roarmap.eprints.org/700/" TargetMode="External"/><Relationship Id="rId2082" Type="http://schemas.openxmlformats.org/officeDocument/2006/relationships/hyperlink" Target="http://www.york.ac.uk/" TargetMode="External"/><Relationship Id="rId2083" Type="http://schemas.openxmlformats.org/officeDocument/2006/relationships/hyperlink" Target="http://www.york.ac.uk/media/library/documents/information-for/researchers/oa/UoYPolicyOnPublicationOfResearch20140611-WithGuidance.pdf" TargetMode="External"/><Relationship Id="rId2084" Type="http://schemas.openxmlformats.org/officeDocument/2006/relationships/hyperlink" Target="http://eprints.whiterose.ac.uk/" TargetMode="External"/><Relationship Id="rId2085" Type="http://schemas.openxmlformats.org/officeDocument/2006/relationships/hyperlink" Target="http://www.york.ac.uk/library/info-for/researchers/open-access/york/" TargetMode="External"/><Relationship Id="rId2086" Type="http://schemas.openxmlformats.org/officeDocument/2006/relationships/hyperlink" Target="http://roarmap.eprints.org/681/" TargetMode="External"/><Relationship Id="rId2087" Type="http://schemas.openxmlformats.org/officeDocument/2006/relationships/hyperlink" Target="http://www.uhi.ac.uk/en" TargetMode="External"/><Relationship Id="rId2088" Type="http://schemas.openxmlformats.org/officeDocument/2006/relationships/hyperlink" Target="http://www.uhi.ac.uk/en/research-enterprise/resource/openaccesspolicy" TargetMode="External"/><Relationship Id="rId2089" Type="http://schemas.openxmlformats.org/officeDocument/2006/relationships/hyperlink" Target="http://pure.uhi.ac.uk/portal/en/" TargetMode="External"/><Relationship Id="rId2470" Type="http://schemas.openxmlformats.org/officeDocument/2006/relationships/hyperlink" Target="http://indigo.uic.edu/" TargetMode="External"/><Relationship Id="rId2471" Type="http://schemas.openxmlformats.org/officeDocument/2006/relationships/hyperlink" Target="http://roarmap.eprints.org/540/" TargetMode="External"/><Relationship Id="rId2472" Type="http://schemas.openxmlformats.org/officeDocument/2006/relationships/hyperlink" Target="http://www.ku.edu/" TargetMode="External"/><Relationship Id="rId2473" Type="http://schemas.openxmlformats.org/officeDocument/2006/relationships/hyperlink" Target="http://policy.ku.edu/governance/open-access-policy" TargetMode="External"/><Relationship Id="rId2474" Type="http://schemas.openxmlformats.org/officeDocument/2006/relationships/hyperlink" Target="http://kuscholarworks.ku.edu/" TargetMode="External"/><Relationship Id="rId2475" Type="http://schemas.openxmlformats.org/officeDocument/2006/relationships/hyperlink" Target="http://library.kumc.edu/authors-fund.xml" TargetMode="External"/><Relationship Id="rId2476" Type="http://schemas.openxmlformats.org/officeDocument/2006/relationships/hyperlink" Target="http://roarmap.eprints.org/541/" TargetMode="External"/><Relationship Id="rId2477" Type="http://schemas.openxmlformats.org/officeDocument/2006/relationships/hyperlink" Target="http://www.uky.edu/" TargetMode="External"/><Relationship Id="rId2478" Type="http://schemas.openxmlformats.org/officeDocument/2006/relationships/hyperlink" Target="http://www.research.uky.edu/gs/CurrentStudents/theses_prep.html" TargetMode="External"/><Relationship Id="rId2479" Type="http://schemas.openxmlformats.org/officeDocument/2006/relationships/hyperlink" Target="http://uknowledge.uky.edu/gradschool/" TargetMode="External"/><Relationship Id="rId1" Type="http://schemas.openxmlformats.org/officeDocument/2006/relationships/hyperlink" Target="http://roarmap.eprints.org/775/" TargetMode="External"/><Relationship Id="rId2" Type="http://schemas.openxmlformats.org/officeDocument/2006/relationships/hyperlink" Target="http://www.univ-bouira.dz/fr/" TargetMode="External"/><Relationship Id="rId3" Type="http://schemas.openxmlformats.org/officeDocument/2006/relationships/hyperlink" Target="http://dspace.univ-bouira.dz:8080/jspui/" TargetMode="External"/><Relationship Id="rId920" Type="http://schemas.openxmlformats.org/officeDocument/2006/relationships/hyperlink" Target="http://www.digibess.it/node/34" TargetMode="External"/><Relationship Id="rId921" Type="http://schemas.openxmlformats.org/officeDocument/2006/relationships/hyperlink" Target="http://www.digibess.it" TargetMode="External"/><Relationship Id="rId922" Type="http://schemas.openxmlformats.org/officeDocument/2006/relationships/hyperlink" Target="http://roarmap.eprints.org/195/" TargetMode="External"/><Relationship Id="rId923" Type="http://schemas.openxmlformats.org/officeDocument/2006/relationships/hyperlink" Target="http://web.uniroma2.it/home.php?sr=1024" TargetMode="External"/><Relationship Id="rId924" Type="http://schemas.openxmlformats.org/officeDocument/2006/relationships/hyperlink" Target="http://roarmap.eprints.org/253/" TargetMode="External"/><Relationship Id="rId925" Type="http://schemas.openxmlformats.org/officeDocument/2006/relationships/hyperlink" Target="http://dspace.uniroma2.it/dspace/index.jsp" TargetMode="External"/><Relationship Id="rId926" Type="http://schemas.openxmlformats.org/officeDocument/2006/relationships/hyperlink" Target="http://roarmap.eprints.org/196/" TargetMode="External"/><Relationship Id="rId927" Type="http://schemas.openxmlformats.org/officeDocument/2006/relationships/hyperlink" Target="http://www.luiss.it/" TargetMode="External"/><Relationship Id="rId140" Type="http://schemas.openxmlformats.org/officeDocument/2006/relationships/hyperlink" Target="http://roarmap.eprints.org/593/" TargetMode="External"/><Relationship Id="rId141" Type="http://schemas.openxmlformats.org/officeDocument/2006/relationships/hyperlink" Target="http://www.uwa.edu.au/" TargetMode="External"/><Relationship Id="rId142" Type="http://schemas.openxmlformats.org/officeDocument/2006/relationships/hyperlink" Target="http://www.is.uwa.edu.au/research/theses" TargetMode="External"/><Relationship Id="rId143" Type="http://schemas.openxmlformats.org/officeDocument/2006/relationships/hyperlink" Target="http://www.is.uwa.edu.au/repository/home" TargetMode="External"/><Relationship Id="rId144" Type="http://schemas.openxmlformats.org/officeDocument/2006/relationships/hyperlink" Target="http://roarmap.eprints.org/594/" TargetMode="External"/><Relationship Id="rId145" Type="http://schemas.openxmlformats.org/officeDocument/2006/relationships/hyperlink" Target="http://www.uow.edu.au/index.html" TargetMode="External"/><Relationship Id="rId146" Type="http://schemas.openxmlformats.org/officeDocument/2006/relationships/hyperlink" Target="http://www.uow.edu.au/content/groups/public/@web/@gov/documents/doc/uow167088.pdf" TargetMode="External"/><Relationship Id="rId147" Type="http://schemas.openxmlformats.org/officeDocument/2006/relationships/hyperlink" Target="http://ro.uow.edu.au/" TargetMode="External"/><Relationship Id="rId148" Type="http://schemas.openxmlformats.org/officeDocument/2006/relationships/hyperlink" Target="http://roarmap.eprints.org/595/" TargetMode="External"/><Relationship Id="rId149" Type="http://schemas.openxmlformats.org/officeDocument/2006/relationships/hyperlink" Target="http://www.vu.edu.au/" TargetMode="External"/><Relationship Id="rId928" Type="http://schemas.openxmlformats.org/officeDocument/2006/relationships/hyperlink" Target="http://eprints.luiss.it/" TargetMode="External"/><Relationship Id="rId929" Type="http://schemas.openxmlformats.org/officeDocument/2006/relationships/hyperlink" Target="http://roarmap.eprints.org/197/" TargetMode="External"/><Relationship Id="rId530" Type="http://schemas.openxmlformats.org/officeDocument/2006/relationships/hyperlink" Target="http://www.arene.fi/data/dokumentit/52bd599d-66f6-41a9-8cb7-6e151ec677d5_open%20access%20julkilausuma.pdf" TargetMode="External"/><Relationship Id="rId531" Type="http://schemas.openxmlformats.org/officeDocument/2006/relationships/hyperlink" Target="http://theseus.fi/" TargetMode="External"/><Relationship Id="rId532" Type="http://schemas.openxmlformats.org/officeDocument/2006/relationships/hyperlink" Target="http://roarmap.eprints.org/117/" TargetMode="External"/><Relationship Id="rId533" Type="http://schemas.openxmlformats.org/officeDocument/2006/relationships/hyperlink" Target="http://www.lapinamk.fi/en" TargetMode="External"/><Relationship Id="rId534" Type="http://schemas.openxmlformats.org/officeDocument/2006/relationships/hyperlink" Target="http://www.arene.fi/data/dokumentit/52bd599d-66f6-41a9-8cb7-6e151ec677d5_open%20access%20julkilausuma.pdf" TargetMode="External"/><Relationship Id="rId535" Type="http://schemas.openxmlformats.org/officeDocument/2006/relationships/hyperlink" Target="http://theseus.fi/" TargetMode="External"/><Relationship Id="rId536" Type="http://schemas.openxmlformats.org/officeDocument/2006/relationships/hyperlink" Target="http://roarmap.eprints.org/118/" TargetMode="External"/><Relationship Id="rId537" Type="http://schemas.openxmlformats.org/officeDocument/2006/relationships/hyperlink" Target="http://www.kyamk.fi/Frontpage" TargetMode="External"/><Relationship Id="rId538" Type="http://schemas.openxmlformats.org/officeDocument/2006/relationships/hyperlink" Target="http://www.arene.fi/data/dokumentit/52bd599d-66f6-41a9-8cb7-6e151ec677d5_open%20access%20julkilausuma.pdf" TargetMode="External"/><Relationship Id="rId539" Type="http://schemas.openxmlformats.org/officeDocument/2006/relationships/hyperlink" Target="http://theseus.fi/" TargetMode="External"/><Relationship Id="rId4" Type="http://schemas.openxmlformats.org/officeDocument/2006/relationships/hyperlink" Target="http://dspace.univ-bouira.dz:8080/oai/request?verb=Identify" TargetMode="External"/><Relationship Id="rId5" Type="http://schemas.openxmlformats.org/officeDocument/2006/relationships/hyperlink" Target="http://roarmap.eprints.org/653/" TargetMode="External"/><Relationship Id="rId6" Type="http://schemas.openxmlformats.org/officeDocument/2006/relationships/hyperlink" Target="http://www.univ-boumerdes.dz/" TargetMode="External"/><Relationship Id="rId7" Type="http://schemas.openxmlformats.org/officeDocument/2006/relationships/hyperlink" Target="http://dlibrary.univ-boumerdes.dz:8080/jspui/" TargetMode="External"/><Relationship Id="rId8" Type="http://schemas.openxmlformats.org/officeDocument/2006/relationships/hyperlink" Target="http://roarmap.eprints.org/654/" TargetMode="External"/><Relationship Id="rId9" Type="http://schemas.openxmlformats.org/officeDocument/2006/relationships/hyperlink" Target="http://www.ibp.az/banm/en/index" TargetMode="External"/><Relationship Id="rId1790" Type="http://schemas.openxmlformats.org/officeDocument/2006/relationships/hyperlink" Target="http://www.cso.scot.nhs.uk/" TargetMode="External"/><Relationship Id="rId1791" Type="http://schemas.openxmlformats.org/officeDocument/2006/relationships/hyperlink" Target="http://www.cso.scot.nhs.uk/about/publications/cso-open-access-policy/compliance-with-cso-open-access-policy/" TargetMode="External"/><Relationship Id="rId1792" Type="http://schemas.openxmlformats.org/officeDocument/2006/relationships/hyperlink" Target="http://europepmc.org/" TargetMode="External"/><Relationship Id="rId1793" Type="http://schemas.openxmlformats.org/officeDocument/2006/relationships/hyperlink" Target="http://www.cso.scot.nhs.uk/wp-content/uploads/2013/02/Form-6a-Application-for-publication-costs.doc" TargetMode="External"/><Relationship Id="rId1794" Type="http://schemas.openxmlformats.org/officeDocument/2006/relationships/hyperlink" Target="http://roarmap.eprints.org/353/" TargetMode="External"/><Relationship Id="rId1795" Type="http://schemas.openxmlformats.org/officeDocument/2006/relationships/hyperlink" Target="http://www.city.ac.uk/" TargetMode="External"/><Relationship Id="rId1796" Type="http://schemas.openxmlformats.org/officeDocument/2006/relationships/hyperlink" Target="http://www.city.ac.uk/research/research/support-for-staff/open-access-to-research" TargetMode="External"/><Relationship Id="rId1797" Type="http://schemas.openxmlformats.org/officeDocument/2006/relationships/hyperlink" Target="http://openaccess.city.ac.uk/" TargetMode="External"/><Relationship Id="rId1798" Type="http://schemas.openxmlformats.org/officeDocument/2006/relationships/hyperlink" Target="http://roarmap.eprints.org/354/" TargetMode="External"/><Relationship Id="rId1799" Type="http://schemas.openxmlformats.org/officeDocument/2006/relationships/hyperlink" Target="http://www.coventry.ac.uk/life-on-campus/faculties-and-schools/coventry-school-of-art-and-design/departments/media/" TargetMode="External"/><Relationship Id="rId2480" Type="http://schemas.openxmlformats.org/officeDocument/2006/relationships/hyperlink" Target="http://roarmap.eprints.org/542/" TargetMode="External"/><Relationship Id="rId2481" Type="http://schemas.openxmlformats.org/officeDocument/2006/relationships/hyperlink" Target="http://www.umd.edu/" TargetMode="External"/><Relationship Id="rId2482" Type="http://schemas.openxmlformats.org/officeDocument/2006/relationships/hyperlink" Target="http://drum.lib.umd.edu/" TargetMode="External"/><Relationship Id="rId2483" Type="http://schemas.openxmlformats.org/officeDocument/2006/relationships/hyperlink" Target="http://roarmap.eprints.org/544/" TargetMode="External"/><Relationship Id="rId2090" Type="http://schemas.openxmlformats.org/officeDocument/2006/relationships/hyperlink" Target="http://roarmap.eprints.org/698/" TargetMode="External"/><Relationship Id="rId2091" Type="http://schemas.openxmlformats.org/officeDocument/2006/relationships/hyperlink" Target="http://www.uwe.ac.uk/" TargetMode="External"/><Relationship Id="rId2092" Type="http://schemas.openxmlformats.org/officeDocument/2006/relationships/hyperlink" Target="http://www1.uwe.ac.uk/library/usingthelibrary/researchers/openaccessandapcs.aspx" TargetMode="External"/><Relationship Id="rId2093" Type="http://schemas.openxmlformats.org/officeDocument/2006/relationships/hyperlink" Target="http://eprints.uwe.ac.uk/" TargetMode="External"/><Relationship Id="rId2094" Type="http://schemas.openxmlformats.org/officeDocument/2006/relationships/hyperlink" Target="http://www1.uwe.ac.uk/library/usingthelibrary/researchers/openaccessandapcs.aspx" TargetMode="External"/><Relationship Id="rId2095" Type="http://schemas.openxmlformats.org/officeDocument/2006/relationships/hyperlink" Target="http://roarmap.eprints.org/637/" TargetMode="External"/><Relationship Id="rId2096" Type="http://schemas.openxmlformats.org/officeDocument/2006/relationships/hyperlink" Target="http://www.wellcome.ac.uk/index.htm" TargetMode="External"/><Relationship Id="rId2097" Type="http://schemas.openxmlformats.org/officeDocument/2006/relationships/hyperlink" Target="http://www.wellcome.ac.uk/About-us/Policy/Policy-and-position-statements/WTD002766.htm" TargetMode="External"/><Relationship Id="rId2098" Type="http://schemas.openxmlformats.org/officeDocument/2006/relationships/hyperlink" Target="http://roarmap.eprints.org/701/" TargetMode="External"/><Relationship Id="rId2099" Type="http://schemas.openxmlformats.org/officeDocument/2006/relationships/hyperlink" Target="http://www.yorksj.ac.uk/" TargetMode="External"/><Relationship Id="rId2484" Type="http://schemas.openxmlformats.org/officeDocument/2006/relationships/hyperlink" Target="http://www.uncg.edu/" TargetMode="External"/><Relationship Id="rId2485" Type="http://schemas.openxmlformats.org/officeDocument/2006/relationships/hyperlink" Target="http://library.uncg.edu/services/scholarly_communication/open_access_policy.aspx" TargetMode="External"/><Relationship Id="rId2486" Type="http://schemas.openxmlformats.org/officeDocument/2006/relationships/hyperlink" Target="http://libres.uncg.edu/ir/" TargetMode="External"/><Relationship Id="rId2487" Type="http://schemas.openxmlformats.org/officeDocument/2006/relationships/hyperlink" Target="http://roarmap.eprints.org/545/" TargetMode="External"/><Relationship Id="rId2488" Type="http://schemas.openxmlformats.org/officeDocument/2006/relationships/hyperlink" Target="http://www.unf.edu/" TargetMode="External"/><Relationship Id="rId2489" Type="http://schemas.openxmlformats.org/officeDocument/2006/relationships/hyperlink" Target="http://lgdata.s3-website-us-east-1.amazonaws.com/docs/1652/740785/Thesis_deposit_policy_and_guide_2012_rev.pdf" TargetMode="External"/><Relationship Id="rId1000" Type="http://schemas.openxmlformats.org/officeDocument/2006/relationships/hyperlink" Target="http://tesionline.unicatt.it/" TargetMode="External"/><Relationship Id="rId1001" Type="http://schemas.openxmlformats.org/officeDocument/2006/relationships/hyperlink" Target="http://roarmap.eprints.org/642/" TargetMode="External"/><Relationship Id="rId1002" Type="http://schemas.openxmlformats.org/officeDocument/2006/relationships/hyperlink" Target="http://www.unicattolica.it/" TargetMode="External"/><Relationship Id="rId1003" Type="http://schemas.openxmlformats.org/officeDocument/2006/relationships/hyperlink" Target="http://publicatt.unicatt.it/cms/Policy.htm" TargetMode="External"/><Relationship Id="rId930" Type="http://schemas.openxmlformats.org/officeDocument/2006/relationships/hyperlink" Target="http://www.poliba.it" TargetMode="External"/><Relationship Id="rId931" Type="http://schemas.openxmlformats.org/officeDocument/2006/relationships/hyperlink" Target="http://roarmap.eprints.org/198/" TargetMode="External"/><Relationship Id="rId932" Type="http://schemas.openxmlformats.org/officeDocument/2006/relationships/hyperlink" Target="http://www.polito.it" TargetMode="External"/><Relationship Id="rId933" Type="http://schemas.openxmlformats.org/officeDocument/2006/relationships/hyperlink" Target="http://porto.polito.it/" TargetMode="External"/><Relationship Id="rId934" Type="http://schemas.openxmlformats.org/officeDocument/2006/relationships/hyperlink" Target="http://roarmap.eprints.org/199/" TargetMode="External"/><Relationship Id="rId935" Type="http://schemas.openxmlformats.org/officeDocument/2006/relationships/hyperlink" Target="http://www.imtlucca.it" TargetMode="External"/><Relationship Id="rId936" Type="http://schemas.openxmlformats.org/officeDocument/2006/relationships/hyperlink" Target="http://e-theses.imtlucca.it/images/FullDepositGuide.pdf" TargetMode="External"/><Relationship Id="rId937" Type="http://schemas.openxmlformats.org/officeDocument/2006/relationships/hyperlink" Target="http://e-theses.imtlucca.it/" TargetMode="External"/><Relationship Id="rId150" Type="http://schemas.openxmlformats.org/officeDocument/2006/relationships/hyperlink" Target="http://wcf.vu.edu.au/GovernancePolicy/PDF/POI041116000.PDF" TargetMode="External"/><Relationship Id="rId151" Type="http://schemas.openxmlformats.org/officeDocument/2006/relationships/hyperlink" Target="http://vuir.vu.edu.au/" TargetMode="External"/><Relationship Id="rId152" Type="http://schemas.openxmlformats.org/officeDocument/2006/relationships/hyperlink" Target="http://roarmap.eprints.org/773/" TargetMode="External"/><Relationship Id="rId153" Type="http://schemas.openxmlformats.org/officeDocument/2006/relationships/hyperlink" Target="https://www.akbild.ac.at/" TargetMode="External"/><Relationship Id="rId154" Type="http://schemas.openxmlformats.org/officeDocument/2006/relationships/hyperlink" Target="https://www.akbild.ac.at/Portal/kunst-forschung/open-access" TargetMode="External"/><Relationship Id="rId155" Type="http://schemas.openxmlformats.org/officeDocument/2006/relationships/hyperlink" Target="http://roarmap.eprints.org/76/" TargetMode="External"/><Relationship Id="rId156" Type="http://schemas.openxmlformats.org/officeDocument/2006/relationships/hyperlink" Target="http://www.oeaw.ac.at/english/home.html" TargetMode="External"/><Relationship Id="rId157" Type="http://schemas.openxmlformats.org/officeDocument/2006/relationships/hyperlink" Target="http://epub.oeaw.ac.at/oa/" TargetMode="External"/><Relationship Id="rId158" Type="http://schemas.openxmlformats.org/officeDocument/2006/relationships/hyperlink" Target="http://epub.oeaw.ac.at/" TargetMode="External"/><Relationship Id="rId159" Type="http://schemas.openxmlformats.org/officeDocument/2006/relationships/hyperlink" Target="http://roarmap.eprints.org/77/" TargetMode="External"/><Relationship Id="rId938" Type="http://schemas.openxmlformats.org/officeDocument/2006/relationships/hyperlink" Target="http://roarmap.eprints.org/200/" TargetMode="External"/><Relationship Id="rId939" Type="http://schemas.openxmlformats.org/officeDocument/2006/relationships/hyperlink" Target="http://www.sissa.it/" TargetMode="External"/><Relationship Id="rId1004" Type="http://schemas.openxmlformats.org/officeDocument/2006/relationships/hyperlink" Target="http://publicatt.unicatt.it/" TargetMode="External"/><Relationship Id="rId1005" Type="http://schemas.openxmlformats.org/officeDocument/2006/relationships/hyperlink" Target="http://roarmap.eprints.org/638/" TargetMode="External"/><Relationship Id="rId1006" Type="http://schemas.openxmlformats.org/officeDocument/2006/relationships/hyperlink" Target="http://www.univpm.it/" TargetMode="External"/><Relationship Id="rId1007" Type="http://schemas.openxmlformats.org/officeDocument/2006/relationships/hyperlink" Target="http://openarchive.univpm.it/jspui/" TargetMode="External"/><Relationship Id="rId1008" Type="http://schemas.openxmlformats.org/officeDocument/2006/relationships/hyperlink" Target="http://openarchive.univpm.it/jspui/" TargetMode="External"/><Relationship Id="rId1009" Type="http://schemas.openxmlformats.org/officeDocument/2006/relationships/hyperlink" Target="http://roarmap.eprints.org/224/" TargetMode="External"/><Relationship Id="rId540" Type="http://schemas.openxmlformats.org/officeDocument/2006/relationships/hyperlink" Target="http://roarmap.eprints.org/119/" TargetMode="External"/><Relationship Id="rId541" Type="http://schemas.openxmlformats.org/officeDocument/2006/relationships/hyperlink" Target="http://www.lamk.fi/english/Sivut/default.aspx" TargetMode="External"/><Relationship Id="rId542" Type="http://schemas.openxmlformats.org/officeDocument/2006/relationships/hyperlink" Target="http://www.arene.fi/data/dokumentit/52bd599d-66f6-41a9-8cb7-6e151ec677d5_open%20access%20julkilausuma.pdf" TargetMode="External"/><Relationship Id="rId543" Type="http://schemas.openxmlformats.org/officeDocument/2006/relationships/hyperlink" Target="http://theseus.fi/" TargetMode="External"/><Relationship Id="rId544" Type="http://schemas.openxmlformats.org/officeDocument/2006/relationships/hyperlink" Target="http://roarmap.eprints.org/126/" TargetMode="External"/><Relationship Id="rId545" Type="http://schemas.openxmlformats.org/officeDocument/2006/relationships/hyperlink" Target="http://www.lapinamk.fi/en" TargetMode="External"/><Relationship Id="rId546" Type="http://schemas.openxmlformats.org/officeDocument/2006/relationships/hyperlink" Target="http://www.finnoa.fi/?page_id=14" TargetMode="External"/><Relationship Id="rId547" Type="http://schemas.openxmlformats.org/officeDocument/2006/relationships/hyperlink" Target="https://www.theseus.fi/" TargetMode="External"/><Relationship Id="rId548" Type="http://schemas.openxmlformats.org/officeDocument/2006/relationships/hyperlink" Target="http://roarmap.eprints.org/120/" TargetMode="External"/><Relationship Id="rId549" Type="http://schemas.openxmlformats.org/officeDocument/2006/relationships/hyperlink" Target="http://www.laurea.fi/en/pages/default.aspx" TargetMode="External"/><Relationship Id="rId2490" Type="http://schemas.openxmlformats.org/officeDocument/2006/relationships/hyperlink" Target="http://digitalcommons.unf.edu/" TargetMode="External"/><Relationship Id="rId2491" Type="http://schemas.openxmlformats.org/officeDocument/2006/relationships/hyperlink" Target="http://roarmap.eprints.org/546/" TargetMode="External"/><Relationship Id="rId2492" Type="http://schemas.openxmlformats.org/officeDocument/2006/relationships/hyperlink" Target="http://www.unt.edu/" TargetMode="External"/><Relationship Id="rId2493" Type="http://schemas.openxmlformats.org/officeDocument/2006/relationships/hyperlink" Target="https://policy.unt.edu/sites/default/files/untpolicy/17.5_Open%20Access_Self-Archiving_and%20Long-Term%20Digital%20Stewardship%20for%20UNT%20Scholarly%20Works.pdf" TargetMode="External"/><Relationship Id="rId2494" Type="http://schemas.openxmlformats.org/officeDocument/2006/relationships/hyperlink" Target="http://digital.library.unt.edu/" TargetMode="External"/><Relationship Id="rId2495" Type="http://schemas.openxmlformats.org/officeDocument/2006/relationships/hyperlink" Target="http://roarmap.eprints.org/547/" TargetMode="External"/><Relationship Id="rId2496" Type="http://schemas.openxmlformats.org/officeDocument/2006/relationships/hyperlink" Target="http://library.unco.edu/" TargetMode="External"/><Relationship Id="rId2497" Type="http://schemas.openxmlformats.org/officeDocument/2006/relationships/hyperlink" Target="http://libguides.unco.edu/content.php?pid=322118&amp;sid=2770946" TargetMode="External"/><Relationship Id="rId2498" Type="http://schemas.openxmlformats.org/officeDocument/2006/relationships/hyperlink" Target="http://digitalunc.coalliance.org/" TargetMode="External"/><Relationship Id="rId2499" Type="http://schemas.openxmlformats.org/officeDocument/2006/relationships/hyperlink" Target="http://roarmap.eprints.org/548/" TargetMode="External"/><Relationship Id="rId1400" Type="http://schemas.openxmlformats.org/officeDocument/2006/relationships/hyperlink" Target="http://www.scribd.com/doc/59922824/UNISA-Draft-IP-Policy-Version-1" TargetMode="External"/><Relationship Id="rId1401" Type="http://schemas.openxmlformats.org/officeDocument/2006/relationships/hyperlink" Target="http://uir.unisa.ac.za/" TargetMode="External"/><Relationship Id="rId1402" Type="http://schemas.openxmlformats.org/officeDocument/2006/relationships/hyperlink" Target="http://roarmap.eprints.org/658/" TargetMode="External"/><Relationship Id="rId1403" Type="http://schemas.openxmlformats.org/officeDocument/2006/relationships/hyperlink" Target="http://www.buse.ac.zw/" TargetMode="External"/><Relationship Id="rId1404" Type="http://schemas.openxmlformats.org/officeDocument/2006/relationships/hyperlink" Target="http://digilib.buse.ac.zw:8090/xmlui/" TargetMode="External"/><Relationship Id="rId1405" Type="http://schemas.openxmlformats.org/officeDocument/2006/relationships/hyperlink" Target="http://roarmap.eprints.org/659/" TargetMode="External"/><Relationship Id="rId1406" Type="http://schemas.openxmlformats.org/officeDocument/2006/relationships/hyperlink" Target="http://www.msu.ac.zw/" TargetMode="External"/><Relationship Id="rId1407" Type="http://schemas.openxmlformats.org/officeDocument/2006/relationships/hyperlink" Target="http://ir.msu.ac.zw:8080/jspui/" TargetMode="External"/><Relationship Id="rId1408" Type="http://schemas.openxmlformats.org/officeDocument/2006/relationships/hyperlink" Target="http://roarmap.eprints.org/288/" TargetMode="External"/><Relationship Id="rId1409" Type="http://schemas.openxmlformats.org/officeDocument/2006/relationships/hyperlink" Target="http://www.uchceu.es/en/" TargetMode="External"/><Relationship Id="rId940" Type="http://schemas.openxmlformats.org/officeDocument/2006/relationships/hyperlink" Target="http://digitallibrary.sissa.it/handle/1963/3" TargetMode="External"/><Relationship Id="rId941" Type="http://schemas.openxmlformats.org/officeDocument/2006/relationships/hyperlink" Target="http://roarmap.eprints.org/202/" TargetMode="External"/><Relationship Id="rId942" Type="http://schemas.openxmlformats.org/officeDocument/2006/relationships/hyperlink" Target="http://www.telethon.it/english/default.aspx" TargetMode="External"/><Relationship Id="rId943" Type="http://schemas.openxmlformats.org/officeDocument/2006/relationships/hyperlink" Target="http://europepmc.org/" TargetMode="External"/><Relationship Id="rId944" Type="http://schemas.openxmlformats.org/officeDocument/2006/relationships/hyperlink" Target="http://roarmap.eprints.org/205/" TargetMode="External"/><Relationship Id="rId945" Type="http://schemas.openxmlformats.org/officeDocument/2006/relationships/hyperlink" Target="http://www.uniroma3.it/" TargetMode="External"/><Relationship Id="rId160" Type="http://schemas.openxmlformats.org/officeDocument/2006/relationships/hyperlink" Target="http://www.fwf.ac.at/en/index.asp" TargetMode="External"/><Relationship Id="rId161" Type="http://schemas.openxmlformats.org/officeDocument/2006/relationships/hyperlink" Target="https://www.fwf.ac.at/en/research-funding/open-access-policy/" TargetMode="External"/><Relationship Id="rId162" Type="http://schemas.openxmlformats.org/officeDocument/2006/relationships/hyperlink" Target="https://www.fwf.ac.at/en/research-funding/fwf-programmes/peer-reviewed-publications/" TargetMode="External"/><Relationship Id="rId163" Type="http://schemas.openxmlformats.org/officeDocument/2006/relationships/hyperlink" Target="http://roarmap.eprints.org/78/" TargetMode="External"/><Relationship Id="rId164" Type="http://schemas.openxmlformats.org/officeDocument/2006/relationships/hyperlink" Target="http://ist.ac.at/" TargetMode="External"/><Relationship Id="rId165" Type="http://schemas.openxmlformats.org/officeDocument/2006/relationships/hyperlink" Target="http://ist.ac.at/open-access/open-access-policy/" TargetMode="External"/><Relationship Id="rId166" Type="http://schemas.openxmlformats.org/officeDocument/2006/relationships/hyperlink" Target="https://repository.ist.ac.at/" TargetMode="External"/><Relationship Id="rId167" Type="http://schemas.openxmlformats.org/officeDocument/2006/relationships/hyperlink" Target="http://ist.ac.at/open-access/funding-agencies-on-oa/" TargetMode="External"/><Relationship Id="rId168" Type="http://schemas.openxmlformats.org/officeDocument/2006/relationships/hyperlink" Target="http://roarmap.eprints.org/79/" TargetMode="External"/><Relationship Id="rId169" Type="http://schemas.openxmlformats.org/officeDocument/2006/relationships/hyperlink" Target="http://www.uni-graz.at/en/" TargetMode="External"/><Relationship Id="rId946" Type="http://schemas.openxmlformats.org/officeDocument/2006/relationships/hyperlink" Target="http://dspace-roma3.caspur.it/?locale=en" TargetMode="External"/><Relationship Id="rId947" Type="http://schemas.openxmlformats.org/officeDocument/2006/relationships/hyperlink" Target="http://roarmap.eprints.org/231/" TargetMode="External"/><Relationship Id="rId948" Type="http://schemas.openxmlformats.org/officeDocument/2006/relationships/hyperlink" Target="http://www.unich.it/" TargetMode="External"/><Relationship Id="rId949" Type="http://schemas.openxmlformats.org/officeDocument/2006/relationships/hyperlink" Target="http://www.unich.it/unichieti/ShowBinary/BEA%20Repository/Area_Ateneo/Statuto%20e%20Regolamenti/Statuto/Statuto/file" TargetMode="External"/><Relationship Id="rId1010" Type="http://schemas.openxmlformats.org/officeDocument/2006/relationships/hyperlink" Target="http://www.unipmn.it/" TargetMode="External"/><Relationship Id="rId1011" Type="http://schemas.openxmlformats.org/officeDocument/2006/relationships/hyperlink" Target="http://roarmap.eprints.org/227/" TargetMode="External"/><Relationship Id="rId1012" Type="http://schemas.openxmlformats.org/officeDocument/2006/relationships/hyperlink" Target="http://www4.uninsubria.it/on-line/home.html" TargetMode="External"/><Relationship Id="rId1013" Type="http://schemas.openxmlformats.org/officeDocument/2006/relationships/hyperlink" Target="http://www.unipi.it/index.php/phoca-ateneo/category/6-area-didattica-e-studenti?download=29%3Aregolamento-per-il-deposito-elettronico-degli-elaborati-finali-e-delle-tesi" TargetMode="External"/><Relationship Id="rId1014" Type="http://schemas.openxmlformats.org/officeDocument/2006/relationships/hyperlink" Target="http://roarmap.eprints.org/219/" TargetMode="External"/><Relationship Id="rId1015" Type="http://schemas.openxmlformats.org/officeDocument/2006/relationships/hyperlink" Target="http://www.unica.it" TargetMode="External"/><Relationship Id="rId1016" Type="http://schemas.openxmlformats.org/officeDocument/2006/relationships/hyperlink" Target="http://veprints.unica.it/" TargetMode="External"/><Relationship Id="rId1017" Type="http://schemas.openxmlformats.org/officeDocument/2006/relationships/hyperlink" Target="http://roarmap.eprints.org/220/" TargetMode="External"/><Relationship Id="rId1018" Type="http://schemas.openxmlformats.org/officeDocument/2006/relationships/hyperlink" Target="http://www.unime.it" TargetMode="External"/><Relationship Id="rId1019" Type="http://schemas.openxmlformats.org/officeDocument/2006/relationships/hyperlink" Target="http://cab.unime.it/mus/" TargetMode="External"/><Relationship Id="rId550" Type="http://schemas.openxmlformats.org/officeDocument/2006/relationships/hyperlink" Target="http://www.arene.fi/data/dokumentit/52bd599d-66f6-41a9-8cb7-6e151ec677d5_open%20access%20julkilausuma.pdf" TargetMode="External"/><Relationship Id="rId551" Type="http://schemas.openxmlformats.org/officeDocument/2006/relationships/hyperlink" Target="http://theseus.fi/" TargetMode="External"/><Relationship Id="rId552" Type="http://schemas.openxmlformats.org/officeDocument/2006/relationships/hyperlink" Target="http://roarmap.eprints.org/121/" TargetMode="External"/><Relationship Id="rId553" Type="http://schemas.openxmlformats.org/officeDocument/2006/relationships/hyperlink" Target="http://www.mamk.fi/front_page" TargetMode="External"/><Relationship Id="rId554" Type="http://schemas.openxmlformats.org/officeDocument/2006/relationships/hyperlink" Target="http://www.arene.fi/data/dokumentit/52bd599d-66f6-41a9-8cb7-6e151ec677d5_open%20access%20julkilausuma.pdf" TargetMode="External"/><Relationship Id="rId555" Type="http://schemas.openxmlformats.org/officeDocument/2006/relationships/hyperlink" Target="http://theseus.fi/" TargetMode="External"/><Relationship Id="rId556" Type="http://schemas.openxmlformats.org/officeDocument/2006/relationships/hyperlink" Target="http://roarmap.eprints.org/122/" TargetMode="External"/><Relationship Id="rId557" Type="http://schemas.openxmlformats.org/officeDocument/2006/relationships/hyperlink" Target="http://www.karelia.fi/en/" TargetMode="External"/><Relationship Id="rId558" Type="http://schemas.openxmlformats.org/officeDocument/2006/relationships/hyperlink" Target="http://www.arene.fi/data/dokumentit/52bd599d-66f6-41a9-8cb7-6e151ec677d5_open%20access%20julkilausuma.pdf" TargetMode="External"/><Relationship Id="rId559" Type="http://schemas.openxmlformats.org/officeDocument/2006/relationships/hyperlink" Target="http://theseus.fi/" TargetMode="External"/><Relationship Id="rId1800" Type="http://schemas.openxmlformats.org/officeDocument/2006/relationships/hyperlink" Target="https://curve.coventry.ac.uk/open/access/home.do" TargetMode="External"/><Relationship Id="rId1801" Type="http://schemas.openxmlformats.org/officeDocument/2006/relationships/hyperlink" Target="http://roarmap.eprints.org/355/" TargetMode="External"/><Relationship Id="rId1802" Type="http://schemas.openxmlformats.org/officeDocument/2006/relationships/hyperlink" Target="http://www.cranfield.ac.uk/" TargetMode="External"/><Relationship Id="rId1803" Type="http://schemas.openxmlformats.org/officeDocument/2006/relationships/hyperlink" Target="https://dspace.lib.cranfield.ac.uk/" TargetMode="External"/><Relationship Id="rId1410" Type="http://schemas.openxmlformats.org/officeDocument/2006/relationships/hyperlink" Target="http://roarmap.eprints.org/1016/1/politica-acceso-abierto.pdf" TargetMode="External"/><Relationship Id="rId1411" Type="http://schemas.openxmlformats.org/officeDocument/2006/relationships/hyperlink" Target="http://dspace.ceu.es/" TargetMode="External"/><Relationship Id="rId1412" Type="http://schemas.openxmlformats.org/officeDocument/2006/relationships/hyperlink" Target="http://roarmap.eprints.org/289/" TargetMode="External"/><Relationship Id="rId1413" Type="http://schemas.openxmlformats.org/officeDocument/2006/relationships/hyperlink" Target="https://sede.asturias.es/portal/site/Asturias/menuitem.dd936699a8bc2e7af18e90dbbb30a0a0/?vgnextoid=f8a6242274c5e010VgnVCM1000000100007fRCRD&amp;i18n.http.lang=en" TargetMode="External"/><Relationship Id="rId1414" Type="http://schemas.openxmlformats.org/officeDocument/2006/relationships/hyperlink" Target="http://www.accesoabierto.net/node/17" TargetMode="External"/><Relationship Id="rId1415" Type="http://schemas.openxmlformats.org/officeDocument/2006/relationships/hyperlink" Target="http://ria.asturias.es/RIA/index.jsp" TargetMode="External"/><Relationship Id="rId1416" Type="http://schemas.openxmlformats.org/officeDocument/2006/relationships/hyperlink" Target="http://roarmap.eprints.org/290/" TargetMode="External"/><Relationship Id="rId1417" Type="http://schemas.openxmlformats.org/officeDocument/2006/relationships/hyperlink" Target="http://www.consorciomadrono.es/docs/declaracion_acceso_abierto.pdf" TargetMode="External"/><Relationship Id="rId1418" Type="http://schemas.openxmlformats.org/officeDocument/2006/relationships/hyperlink" Target="http://www.madrid.org/cs/Satellite?pagename=ComunidadMadrid/Home" TargetMode="External"/><Relationship Id="rId1419" Type="http://schemas.openxmlformats.org/officeDocument/2006/relationships/hyperlink" Target="http://www.madrimasd.org/informacionidi/convocatorias/2009/documentos/Orden_679-2009_19-02-09_Convocatoria_Ayuda_Programas_Actividades_Tecnonologia.pdf" TargetMode="External"/><Relationship Id="rId950" Type="http://schemas.openxmlformats.org/officeDocument/2006/relationships/hyperlink" Target="http://roarmap.eprints.org/204/" TargetMode="External"/><Relationship Id="rId951" Type="http://schemas.openxmlformats.org/officeDocument/2006/relationships/hyperlink" Target="http://www.units.it/" TargetMode="External"/><Relationship Id="rId952" Type="http://schemas.openxmlformats.org/officeDocument/2006/relationships/hyperlink" Target="http://hdl.handle.net/10077/8791" TargetMode="External"/><Relationship Id="rId953" Type="http://schemas.openxmlformats.org/officeDocument/2006/relationships/hyperlink" Target="http://www.openstarts.units.it" TargetMode="External"/><Relationship Id="rId954" Type="http://schemas.openxmlformats.org/officeDocument/2006/relationships/hyperlink" Target="http://roarmap.eprints.org/229/" TargetMode="External"/><Relationship Id="rId955" Type="http://schemas.openxmlformats.org/officeDocument/2006/relationships/hyperlink" Target="http://www.unipi.it/" TargetMode="External"/><Relationship Id="rId170" Type="http://schemas.openxmlformats.org/officeDocument/2006/relationships/hyperlink" Target="http://ub.uni-graz.at/de/dienstleistungen/open-access/die-uni-graz-und-open-access/open-access-policy/" TargetMode="External"/><Relationship Id="rId171" Type="http://schemas.openxmlformats.org/officeDocument/2006/relationships/hyperlink" Target="http://unipub.uni-graz.at/" TargetMode="External"/><Relationship Id="rId172" Type="http://schemas.openxmlformats.org/officeDocument/2006/relationships/hyperlink" Target="http://roarmap.eprints.org/80/" TargetMode="External"/><Relationship Id="rId173" Type="http://schemas.openxmlformats.org/officeDocument/2006/relationships/hyperlink" Target="http://www.univie.ac.at/en/" TargetMode="External"/><Relationship Id="rId174" Type="http://schemas.openxmlformats.org/officeDocument/2006/relationships/hyperlink" Target="http://openaccess.univie.ac.at/policy/" TargetMode="External"/><Relationship Id="rId175" Type="http://schemas.openxmlformats.org/officeDocument/2006/relationships/hyperlink" Target="https://uscholar.univie.ac.at/" TargetMode="External"/><Relationship Id="rId176" Type="http://schemas.openxmlformats.org/officeDocument/2006/relationships/hyperlink" Target="http://openaccess.univie.ac.at/foerderungen/zentraler-publikationsfonds/" TargetMode="External"/><Relationship Id="rId177" Type="http://schemas.openxmlformats.org/officeDocument/2006/relationships/hyperlink" Target="http://roarmap.eprints.org/83/" TargetMode="External"/><Relationship Id="rId178" Type="http://schemas.openxmlformats.org/officeDocument/2006/relationships/hyperlink" Target="http://www.academielouvain.be/redirect.php3?id=410" TargetMode="External"/><Relationship Id="rId179" Type="http://schemas.openxmlformats.org/officeDocument/2006/relationships/hyperlink" Target="http://openaccess.eprints.org/index.php?/archives/71-guid.html" TargetMode="External"/><Relationship Id="rId956" Type="http://schemas.openxmlformats.org/officeDocument/2006/relationships/hyperlink" Target="http://www.unipi.it/index.php/phoca-ateneo/category/6-area-didattica-e-studenti?download=29%3Aregolamento-per-il-deposito-elettronico-degli-elaborati-finali-e-delle-tesi" TargetMode="External"/><Relationship Id="rId957" Type="http://schemas.openxmlformats.org/officeDocument/2006/relationships/hyperlink" Target="http://etd.adm.unipi.it/" TargetMode="External"/><Relationship Id="rId958" Type="http://schemas.openxmlformats.org/officeDocument/2006/relationships/hyperlink" Target="http://roarmap.eprints.org/206/" TargetMode="External"/><Relationship Id="rId959" Type="http://schemas.openxmlformats.org/officeDocument/2006/relationships/hyperlink" Target="http://www.unibg.it/en_index.asp" TargetMode="External"/><Relationship Id="rId1020" Type="http://schemas.openxmlformats.org/officeDocument/2006/relationships/hyperlink" Target="http://roarmap.eprints.org/221/" TargetMode="External"/><Relationship Id="rId1021" Type="http://schemas.openxmlformats.org/officeDocument/2006/relationships/hyperlink" Target="http://www.unimi.it/" TargetMode="External"/><Relationship Id="rId1022" Type="http://schemas.openxmlformats.org/officeDocument/2006/relationships/hyperlink" Target="http://www.unimi.it/ricerca/air/76762.htm" TargetMode="External"/><Relationship Id="rId1023" Type="http://schemas.openxmlformats.org/officeDocument/2006/relationships/hyperlink" Target="http://air.unimi.it/" TargetMode="External"/><Relationship Id="rId1024" Type="http://schemas.openxmlformats.org/officeDocument/2006/relationships/hyperlink" Target="http://roarmap.eprints.org/222/" TargetMode="External"/><Relationship Id="rId1025" Type="http://schemas.openxmlformats.org/officeDocument/2006/relationships/hyperlink" Target="http://www.unimo.it" TargetMode="External"/><Relationship Id="rId1026" Type="http://schemas.openxmlformats.org/officeDocument/2006/relationships/hyperlink" Target="https://morethesis.unimore.it/RegolamentoDeposito.pdf" TargetMode="External"/><Relationship Id="rId1027" Type="http://schemas.openxmlformats.org/officeDocument/2006/relationships/hyperlink" Target="https://morethesis.unimore.it/" TargetMode="External"/><Relationship Id="rId1028" Type="http://schemas.openxmlformats.org/officeDocument/2006/relationships/hyperlink" Target="http://roarmap.eprints.org/228/" TargetMode="External"/><Relationship Id="rId1029" Type="http://schemas.openxmlformats.org/officeDocument/2006/relationships/hyperlink" Target="http://www.uniparthenope.it/" TargetMode="External"/><Relationship Id="rId560" Type="http://schemas.openxmlformats.org/officeDocument/2006/relationships/hyperlink" Target="http://roarmap.eprints.org/123/" TargetMode="External"/><Relationship Id="rId561" Type="http://schemas.openxmlformats.org/officeDocument/2006/relationships/hyperlink" Target="http://www.novia.fi/" TargetMode="External"/><Relationship Id="rId562" Type="http://schemas.openxmlformats.org/officeDocument/2006/relationships/hyperlink" Target="http://www.arene.fi/data/dokumentit/52bd599d-66f6-41a9-8cb7-6e151ec677d5_open%20access%20julkilausuma.pdf" TargetMode="External"/><Relationship Id="rId563" Type="http://schemas.openxmlformats.org/officeDocument/2006/relationships/hyperlink" Target="http://theseus.fi/" TargetMode="External"/><Relationship Id="rId564" Type="http://schemas.openxmlformats.org/officeDocument/2006/relationships/hyperlink" Target="http://roarmap.eprints.org/124/" TargetMode="External"/><Relationship Id="rId565" Type="http://schemas.openxmlformats.org/officeDocument/2006/relationships/hyperlink" Target="http://www.oamk.fi/english/" TargetMode="External"/><Relationship Id="rId566" Type="http://schemas.openxmlformats.org/officeDocument/2006/relationships/hyperlink" Target="http://www.arene.fi/data/dokumentit/52bd599d-66f6-41a9-8cb7-6e151ec677d5_open%20access%20julkilausuma.pdf" TargetMode="External"/><Relationship Id="rId567" Type="http://schemas.openxmlformats.org/officeDocument/2006/relationships/hyperlink" Target="http://theseus.fi/" TargetMode="External"/><Relationship Id="rId568" Type="http://schemas.openxmlformats.org/officeDocument/2006/relationships/hyperlink" Target="http://roarmap.eprints.org/127/" TargetMode="External"/><Relationship Id="rId569" Type="http://schemas.openxmlformats.org/officeDocument/2006/relationships/hyperlink" Target="http://www.saimia.fi/en-FI/general-information" TargetMode="External"/><Relationship Id="rId1804" Type="http://schemas.openxmlformats.org/officeDocument/2006/relationships/hyperlink" Target="http://roarmap.eprints.org/357/" TargetMode="External"/><Relationship Id="rId1805" Type="http://schemas.openxmlformats.org/officeDocument/2006/relationships/hyperlink" Target="http://www.dmu.ac.uk" TargetMode="External"/><Relationship Id="rId1806" Type="http://schemas.openxmlformats.org/officeDocument/2006/relationships/hyperlink" Target="http://www.dmu.ac.uk/documents/research-documents/research-support/doramandaterevisedmarch13.docx" TargetMode="External"/><Relationship Id="rId1807" Type="http://schemas.openxmlformats.org/officeDocument/2006/relationships/hyperlink" Target="https://www.dora.dmu.ac.uk/" TargetMode="External"/><Relationship Id="rId1808" Type="http://schemas.openxmlformats.org/officeDocument/2006/relationships/hyperlink" Target="http://roarmap.eprints.org/356/" TargetMode="External"/><Relationship Id="rId1809" Type="http://schemas.openxmlformats.org/officeDocument/2006/relationships/hyperlink" Target="https://www.gov.uk/government/organisations/department-of-health" TargetMode="External"/><Relationship Id="rId2100" Type="http://schemas.openxmlformats.org/officeDocument/2006/relationships/hyperlink" Target="http://www.yorksj.ac.uk/information-learning-services/information-learning-services/services-for-you/staff/institutional-repository/open-access-policy.aspx" TargetMode="External"/><Relationship Id="rId2101" Type="http://schemas.openxmlformats.org/officeDocument/2006/relationships/hyperlink" Target="http://www.yorksj.ac.uk/information-learning-services/information-learning-services/services-for-you/staff/institutional-repository.aspx" TargetMode="External"/><Relationship Id="rId2102" Type="http://schemas.openxmlformats.org/officeDocument/2006/relationships/hyperlink" Target="http://www.yorksj.ac.uk/information-learning-services/information-learning-services/services-for-you/staff/institutional-repository/open-access-policy.aspx" TargetMode="External"/><Relationship Id="rId2103" Type="http://schemas.openxmlformats.org/officeDocument/2006/relationships/hyperlink" Target="http://roarmap.eprints.org/444/" TargetMode="External"/><Relationship Id="rId2104" Type="http://schemas.openxmlformats.org/officeDocument/2006/relationships/hyperlink" Target="http://allegheny.edu/" TargetMode="External"/><Relationship Id="rId2105" Type="http://schemas.openxmlformats.org/officeDocument/2006/relationships/hyperlink" Target="http://sites.allegheny.edu/scholarlycommunication/acoapolicy/" TargetMode="External"/><Relationship Id="rId2106" Type="http://schemas.openxmlformats.org/officeDocument/2006/relationships/hyperlink" Target="https://dspace.allegheny.edu/" TargetMode="External"/><Relationship Id="rId2107" Type="http://schemas.openxmlformats.org/officeDocument/2006/relationships/hyperlink" Target="http://roarmap.eprints.org/445/" TargetMode="External"/><Relationship Id="rId2108" Type="http://schemas.openxmlformats.org/officeDocument/2006/relationships/hyperlink" Target="https://www.amherst.edu/" TargetMode="External"/><Relationship Id="rId2109" Type="http://schemas.openxmlformats.org/officeDocument/2006/relationships/hyperlink" Target="https://www.amherst.edu/library/services/facstaff/openaccessresolution" TargetMode="External"/><Relationship Id="rId1810" Type="http://schemas.openxmlformats.org/officeDocument/2006/relationships/hyperlink" Target="http://europepmc.org/" TargetMode="External"/><Relationship Id="rId1811" Type="http://schemas.openxmlformats.org/officeDocument/2006/relationships/hyperlink" Target="http://roarmap.eprints.org/729/" TargetMode="External"/><Relationship Id="rId1812" Type="http://schemas.openxmlformats.org/officeDocument/2006/relationships/hyperlink" Target="http://www.diabetes.org.uk/" TargetMode="External"/><Relationship Id="rId1813" Type="http://schemas.openxmlformats.org/officeDocument/2006/relationships/hyperlink" Target="http://www.diabetes.org.uk/Research/For-researchers/Apply-for-a-grant/Grant-conditions/" TargetMode="External"/><Relationship Id="rId1420" Type="http://schemas.openxmlformats.org/officeDocument/2006/relationships/hyperlink" Target="http://roarmap.eprints.org/291/" TargetMode="External"/><Relationship Id="rId1421" Type="http://schemas.openxmlformats.org/officeDocument/2006/relationships/hyperlink" Target="http://www.mpt.gob.es/enlaces/administracion_general_del_estado" TargetMode="External"/><Relationship Id="rId1422" Type="http://schemas.openxmlformats.org/officeDocument/2006/relationships/hyperlink" Target="http://www.mpt.gob.es/enlaces/administracion_general_del_estado" TargetMode="External"/><Relationship Id="rId1423" Type="http://schemas.openxmlformats.org/officeDocument/2006/relationships/hyperlink" Target="http://opendepot.org/" TargetMode="External"/><Relationship Id="rId1424" Type="http://schemas.openxmlformats.org/officeDocument/2006/relationships/hyperlink" Target="http://roarmap.eprints.org/293/" TargetMode="External"/><Relationship Id="rId1425" Type="http://schemas.openxmlformats.org/officeDocument/2006/relationships/hyperlink" Target="http://www.uc3m.es/Home" TargetMode="External"/><Relationship Id="rId1426" Type="http://schemas.openxmlformats.org/officeDocument/2006/relationships/hyperlink" Target="http://hdl.handle.net/10016/17691" TargetMode="External"/><Relationship Id="rId1427" Type="http://schemas.openxmlformats.org/officeDocument/2006/relationships/hyperlink" Target="http://e-archivo.uc3m.es" TargetMode="External"/><Relationship Id="rId1428" Type="http://schemas.openxmlformats.org/officeDocument/2006/relationships/hyperlink" Target="http://roarmap.eprints.org/673/" TargetMode="External"/><Relationship Id="rId1429" Type="http://schemas.openxmlformats.org/officeDocument/2006/relationships/hyperlink" Target="http://www.ucm.es/" TargetMode="External"/><Relationship Id="rId960" Type="http://schemas.openxmlformats.org/officeDocument/2006/relationships/hyperlink" Target="http://aisberg.unibg.it/" TargetMode="External"/><Relationship Id="rId961" Type="http://schemas.openxmlformats.org/officeDocument/2006/relationships/hyperlink" Target="http://roarmap.eprints.org/207/" TargetMode="External"/><Relationship Id="rId962" Type="http://schemas.openxmlformats.org/officeDocument/2006/relationships/hyperlink" Target="http://www.unibo.it/en" TargetMode="External"/><Relationship Id="rId963" Type="http://schemas.openxmlformats.org/officeDocument/2006/relationships/hyperlink" Target="http://amsdottorato.cib.unibo.it/" TargetMode="External"/><Relationship Id="rId964" Type="http://schemas.openxmlformats.org/officeDocument/2006/relationships/hyperlink" Target="http://roarmap.eprints.org/208/" TargetMode="External"/><Relationship Id="rId965" Type="http://schemas.openxmlformats.org/officeDocument/2006/relationships/hyperlink" Target="http://www.unife.it/" TargetMode="External"/><Relationship Id="rId180" Type="http://schemas.openxmlformats.org/officeDocument/2006/relationships/hyperlink" Target="http://dial.academielouvain.be/vital/access/manager/Index?site_name=BOREAL" TargetMode="External"/><Relationship Id="rId181" Type="http://schemas.openxmlformats.org/officeDocument/2006/relationships/hyperlink" Target="http://roarmap.eprints.org/85/" TargetMode="External"/><Relationship Id="rId182" Type="http://schemas.openxmlformats.org/officeDocument/2006/relationships/hyperlink" Target="http://www.uclouvain.be/index.html" TargetMode="External"/><Relationship Id="rId183" Type="http://schemas.openxmlformats.org/officeDocument/2006/relationships/hyperlink" Target="http://dial.academielouvain.be/vital/access/manager/FAQ" TargetMode="External"/><Relationship Id="rId184" Type="http://schemas.openxmlformats.org/officeDocument/2006/relationships/hyperlink" Target="http://dial.academielouvain.be/vital/access/manager/Index?site_name=BOREAL" TargetMode="External"/><Relationship Id="rId185" Type="http://schemas.openxmlformats.org/officeDocument/2006/relationships/hyperlink" Target="http://roarmap.eprints.org/680/" TargetMode="External"/><Relationship Id="rId186" Type="http://schemas.openxmlformats.org/officeDocument/2006/relationships/hyperlink" Target="http://ec.europa.eu/programmes/horizon2020/en" TargetMode="External"/><Relationship Id="rId187" Type="http://schemas.openxmlformats.org/officeDocument/2006/relationships/hyperlink" Target="http://ec.europa.eu/research/participants/data/ref/h2020/grants_manual/hi/oa_pilot/h2020-hi-oa-pilot-guide_en.pdf" TargetMode="External"/><Relationship Id="rId188" Type="http://schemas.openxmlformats.org/officeDocument/2006/relationships/hyperlink" Target="http://roarmap.eprints.org/683/" TargetMode="External"/><Relationship Id="rId189" Type="http://schemas.openxmlformats.org/officeDocument/2006/relationships/hyperlink" Target="http://erc.europa.eu/" TargetMode="External"/><Relationship Id="rId966" Type="http://schemas.openxmlformats.org/officeDocument/2006/relationships/hyperlink" Target="http://www.unife.it/progetto/equality-and-diversity/comunicazioni/Lettera%20Ricerca%20di%20genere.pdf" TargetMode="External"/><Relationship Id="rId967" Type="http://schemas.openxmlformats.org/officeDocument/2006/relationships/hyperlink" Target="http://eprints.unife.it/" TargetMode="External"/><Relationship Id="rId968" Type="http://schemas.openxmlformats.org/officeDocument/2006/relationships/hyperlink" Target="http://roarmap.eprints.org/209/" TargetMode="External"/><Relationship Id="rId969" Type="http://schemas.openxmlformats.org/officeDocument/2006/relationships/hyperlink" Target="http://www.unifi.it/" TargetMode="External"/><Relationship Id="rId1030" Type="http://schemas.openxmlformats.org/officeDocument/2006/relationships/hyperlink" Target="http://www.unipi.it/index.php/phoca-ateneo/category/6-area-didattica-e-studenti?download=29%3Aregolamento-per-il-deposito-elettronico-degli-elaborati-finali-e-delle-tesi" TargetMode="External"/><Relationship Id="rId1031" Type="http://schemas.openxmlformats.org/officeDocument/2006/relationships/hyperlink" Target="http://roarmap.eprints.org/225/" TargetMode="External"/><Relationship Id="rId1032" Type="http://schemas.openxmlformats.org/officeDocument/2006/relationships/hyperlink" Target="http://www.unisa.it/" TargetMode="External"/><Relationship Id="rId1033" Type="http://schemas.openxmlformats.org/officeDocument/2006/relationships/hyperlink" Target="http://elea.unisa.it:8080/jspui/" TargetMode="External"/><Relationship Id="rId1034" Type="http://schemas.openxmlformats.org/officeDocument/2006/relationships/hyperlink" Target="http://roarmap.eprints.org/230/" TargetMode="External"/><Relationship Id="rId1035" Type="http://schemas.openxmlformats.org/officeDocument/2006/relationships/hyperlink" Target="http://www.uniud.it/" TargetMode="External"/><Relationship Id="rId1036" Type="http://schemas.openxmlformats.org/officeDocument/2006/relationships/hyperlink" Target="https://dspace-uniud.cilea.it/" TargetMode="External"/><Relationship Id="rId1037" Type="http://schemas.openxmlformats.org/officeDocument/2006/relationships/hyperlink" Target="http://roarmap.eprints.org/226/" TargetMode="External"/><Relationship Id="rId1038" Type="http://schemas.openxmlformats.org/officeDocument/2006/relationships/hyperlink" Target="http://www.univr.it/jsp/index.jsp" TargetMode="External"/><Relationship Id="rId1039" Type="http://schemas.openxmlformats.org/officeDocument/2006/relationships/hyperlink" Target="http://www.eprints.org/openaccess/policysignup/fullinfo.php?inst=Universit%C3%A0%20degli%20Studi%20di%20Verona" TargetMode="External"/><Relationship Id="rId570" Type="http://schemas.openxmlformats.org/officeDocument/2006/relationships/hyperlink" Target="http://www.arene.fi/data/dokumentit/52bd599d-66f6-41a9-8cb7-6e151ec677d5_open%20access%20julkilausuma.pdf" TargetMode="External"/><Relationship Id="rId571" Type="http://schemas.openxmlformats.org/officeDocument/2006/relationships/hyperlink" Target="http://theseus.fi/" TargetMode="External"/><Relationship Id="rId572" Type="http://schemas.openxmlformats.org/officeDocument/2006/relationships/hyperlink" Target="http://roarmap.eprints.org/128/" TargetMode="External"/><Relationship Id="rId573" Type="http://schemas.openxmlformats.org/officeDocument/2006/relationships/hyperlink" Target="http://www.samk.fi/" TargetMode="External"/><Relationship Id="rId574" Type="http://schemas.openxmlformats.org/officeDocument/2006/relationships/hyperlink" Target="http://www.arene.fi/data/dokumentit/52bd599d-66f6-41a9-8cb7-6e151ec677d5_open%20access%20julkilausuma.pdf" TargetMode="External"/><Relationship Id="rId575" Type="http://schemas.openxmlformats.org/officeDocument/2006/relationships/hyperlink" Target="http://theseus.fi/" TargetMode="External"/><Relationship Id="rId576" Type="http://schemas.openxmlformats.org/officeDocument/2006/relationships/hyperlink" Target="http://roarmap.eprints.org/129/" TargetMode="External"/><Relationship Id="rId577" Type="http://schemas.openxmlformats.org/officeDocument/2006/relationships/hyperlink" Target="http://portal.savonia.fi/amk/en/" TargetMode="External"/><Relationship Id="rId578" Type="http://schemas.openxmlformats.org/officeDocument/2006/relationships/hyperlink" Target="http://www.arene.fi/data/dokumentit/52bd599d-66f6-41a9-8cb7-6e151ec677d5_open%20access%20julkilausuma.pdf" TargetMode="External"/><Relationship Id="rId579" Type="http://schemas.openxmlformats.org/officeDocument/2006/relationships/hyperlink" Target="http://theseus.fi/" TargetMode="External"/><Relationship Id="rId1814" Type="http://schemas.openxmlformats.org/officeDocument/2006/relationships/hyperlink" Target="http://roarmap.eprints.org/358/" TargetMode="External"/><Relationship Id="rId1815" Type="http://schemas.openxmlformats.org/officeDocument/2006/relationships/hyperlink" Target="https://www.dur.ac.uk/" TargetMode="External"/><Relationship Id="rId1816" Type="http://schemas.openxmlformats.org/officeDocument/2006/relationships/hyperlink" Target="http://dro.dur.ac.uk/du_oa_policy_summary.pdf" TargetMode="External"/><Relationship Id="rId1817" Type="http://schemas.openxmlformats.org/officeDocument/2006/relationships/hyperlink" Target="http://dro.dur.ac.uk/" TargetMode="External"/><Relationship Id="rId1818" Type="http://schemas.openxmlformats.org/officeDocument/2006/relationships/hyperlink" Target="http://roarmap.eprints.org/359/" TargetMode="External"/><Relationship Id="rId1819" Type="http://schemas.openxmlformats.org/officeDocument/2006/relationships/hyperlink" Target="http://www.esrc.ac.uk/" TargetMode="External"/><Relationship Id="rId2110" Type="http://schemas.openxmlformats.org/officeDocument/2006/relationships/hyperlink" Target="https://www.amherst.edu/media/view/20316/original/authorcharges.pdf" TargetMode="External"/><Relationship Id="rId2111" Type="http://schemas.openxmlformats.org/officeDocument/2006/relationships/hyperlink" Target="http://roarmap.eprints.org/446/" TargetMode="External"/><Relationship Id="rId2112" Type="http://schemas.openxmlformats.org/officeDocument/2006/relationships/hyperlink" Target="https://lib.asu.edu/" TargetMode="External"/><Relationship Id="rId2113" Type="http://schemas.openxmlformats.org/officeDocument/2006/relationships/hyperlink" Target="https://lib.asu.edu/librarychannel/2010/10/21/oaweek_commitment/" TargetMode="External"/><Relationship Id="rId2114" Type="http://schemas.openxmlformats.org/officeDocument/2006/relationships/hyperlink" Target="http://repository.asu.edu/" TargetMode="External"/><Relationship Id="rId2115" Type="http://schemas.openxmlformats.org/officeDocument/2006/relationships/hyperlink" Target="http://libguides.asu.edu/OAMemberships" TargetMode="External"/><Relationship Id="rId2116" Type="http://schemas.openxmlformats.org/officeDocument/2006/relationships/hyperlink" Target="http://roarmap.eprints.org/447/" TargetMode="External"/><Relationship Id="rId2117" Type="http://schemas.openxmlformats.org/officeDocument/2006/relationships/hyperlink" Target="http://www.autismspeaks.org/" TargetMode="External"/><Relationship Id="rId2118" Type="http://schemas.openxmlformats.org/officeDocument/2006/relationships/hyperlink" Target="http://www.autismspeaks.org/science/policy-statements/policy-public-access-research-we-fund" TargetMode="External"/><Relationship Id="rId2119" Type="http://schemas.openxmlformats.org/officeDocument/2006/relationships/hyperlink" Target="http://www.pubmedcentral.gov/" TargetMode="External"/><Relationship Id="rId2500" Type="http://schemas.openxmlformats.org/officeDocument/2006/relationships/hyperlink" Target="http://uoregon.edu/" TargetMode="External"/><Relationship Id="rId2501" Type="http://schemas.openxmlformats.org/officeDocument/2006/relationships/hyperlink" Target="https://scholarsbank.uoregon.edu/xmlui/" TargetMode="External"/><Relationship Id="rId2502" Type="http://schemas.openxmlformats.org/officeDocument/2006/relationships/hyperlink" Target="http://roarmap.eprints.org/549/" TargetMode="External"/><Relationship Id="rId2503" Type="http://schemas.openxmlformats.org/officeDocument/2006/relationships/hyperlink" Target="http://uoregon.edu/" TargetMode="External"/><Relationship Id="rId2504" Type="http://schemas.openxmlformats.org/officeDocument/2006/relationships/hyperlink" Target="http://pages.uoregon.edu/uosenate/dirsen090/dirPublicAccess/RomanceLanguagesPolicy.pdf" TargetMode="External"/><Relationship Id="rId2505" Type="http://schemas.openxmlformats.org/officeDocument/2006/relationships/hyperlink" Target="https://scholarsbank.uoregon.edu/xmlui/" TargetMode="External"/><Relationship Id="rId2506" Type="http://schemas.openxmlformats.org/officeDocument/2006/relationships/hyperlink" Target="http://roarmap.eprints.org/550/" TargetMode="External"/><Relationship Id="rId2507" Type="http://schemas.openxmlformats.org/officeDocument/2006/relationships/hyperlink" Target="http://www.upenn.edu/" TargetMode="External"/><Relationship Id="rId2508" Type="http://schemas.openxmlformats.org/officeDocument/2006/relationships/hyperlink" Target="http://www.upenn.edu/almanac/volumes/v58/n03/openaccess.html" TargetMode="External"/><Relationship Id="rId2509" Type="http://schemas.openxmlformats.org/officeDocument/2006/relationships/hyperlink" Target="http://repository.upenn.edu/" TargetMode="External"/><Relationship Id="rId1820" Type="http://schemas.openxmlformats.org/officeDocument/2006/relationships/hyperlink" Target="http://www.esrc.ac.uk/research/research-catalogue/index.aspx" TargetMode="External"/><Relationship Id="rId1821" Type="http://schemas.openxmlformats.org/officeDocument/2006/relationships/hyperlink" Target="http://roarmap.eprints.org/360/" TargetMode="External"/><Relationship Id="rId1822" Type="http://schemas.openxmlformats.org/officeDocument/2006/relationships/hyperlink" Target="http://www.epsrc.ac.uk/Pages/default.aspx" TargetMode="External"/><Relationship Id="rId1823" Type="http://schemas.openxmlformats.org/officeDocument/2006/relationships/hyperlink" Target="http://roarmap.eprints.org/361/" TargetMode="External"/><Relationship Id="rId1430" Type="http://schemas.openxmlformats.org/officeDocument/2006/relationships/hyperlink" Target="http://biblioteca.ucm.es/data/cont/docs/politica_acceso_abierto_20140527.pdf" TargetMode="External"/><Relationship Id="rId1431" Type="http://schemas.openxmlformats.org/officeDocument/2006/relationships/hyperlink" Target="http://eprints.ucm.es/" TargetMode="External"/><Relationship Id="rId1432" Type="http://schemas.openxmlformats.org/officeDocument/2006/relationships/hyperlink" Target="http://roarmap.eprints.org/298/" TargetMode="External"/><Relationship Id="rId1433" Type="http://schemas.openxmlformats.org/officeDocument/2006/relationships/hyperlink" Target="http://www.upct.es/" TargetMode="External"/><Relationship Id="rId1434" Type="http://schemas.openxmlformats.org/officeDocument/2006/relationships/hyperlink" Target="http://repositorio.bib.upct.es/dspace/ayuda/institucional.pdf" TargetMode="External"/><Relationship Id="rId1435" Type="http://schemas.openxmlformats.org/officeDocument/2006/relationships/hyperlink" Target="http://repositorio.bib.upct.es/dspace" TargetMode="External"/><Relationship Id="rId1436" Type="http://schemas.openxmlformats.org/officeDocument/2006/relationships/hyperlink" Target="http://roarmap.eprints.org/299/" TargetMode="External"/><Relationship Id="rId1437" Type="http://schemas.openxmlformats.org/officeDocument/2006/relationships/hyperlink" Target="http://www.upm.es/institucional" TargetMode="External"/><Relationship Id="rId1438" Type="http://schemas.openxmlformats.org/officeDocument/2006/relationships/hyperlink" Target="http://oa.upm.es/" TargetMode="External"/><Relationship Id="rId1439" Type="http://schemas.openxmlformats.org/officeDocument/2006/relationships/hyperlink" Target="http://roarmap.eprints.org/300/" TargetMode="External"/><Relationship Id="rId970" Type="http://schemas.openxmlformats.org/officeDocument/2006/relationships/hyperlink" Target="http://www.unifi.it/notiziario/upload/sub/2012_2/policy_open_access.pdf" TargetMode="External"/><Relationship Id="rId971" Type="http://schemas.openxmlformats.org/officeDocument/2006/relationships/hyperlink" Target="http://sol.unifi.it/flore/consulta" TargetMode="External"/><Relationship Id="rId972" Type="http://schemas.openxmlformats.org/officeDocument/2006/relationships/hyperlink" Target="http://roarmap.eprints.org/210/" TargetMode="External"/><Relationship Id="rId973" Type="http://schemas.openxmlformats.org/officeDocument/2006/relationships/hyperlink" Target="http://www.unimib.it/go/102/Home/English" TargetMode="External"/><Relationship Id="rId974" Type="http://schemas.openxmlformats.org/officeDocument/2006/relationships/hyperlink" Target="http://boa.unimib.it/" TargetMode="External"/><Relationship Id="rId975" Type="http://schemas.openxmlformats.org/officeDocument/2006/relationships/hyperlink" Target="http://roarmap.eprints.org/211/" TargetMode="External"/><Relationship Id="rId190" Type="http://schemas.openxmlformats.org/officeDocument/2006/relationships/hyperlink" Target="http://erc.europa.eu/sites/default/files/document/file/ERC_Open_Access_Guidelines-revised_2014.pdf" TargetMode="External"/><Relationship Id="rId191" Type="http://schemas.openxmlformats.org/officeDocument/2006/relationships/hyperlink" Target="http://roarmap.eprints.org/86/" TargetMode="External"/><Relationship Id="rId192" Type="http://schemas.openxmlformats.org/officeDocument/2006/relationships/hyperlink" Target="http://www.frs-fnrs.be/" TargetMode="External"/><Relationship Id="rId193" Type="http://schemas.openxmlformats.org/officeDocument/2006/relationships/hyperlink" Target="http://www.uclouvain.be/cps/ucl/doc/bspo/documents/FRS-FNRS_Reglement_OPEN_ACCESS.pdf" TargetMode="External"/><Relationship Id="rId194" Type="http://schemas.openxmlformats.org/officeDocument/2006/relationships/hyperlink" Target="http://www.frs-fnrs.be/uploaddocs/docs/SOUTENIR/FRS-FNRS_Reglement_OPEN_ACCESS.pdf" TargetMode="External"/><Relationship Id="rId195" Type="http://schemas.openxmlformats.org/officeDocument/2006/relationships/hyperlink" Target="http://roarmap.eprints.org/87/" TargetMode="External"/><Relationship Id="rId196" Type="http://schemas.openxmlformats.org/officeDocument/2006/relationships/hyperlink" Target="http://www.vliz.be/" TargetMode="External"/><Relationship Id="rId197" Type="http://schemas.openxmlformats.org/officeDocument/2006/relationships/hyperlink" Target="http://www.vliz.be/en/open-marine-archive?page&amp;module=ref" TargetMode="External"/><Relationship Id="rId198" Type="http://schemas.openxmlformats.org/officeDocument/2006/relationships/hyperlink" Target="http://roarmap.eprints.org/88/" TargetMode="External"/><Relationship Id="rId199" Type="http://schemas.openxmlformats.org/officeDocument/2006/relationships/hyperlink" Target="http://www.ugent.be/" TargetMode="External"/><Relationship Id="rId976" Type="http://schemas.openxmlformats.org/officeDocument/2006/relationships/hyperlink" Target="http://www.unina.it/index.jsp" TargetMode="External"/><Relationship Id="rId977" Type="http://schemas.openxmlformats.org/officeDocument/2006/relationships/hyperlink" Target="http://www.fedoa.unina.it/" TargetMode="External"/><Relationship Id="rId978" Type="http://schemas.openxmlformats.org/officeDocument/2006/relationships/hyperlink" Target="http://roarmap.eprints.org/212/" TargetMode="External"/><Relationship Id="rId979" Type="http://schemas.openxmlformats.org/officeDocument/2006/relationships/hyperlink" Target="http://www.unipd.it/" TargetMode="External"/><Relationship Id="rId1040" Type="http://schemas.openxmlformats.org/officeDocument/2006/relationships/hyperlink" Target="http://www.univr.it/main?ent=catalogoaol&amp;page=pubblicazioni&amp;lang=it" TargetMode="External"/><Relationship Id="rId1041" Type="http://schemas.openxmlformats.org/officeDocument/2006/relationships/hyperlink" Target="http://roarmap.eprints.org/215/" TargetMode="External"/><Relationship Id="rId1042" Type="http://schemas.openxmlformats.org/officeDocument/2006/relationships/hyperlink" Target="http://www.unito.it/" TargetMode="External"/><Relationship Id="rId1043" Type="http://schemas.openxmlformats.org/officeDocument/2006/relationships/hyperlink" Target="http://www.unito.it/unitoWAR/ShowBinary/FSRepo/Area_Portale_Pubblico/Documenti/R/regolamento_accesso_aperto.PDF" TargetMode="External"/><Relationship Id="rId1044" Type="http://schemas.openxmlformats.org/officeDocument/2006/relationships/hyperlink" Target="http://aperto.unito.it/" TargetMode="External"/><Relationship Id="rId1045" Type="http://schemas.openxmlformats.org/officeDocument/2006/relationships/hyperlink" Target="http://roarmap.eprints.org/223/" TargetMode="External"/><Relationship Id="rId1046" Type="http://schemas.openxmlformats.org/officeDocument/2006/relationships/hyperlink" Target="http://www.unipa.it/" TargetMode="External"/><Relationship Id="rId1047" Type="http://schemas.openxmlformats.org/officeDocument/2006/relationships/hyperlink" Target="http://portale.unipa.it/dipartimenti/beniculturalistudiculturali/dottorati/studiculturalieuropei/.content/documenti/regolamento_dottorato_studi_europei.pdf" TargetMode="External"/><Relationship Id="rId1048" Type="http://schemas.openxmlformats.org/officeDocument/2006/relationships/hyperlink" Target="http://surplus.unipa.it/oa/" TargetMode="External"/><Relationship Id="rId1049" Type="http://schemas.openxmlformats.org/officeDocument/2006/relationships/hyperlink" Target="http://roarmap.eprints.org/640/" TargetMode="External"/><Relationship Id="rId580" Type="http://schemas.openxmlformats.org/officeDocument/2006/relationships/hyperlink" Target="http://roarmap.eprints.org/130/" TargetMode="External"/><Relationship Id="rId581" Type="http://schemas.openxmlformats.org/officeDocument/2006/relationships/hyperlink" Target="http://www.seamk.fi/en" TargetMode="External"/><Relationship Id="rId582" Type="http://schemas.openxmlformats.org/officeDocument/2006/relationships/hyperlink" Target="http://www.arene.fi/data/dokumentit/52bd599d-66f6-41a9-8cb7-6e151ec677d5_open%20access%20julkilausuma.pdf" TargetMode="External"/><Relationship Id="rId583" Type="http://schemas.openxmlformats.org/officeDocument/2006/relationships/hyperlink" Target="http://www.theseus.fi/" TargetMode="External"/><Relationship Id="rId584" Type="http://schemas.openxmlformats.org/officeDocument/2006/relationships/hyperlink" Target="http://roarmap.eprints.org/131/" TargetMode="External"/><Relationship Id="rId585" Type="http://schemas.openxmlformats.org/officeDocument/2006/relationships/hyperlink" Target="http://www.tamk.fi/cms/tamken.nsf" TargetMode="External"/><Relationship Id="rId586" Type="http://schemas.openxmlformats.org/officeDocument/2006/relationships/hyperlink" Target="http://www.arene.fi/data/dokumentit/52bd599d-66f6-41a9-8cb7-6e151ec677d5_open%20access%20julkilausuma.pdf" TargetMode="External"/><Relationship Id="rId587" Type="http://schemas.openxmlformats.org/officeDocument/2006/relationships/hyperlink" Target="http://theseus.fi/" TargetMode="External"/><Relationship Id="rId588" Type="http://schemas.openxmlformats.org/officeDocument/2006/relationships/hyperlink" Target="http://roarmap.eprints.org/132/" TargetMode="External"/><Relationship Id="rId589" Type="http://schemas.openxmlformats.org/officeDocument/2006/relationships/hyperlink" Target="http://www.tuas.fi/en/" TargetMode="External"/><Relationship Id="rId1824" Type="http://schemas.openxmlformats.org/officeDocument/2006/relationships/hyperlink" Target="http://www.falmouth.ac.uk/" TargetMode="External"/><Relationship Id="rId1825" Type="http://schemas.openxmlformats.org/officeDocument/2006/relationships/hyperlink" Target="http://www.falmouth.ac.uk/repository/policies" TargetMode="External"/><Relationship Id="rId1826" Type="http://schemas.openxmlformats.org/officeDocument/2006/relationships/hyperlink" Target="http://roarmap.eprints.org/362/" TargetMode="External"/><Relationship Id="rId1827" Type="http://schemas.openxmlformats.org/officeDocument/2006/relationships/hyperlink" Target="http://www.hefce.ac.uk/" TargetMode="External"/><Relationship Id="rId1828" Type="http://schemas.openxmlformats.org/officeDocument/2006/relationships/hyperlink" Target="https://www.hefce.ac.uk/pubs/year/2014/201407/name,86771,en.html" TargetMode="External"/><Relationship Id="rId1829" Type="http://schemas.openxmlformats.org/officeDocument/2006/relationships/hyperlink" Target="http://roarmap.eprints.org/363/" TargetMode="External"/><Relationship Id="rId2120" Type="http://schemas.openxmlformats.org/officeDocument/2006/relationships/hyperlink" Target="http://roarmap.eprints.org/726/" TargetMode="External"/><Relationship Id="rId2121" Type="http://schemas.openxmlformats.org/officeDocument/2006/relationships/hyperlink" Target="http://www.gatesfoundation.org/" TargetMode="External"/><Relationship Id="rId2122" Type="http://schemas.openxmlformats.org/officeDocument/2006/relationships/hyperlink" Target="http://www.gatesfoundation.org/How-We-Work/General-Information/Open-Access-Policy" TargetMode="External"/><Relationship Id="rId2123" Type="http://schemas.openxmlformats.org/officeDocument/2006/relationships/hyperlink" Target="http://roarmap.eprints.org/719/" TargetMode="External"/><Relationship Id="rId2124" Type="http://schemas.openxmlformats.org/officeDocument/2006/relationships/hyperlink" Target="http://www.bu.edu/" TargetMode="External"/><Relationship Id="rId2125" Type="http://schemas.openxmlformats.org/officeDocument/2006/relationships/hyperlink" Target="http://www.bu.edu/library/files/2015/02/Open-Access-Policy-2015.pdf" TargetMode="External"/><Relationship Id="rId2126" Type="http://schemas.openxmlformats.org/officeDocument/2006/relationships/hyperlink" Target="https://open.bu.edu/" TargetMode="External"/><Relationship Id="rId2127" Type="http://schemas.openxmlformats.org/officeDocument/2006/relationships/hyperlink" Target="http://roarmap.eprints.org/448/" TargetMode="External"/><Relationship Id="rId2128" Type="http://schemas.openxmlformats.org/officeDocument/2006/relationships/hyperlink" Target="http://www.brandeis.edu/" TargetMode="External"/><Relationship Id="rId2129" Type="http://schemas.openxmlformats.org/officeDocument/2006/relationships/hyperlink" Target="http://bir.brandeis.edu/" TargetMode="External"/><Relationship Id="rId2510" Type="http://schemas.openxmlformats.org/officeDocument/2006/relationships/hyperlink" Target="http://roarmap.eprints.org/551/" TargetMode="External"/><Relationship Id="rId2511" Type="http://schemas.openxmlformats.org/officeDocument/2006/relationships/hyperlink" Target="http://www.law.upr.edu/" TargetMode="External"/><Relationship Id="rId2512" Type="http://schemas.openxmlformats.org/officeDocument/2006/relationships/hyperlink" Target="https://mx2.arl.org/Lists/SPARC-OAForum/Message/5436.html" TargetMode="External"/><Relationship Id="rId2513" Type="http://schemas.openxmlformats.org/officeDocument/2006/relationships/hyperlink" Target="http://repositorio.upr.edu:8080/jspui/" TargetMode="External"/><Relationship Id="rId2514" Type="http://schemas.openxmlformats.org/officeDocument/2006/relationships/hyperlink" Target="http://roarmap.eprints.org/552/" TargetMode="External"/><Relationship Id="rId2515" Type="http://schemas.openxmlformats.org/officeDocument/2006/relationships/hyperlink" Target="http://ww2.uri.edu/" TargetMode="External"/><Relationship Id="rId2516" Type="http://schemas.openxmlformats.org/officeDocument/2006/relationships/hyperlink" Target="http://www.uri.edu/facsen/about/legislation/legislation_documents/2012-13/Bill_12-13-29.pdf" TargetMode="External"/><Relationship Id="rId2517" Type="http://schemas.openxmlformats.org/officeDocument/2006/relationships/hyperlink" Target="http://digitalcommons.uri.edu/" TargetMode="External"/><Relationship Id="rId2518" Type="http://schemas.openxmlformats.org/officeDocument/2006/relationships/hyperlink" Target="http://roarmap.eprints.org/553/" TargetMode="External"/><Relationship Id="rId2519" Type="http://schemas.openxmlformats.org/officeDocument/2006/relationships/hyperlink" Target="http://www.utk.edu/" TargetMode="External"/><Relationship Id="rId1830" Type="http://schemas.openxmlformats.org/officeDocument/2006/relationships/hyperlink" Target="http://www3.imperial.ac.uk/" TargetMode="External"/><Relationship Id="rId1831" Type="http://schemas.openxmlformats.org/officeDocument/2006/relationships/hyperlink" Target="http://www3.imperial.ac.uk/library/subjectsandsupport/spiral/oamandate" TargetMode="External"/><Relationship Id="rId1832" Type="http://schemas.openxmlformats.org/officeDocument/2006/relationships/hyperlink" Target="http://www3.imperial.ac.uk/library/subjectsandsupport/spiral" TargetMode="External"/><Relationship Id="rId1833" Type="http://schemas.openxmlformats.org/officeDocument/2006/relationships/hyperlink" Target="http://www3.imperial.ac.uk/library/subjectsandsupport/openaccess/oafund" TargetMode="External"/><Relationship Id="rId1440" Type="http://schemas.openxmlformats.org/officeDocument/2006/relationships/hyperlink" Target="http://www.urjc.es/" TargetMode="External"/><Relationship Id="rId1441" Type="http://schemas.openxmlformats.org/officeDocument/2006/relationships/hyperlink" Target="http://roarmap.eprints.org/704/1/ESFmandateRec.pdf" TargetMode="External"/><Relationship Id="rId1442" Type="http://schemas.openxmlformats.org/officeDocument/2006/relationships/hyperlink" Target="http://eciencia.urjc.es/dspace/" TargetMode="External"/><Relationship Id="rId1443" Type="http://schemas.openxmlformats.org/officeDocument/2006/relationships/hyperlink" Target="http://roarmap.eprints.org/292/" TargetMode="External"/><Relationship Id="rId1444" Type="http://schemas.openxmlformats.org/officeDocument/2006/relationships/hyperlink" Target="http://www.uah.es" TargetMode="External"/><Relationship Id="rId1445" Type="http://schemas.openxmlformats.org/officeDocument/2006/relationships/hyperlink" Target="http://www.uah.es/biblioteca/documentos/Politica_institucional_acceso_abierto_UAH.pdf" TargetMode="External"/><Relationship Id="rId1446" Type="http://schemas.openxmlformats.org/officeDocument/2006/relationships/hyperlink" Target="http://dspace.uah.es/dspace" TargetMode="External"/><Relationship Id="rId1447" Type="http://schemas.openxmlformats.org/officeDocument/2006/relationships/hyperlink" Target="http://roarmap.eprints.org/294/" TargetMode="External"/><Relationship Id="rId1448" Type="http://schemas.openxmlformats.org/officeDocument/2006/relationships/hyperlink" Target="http://www.unican.es" TargetMode="External"/><Relationship Id="rId1449" Type="http://schemas.openxmlformats.org/officeDocument/2006/relationships/hyperlink" Target="http://repositorio.unican.es/xmlui/themes/unican/lib/Politica_Repositorio_Ucrea.pdf" TargetMode="External"/><Relationship Id="rId980" Type="http://schemas.openxmlformats.org/officeDocument/2006/relationships/hyperlink" Target="http://paduaresearch.cab.unipd.it/" TargetMode="External"/><Relationship Id="rId981" Type="http://schemas.openxmlformats.org/officeDocument/2006/relationships/hyperlink" Target="http://roarmap.eprints.org/213/" TargetMode="External"/><Relationship Id="rId982" Type="http://schemas.openxmlformats.org/officeDocument/2006/relationships/hyperlink" Target="http://www.uniss.it/php/home.php" TargetMode="External"/><Relationship Id="rId983" Type="http://schemas.openxmlformats.org/officeDocument/2006/relationships/hyperlink" Target="http://eprints.uniss.it/" TargetMode="External"/><Relationship Id="rId984" Type="http://schemas.openxmlformats.org/officeDocument/2006/relationships/hyperlink" Target="http://roarmap.eprints.org/214/" TargetMode="External"/><Relationship Id="rId985" Type="http://schemas.openxmlformats.org/officeDocument/2006/relationships/hyperlink" Target="http://www.unitn.it/" TargetMode="External"/><Relationship Id="rId986" Type="http://schemas.openxmlformats.org/officeDocument/2006/relationships/hyperlink" Target="http://roarmap.eprints.org/1004/1/policy-ateneo-open-access-2912014.pdf" TargetMode="External"/><Relationship Id="rId987" Type="http://schemas.openxmlformats.org/officeDocument/2006/relationships/hyperlink" Target="http://eprints.biblio.unitn.it/" TargetMode="External"/><Relationship Id="rId988" Type="http://schemas.openxmlformats.org/officeDocument/2006/relationships/hyperlink" Target="http://roarmap.eprints.org/216/" TargetMode="External"/><Relationship Id="rId989" Type="http://schemas.openxmlformats.org/officeDocument/2006/relationships/hyperlink" Target="http://www.dss.unito.it/dcps/" TargetMode="External"/><Relationship Id="rId1050" Type="http://schemas.openxmlformats.org/officeDocument/2006/relationships/hyperlink" Target="http://www.unipr.it/" TargetMode="External"/><Relationship Id="rId1051" Type="http://schemas.openxmlformats.org/officeDocument/2006/relationships/hyperlink" Target="http://dspace-unipr.cineca.it/" TargetMode="External"/><Relationship Id="rId1052" Type="http://schemas.openxmlformats.org/officeDocument/2006/relationships/hyperlink" Target="http://roarmap.eprints.org/769/" TargetMode="External"/><Relationship Id="rId1053" Type="http://schemas.openxmlformats.org/officeDocument/2006/relationships/hyperlink" Target="http://www.fondazionecariplo.it/it/index.html" TargetMode="External"/><Relationship Id="rId1054" Type="http://schemas.openxmlformats.org/officeDocument/2006/relationships/hyperlink" Target="http://www.fondazionecariplo.it/static/upload/pol/policy_open_access_en.pdf" TargetMode="External"/><Relationship Id="rId1055" Type="http://schemas.openxmlformats.org/officeDocument/2006/relationships/hyperlink" Target="http://roarmap.eprints.org/39/" TargetMode="External"/><Relationship Id="rId1056" Type="http://schemas.openxmlformats.org/officeDocument/2006/relationships/hyperlink" Target="http://www.oia.hokudai.ac.jp/" TargetMode="External"/><Relationship Id="rId1057" Type="http://schemas.openxmlformats.org/officeDocument/2006/relationships/hyperlink" Target="http://eprints.lib.hokudai.ac.jp/dspace/staff/policy_en.jsp" TargetMode="External"/><Relationship Id="rId1058" Type="http://schemas.openxmlformats.org/officeDocument/2006/relationships/hyperlink" Target="http://eprints.lib.hokudai.ac.jp/dspace/" TargetMode="External"/><Relationship Id="rId1059" Type="http://schemas.openxmlformats.org/officeDocument/2006/relationships/hyperlink" Target="http://www.oia.hokudai.ac.jp/blog/2014/04/25/scholarly_publication_support_2014/" TargetMode="External"/><Relationship Id="rId590" Type="http://schemas.openxmlformats.org/officeDocument/2006/relationships/hyperlink" Target="http://www.arene.fi/data/dokumentit/52bd599d-66f6-41a9-8cb7-6e151ec677d5_open%20access%20julkilausuma.pdf" TargetMode="External"/><Relationship Id="rId591" Type="http://schemas.openxmlformats.org/officeDocument/2006/relationships/hyperlink" Target="http://theseus.fi/" TargetMode="External"/><Relationship Id="rId592" Type="http://schemas.openxmlformats.org/officeDocument/2006/relationships/hyperlink" Target="http://roarmap.eprints.org/133/" TargetMode="External"/><Relationship Id="rId593" Type="http://schemas.openxmlformats.org/officeDocument/2006/relationships/hyperlink" Target="http://www.helsinki.fi/university/index.html" TargetMode="External"/><Relationship Id="rId594" Type="http://schemas.openxmlformats.org/officeDocument/2006/relationships/hyperlink" Target="http://www.helsinki.fi/openaccess/open%20access/english/decision260508_eng.pdf" TargetMode="External"/><Relationship Id="rId595" Type="http://schemas.openxmlformats.org/officeDocument/2006/relationships/hyperlink" Target="https://helda.helsinki.fi/" TargetMode="External"/><Relationship Id="rId596" Type="http://schemas.openxmlformats.org/officeDocument/2006/relationships/hyperlink" Target="http://roarmap.eprints.org/134/" TargetMode="External"/><Relationship Id="rId597" Type="http://schemas.openxmlformats.org/officeDocument/2006/relationships/hyperlink" Target="http://www.uta.fi/english/" TargetMode="External"/><Relationship Id="rId598" Type="http://schemas.openxmlformats.org/officeDocument/2006/relationships/hyperlink" Target="http://www.uta.fi/english/research/OA/self-archiving/decision_OA.pdf" TargetMode="External"/><Relationship Id="rId599" Type="http://schemas.openxmlformats.org/officeDocument/2006/relationships/hyperlink" Target="http://tampub.uta.fi/english/index.php" TargetMode="External"/><Relationship Id="rId1834" Type="http://schemas.openxmlformats.org/officeDocument/2006/relationships/hyperlink" Target="http://roarmap.eprints.org/364/" TargetMode="External"/><Relationship Id="rId1835" Type="http://schemas.openxmlformats.org/officeDocument/2006/relationships/hyperlink" Target="http://www.jisc.ac.uk/" TargetMode="External"/><Relationship Id="rId1836" Type="http://schemas.openxmlformats.org/officeDocument/2006/relationships/hyperlink" Target="http://roarmap.eprints.org/690/" TargetMode="External"/><Relationship Id="rId1837" Type="http://schemas.openxmlformats.org/officeDocument/2006/relationships/hyperlink" Target="http://www.kcl.ac.uk/index.aspx" TargetMode="External"/><Relationship Id="rId1838" Type="http://schemas.openxmlformats.org/officeDocument/2006/relationships/hyperlink" Target="http://www.kcl.ac.uk/college/policyzone/assets/files/information_policies/Kings_Open_Access_Policy.pdf" TargetMode="External"/><Relationship Id="rId1839" Type="http://schemas.openxmlformats.org/officeDocument/2006/relationships/hyperlink" Target="https://kclpure.kcl.ac.uk/portal/en/" TargetMode="External"/><Relationship Id="rId2130" Type="http://schemas.openxmlformats.org/officeDocument/2006/relationships/hyperlink" Target="http://scholcomm.brandeis.edu/open-access/brandeis-open-access-fund-description/" TargetMode="External"/><Relationship Id="rId2131" Type="http://schemas.openxmlformats.org/officeDocument/2006/relationships/hyperlink" Target="http://roarmap.eprints.org/450/" TargetMode="External"/><Relationship Id="rId2132" Type="http://schemas.openxmlformats.org/officeDocument/2006/relationships/hyperlink" Target="http://lib.byu.edu/" TargetMode="External"/><Relationship Id="rId2133" Type="http://schemas.openxmlformats.org/officeDocument/2006/relationships/hyperlink" Target="http://etd.byu.edu/" TargetMode="External"/><Relationship Id="rId2134" Type="http://schemas.openxmlformats.org/officeDocument/2006/relationships/hyperlink" Target="http://scholarsarchive.byu.edu/" TargetMode="External"/><Relationship Id="rId2135" Type="http://schemas.openxmlformats.org/officeDocument/2006/relationships/hyperlink" Target="http://roarmap.eprints.org/451/" TargetMode="External"/><Relationship Id="rId2136" Type="http://schemas.openxmlformats.org/officeDocument/2006/relationships/hyperlink" Target="http://www.brynmawr.edu/" TargetMode="External"/><Relationship Id="rId2137" Type="http://schemas.openxmlformats.org/officeDocument/2006/relationships/hyperlink" Target="http://www.brynmawr.edu/openaccess/" TargetMode="External"/><Relationship Id="rId2138" Type="http://schemas.openxmlformats.org/officeDocument/2006/relationships/hyperlink" Target="http://repository.brynmawr.edu/" TargetMode="External"/><Relationship Id="rId2139" Type="http://schemas.openxmlformats.org/officeDocument/2006/relationships/hyperlink" Target="http://roarmap.eprints.org/452/" TargetMode="External"/><Relationship Id="rId2520" Type="http://schemas.openxmlformats.org/officeDocument/2006/relationships/hyperlink" Target="http://www.trace.tennessee.edu/" TargetMode="External"/><Relationship Id="rId2521" Type="http://schemas.openxmlformats.org/officeDocument/2006/relationships/hyperlink" Target="http://roarmap.eprints.org/554/" TargetMode="External"/><Relationship Id="rId2522" Type="http://schemas.openxmlformats.org/officeDocument/2006/relationships/hyperlink" Target="http://www.virginia.edu/" TargetMode="External"/><Relationship Id="rId2523" Type="http://schemas.openxmlformats.org/officeDocument/2006/relationships/hyperlink" Target="http://www.virginia.edu/facultysenate/wp-content/uploads/2013/08/OpenAccessResolution2-5-2010Revision.pdf" TargetMode="External"/><Relationship Id="rId2524" Type="http://schemas.openxmlformats.org/officeDocument/2006/relationships/hyperlink" Target="http://libra.virginia.edu/" TargetMode="External"/><Relationship Id="rId2525" Type="http://schemas.openxmlformats.org/officeDocument/2006/relationships/hyperlink" Target="http://copyright.library.virginia.edu/support-for-open-access-publishing/uva-library-open-access-fund/" TargetMode="External"/><Relationship Id="rId2526" Type="http://schemas.openxmlformats.org/officeDocument/2006/relationships/hyperlink" Target="http://roarmap.eprints.org/555/" TargetMode="External"/><Relationship Id="rId2527" Type="http://schemas.openxmlformats.org/officeDocument/2006/relationships/hyperlink" Target="http://www.uwec.edu/index.htm" TargetMode="External"/><Relationship Id="rId2528" Type="http://schemas.openxmlformats.org/officeDocument/2006/relationships/hyperlink" Target="http://www.uwec.edu/Library/services/openaccessdeclaration.htm" TargetMode="External"/><Relationship Id="rId2529" Type="http://schemas.openxmlformats.org/officeDocument/2006/relationships/hyperlink" Target="http://minds.wisconsin.edu/" TargetMode="External"/><Relationship Id="rId1840" Type="http://schemas.openxmlformats.org/officeDocument/2006/relationships/hyperlink" Target="http://www.kcl.ac.uk/library/researchsupport/openaccess/funding.aspx" TargetMode="External"/><Relationship Id="rId1841" Type="http://schemas.openxmlformats.org/officeDocument/2006/relationships/hyperlink" Target="http://roarmap.eprints.org/365/" TargetMode="External"/><Relationship Id="rId1842" Type="http://schemas.openxmlformats.org/officeDocument/2006/relationships/hyperlink" Target="http://www.lancaster.ac.uk/" TargetMode="External"/><Relationship Id="rId1843" Type="http://schemas.openxmlformats.org/officeDocument/2006/relationships/hyperlink" Target="http://lancaster.libguides.com/loader.php?type=d&amp;id=702037" TargetMode="External"/><Relationship Id="rId1450" Type="http://schemas.openxmlformats.org/officeDocument/2006/relationships/hyperlink" Target="http://repositorio.unican.es" TargetMode="External"/><Relationship Id="rId1451" Type="http://schemas.openxmlformats.org/officeDocument/2006/relationships/hyperlink" Target="http://roarmap.eprints.org/295/" TargetMode="External"/><Relationship Id="rId1452" Type="http://schemas.openxmlformats.org/officeDocument/2006/relationships/hyperlink" Target="http://www.unex.es" TargetMode="External"/><Relationship Id="rId1453" Type="http://schemas.openxmlformats.org/officeDocument/2006/relationships/hyperlink" Target="http://dehesa.unex.es:8080/static/ourcontent/repositorio_uex.pdf" TargetMode="External"/><Relationship Id="rId1454" Type="http://schemas.openxmlformats.org/officeDocument/2006/relationships/hyperlink" Target="http://dehesa.unex.es" TargetMode="External"/><Relationship Id="rId1455" Type="http://schemas.openxmlformats.org/officeDocument/2006/relationships/hyperlink" Target="http://roarmap.eprints.org/686/" TargetMode="External"/><Relationship Id="rId1456" Type="http://schemas.openxmlformats.org/officeDocument/2006/relationships/hyperlink" Target="http://www.uhu.es/index.php" TargetMode="External"/><Relationship Id="rId1457" Type="http://schemas.openxmlformats.org/officeDocument/2006/relationships/hyperlink" Target="http://hdl.handle.net/10272/10023" TargetMode="External"/><Relationship Id="rId1458" Type="http://schemas.openxmlformats.org/officeDocument/2006/relationships/hyperlink" Target="http://rabida.uhu.es/dspace/" TargetMode="External"/><Relationship Id="rId1459" Type="http://schemas.openxmlformats.org/officeDocument/2006/relationships/hyperlink" Target="http://roarmap.eprints.org/296/" TargetMode="External"/><Relationship Id="rId990" Type="http://schemas.openxmlformats.org/officeDocument/2006/relationships/hyperlink" Target="http://aperto.unito.it/" TargetMode="External"/><Relationship Id="rId991" Type="http://schemas.openxmlformats.org/officeDocument/2006/relationships/hyperlink" Target="http://roarmap.eprints.org/217/" TargetMode="External"/><Relationship Id="rId992" Type="http://schemas.openxmlformats.org/officeDocument/2006/relationships/hyperlink" Target="http://www3.unitus.it/" TargetMode="External"/><Relationship Id="rId993" Type="http://schemas.openxmlformats.org/officeDocument/2006/relationships/hyperlink" Target="http://dspace.unitus.it/handle/2067/14" TargetMode="External"/><Relationship Id="rId994" Type="http://schemas.openxmlformats.org/officeDocument/2006/relationships/hyperlink" Target="http://roarmap.eprints.org/218/" TargetMode="External"/><Relationship Id="rId995" Type="http://schemas.openxmlformats.org/officeDocument/2006/relationships/hyperlink" Target="http://www.unive.it" TargetMode="External"/><Relationship Id="rId996" Type="http://schemas.openxmlformats.org/officeDocument/2006/relationships/hyperlink" Target="http://dspace.unive.it/" TargetMode="External"/><Relationship Id="rId997" Type="http://schemas.openxmlformats.org/officeDocument/2006/relationships/hyperlink" Target="http://roarmap.eprints.org/203/" TargetMode="External"/><Relationship Id="rId998" Type="http://schemas.openxmlformats.org/officeDocument/2006/relationships/hyperlink" Target="http://www.unicattolica.it/" TargetMode="External"/><Relationship Id="rId999" Type="http://schemas.openxmlformats.org/officeDocument/2006/relationships/hyperlink" Target="http://www.unicatt.it/libraries/sbda-archivi-istituzionali-docta-tesi-di-dottorato" TargetMode="External"/><Relationship Id="rId1060" Type="http://schemas.openxmlformats.org/officeDocument/2006/relationships/hyperlink" Target="http://roarmap.eprints.org/40/" TargetMode="External"/><Relationship Id="rId1061" Type="http://schemas.openxmlformats.org/officeDocument/2006/relationships/hyperlink" Target="http://www.mext.go.jp/" TargetMode="External"/><Relationship Id="rId1062" Type="http://schemas.openxmlformats.org/officeDocument/2006/relationships/hyperlink" Target="http://www.mext.go.jp/component/b_menu/shingi/toushin/__icsFiles/afieldfile/2012/10/25/1323890_3_1.pdf" TargetMode="External"/><Relationship Id="rId1063" Type="http://schemas.openxmlformats.org/officeDocument/2006/relationships/hyperlink" Target="https://www.jsps.go.jp/english/e-grants/data/kakenhi_pamph_e.pdf" TargetMode="External"/><Relationship Id="rId1064" Type="http://schemas.openxmlformats.org/officeDocument/2006/relationships/hyperlink" Target="http://roarmap.eprints.org/41/" TargetMode="External"/><Relationship Id="rId1065" Type="http://schemas.openxmlformats.org/officeDocument/2006/relationships/hyperlink" Target="http://www.mext.go.jp/english/" TargetMode="External"/><Relationship Id="rId1066" Type="http://schemas.openxmlformats.org/officeDocument/2006/relationships/hyperlink" Target="http://drf.lib.hokudai.ac.jp/drf/index.php?plugin=attach&amp;refer=ETD2013&amp;openfile=notice_en.pdf" TargetMode="External"/><Relationship Id="rId1067" Type="http://schemas.openxmlformats.org/officeDocument/2006/relationships/hyperlink" Target="http://roarmap.eprints.org/762/" TargetMode="External"/><Relationship Id="rId1068" Type="http://schemas.openxmlformats.org/officeDocument/2006/relationships/hyperlink" Target="http://www.kyoto-u.ac.jp/en" TargetMode="External"/><Relationship Id="rId1069" Type="http://schemas.openxmlformats.org/officeDocument/2006/relationships/hyperlink" Target="http://www.kulib.kyoto-u.ac.jp/modules/content0/index.php?content_id=92&amp;ml_lang=en" TargetMode="External"/><Relationship Id="rId1844" Type="http://schemas.openxmlformats.org/officeDocument/2006/relationships/hyperlink" Target="http://eprints.lancs.ac.uk/" TargetMode="External"/><Relationship Id="rId1845" Type="http://schemas.openxmlformats.org/officeDocument/2006/relationships/hyperlink" Target="http://www.lancaster.ac.uk/library/open-access/funding/" TargetMode="External"/><Relationship Id="rId1846" Type="http://schemas.openxmlformats.org/officeDocument/2006/relationships/hyperlink" Target="http://roarmap.eprints.org/727/" TargetMode="External"/><Relationship Id="rId1847" Type="http://schemas.openxmlformats.org/officeDocument/2006/relationships/hyperlink" Target="https://leukaemialymphomaresearch.org.uk" TargetMode="External"/><Relationship Id="rId1848" Type="http://schemas.openxmlformats.org/officeDocument/2006/relationships/hyperlink" Target="https://leukaemialymphomaresearch.org.uk/node/58188" TargetMode="External"/><Relationship Id="rId1849" Type="http://schemas.openxmlformats.org/officeDocument/2006/relationships/hyperlink" Target="http://europepmc.org/" TargetMode="External"/><Relationship Id="rId2140" Type="http://schemas.openxmlformats.org/officeDocument/2006/relationships/hyperlink" Target="http://www.bucknell.edu/" TargetMode="External"/><Relationship Id="rId2141" Type="http://schemas.openxmlformats.org/officeDocument/2006/relationships/hyperlink" Target="https://www.bucknell.edu/library-and-information-technology/library/open-access/open-access-publishing-policy.html" TargetMode="External"/><Relationship Id="rId2142" Type="http://schemas.openxmlformats.org/officeDocument/2006/relationships/hyperlink" Target="http://digitalcommons.bucknell.edu/" TargetMode="External"/><Relationship Id="rId2143" Type="http://schemas.openxmlformats.org/officeDocument/2006/relationships/hyperlink" Target="http://roarmap.eprints.org/453/" TargetMode="External"/><Relationship Id="rId2144" Type="http://schemas.openxmlformats.org/officeDocument/2006/relationships/hyperlink" Target="http://www.caltech.edu/" TargetMode="External"/><Relationship Id="rId2145" Type="http://schemas.openxmlformats.org/officeDocument/2006/relationships/hyperlink" Target="http://library.caltech.edu/coda/OA_Policy_6.10.2013.pdf" TargetMode="External"/><Relationship Id="rId2146" Type="http://schemas.openxmlformats.org/officeDocument/2006/relationships/hyperlink" Target="http://authors.library.caltech.edu/" TargetMode="External"/><Relationship Id="rId2147" Type="http://schemas.openxmlformats.org/officeDocument/2006/relationships/hyperlink" Target="http://roarmap.eprints.org/454/" TargetMode="External"/><Relationship Id="rId2148" Type="http://schemas.openxmlformats.org/officeDocument/2006/relationships/hyperlink" Target="http://www.calpoly.edu/" TargetMode="External"/><Relationship Id="rId2149" Type="http://schemas.openxmlformats.org/officeDocument/2006/relationships/hyperlink" Target="http://digitalcommons.calpoly.edu/" TargetMode="External"/><Relationship Id="rId2530" Type="http://schemas.openxmlformats.org/officeDocument/2006/relationships/hyperlink" Target="http://roarmap.eprints.org/556/" TargetMode="External"/><Relationship Id="rId2531" Type="http://schemas.openxmlformats.org/officeDocument/2006/relationships/hyperlink" Target="http://www.usu.edu/" TargetMode="External"/><Relationship Id="rId2532" Type="http://schemas.openxmlformats.org/officeDocument/2006/relationships/hyperlink" Target="http://roarmap.eprints.org/653/1/535.pdf" TargetMode="External"/><Relationship Id="rId2533" Type="http://schemas.openxmlformats.org/officeDocument/2006/relationships/hyperlink" Target="http://digitalcommons.usu.edu/" TargetMode="External"/><Relationship Id="rId2534" Type="http://schemas.openxmlformats.org/officeDocument/2006/relationships/hyperlink" Target="http://roarmap.eprints.org/557/" TargetMode="External"/><Relationship Id="rId2535" Type="http://schemas.openxmlformats.org/officeDocument/2006/relationships/hyperlink" Target="http://www.valpo.edu/" TargetMode="External"/><Relationship Id="rId2536" Type="http://schemas.openxmlformats.org/officeDocument/2006/relationships/hyperlink" Target="http://library.valpo.edu/policies/openaccess.html" TargetMode="External"/><Relationship Id="rId2537" Type="http://schemas.openxmlformats.org/officeDocument/2006/relationships/hyperlink" Target="http://scholar.valpo.edu/" TargetMode="External"/><Relationship Id="rId2538" Type="http://schemas.openxmlformats.org/officeDocument/2006/relationships/hyperlink" Target="http://roarmap.eprints.org/558/" TargetMode="External"/><Relationship Id="rId2539" Type="http://schemas.openxmlformats.org/officeDocument/2006/relationships/hyperlink" Target="http://www.vt.edu/" TargetMode="External"/><Relationship Id="rId200" Type="http://schemas.openxmlformats.org/officeDocument/2006/relationships/hyperlink" Target="https://biblio.ugent.be/downloads/20121109-oa-mandaat-ugent-v2.pdf" TargetMode="External"/><Relationship Id="rId201" Type="http://schemas.openxmlformats.org/officeDocument/2006/relationships/hyperlink" Target="https://biblio.ugent.be/" TargetMode="External"/><Relationship Id="rId202" Type="http://schemas.openxmlformats.org/officeDocument/2006/relationships/hyperlink" Target="http://roarmap.eprints.org/89/" TargetMode="External"/><Relationship Id="rId203" Type="http://schemas.openxmlformats.org/officeDocument/2006/relationships/hyperlink" Target="http://www.itg.be/itg" TargetMode="External"/><Relationship Id="rId204" Type="http://schemas.openxmlformats.org/officeDocument/2006/relationships/hyperlink" Target="http://dspace.itg.be/" TargetMode="External"/><Relationship Id="rId205" Type="http://schemas.openxmlformats.org/officeDocument/2006/relationships/hyperlink" Target="http://roarmap.eprints.org/90/" TargetMode="External"/><Relationship Id="rId206" Type="http://schemas.openxmlformats.org/officeDocument/2006/relationships/hyperlink" Target="http://www.kuleuven.be/english/" TargetMode="External"/><Relationship Id="rId207" Type="http://schemas.openxmlformats.org/officeDocument/2006/relationships/hyperlink" Target="http://bib.kuleuven.be/english/ub/target-group-research/open-access/KULeuvenOA" TargetMode="External"/><Relationship Id="rId208" Type="http://schemas.openxmlformats.org/officeDocument/2006/relationships/hyperlink" Target="https://lirias.kuleuven.be/" TargetMode="External"/><Relationship Id="rId209" Type="http://schemas.openxmlformats.org/officeDocument/2006/relationships/hyperlink" Target="http://roarmap.eprints.org/91/" TargetMode="External"/><Relationship Id="rId1850" Type="http://schemas.openxmlformats.org/officeDocument/2006/relationships/hyperlink" Target="http://www.wellcome.ac.uk/About-us/Policy/Spotlight-issues/Open-access/Charity-open-access-fund/" TargetMode="External"/><Relationship Id="rId1851" Type="http://schemas.openxmlformats.org/officeDocument/2006/relationships/hyperlink" Target="http://roarmap.eprints.org/366/" TargetMode="External"/><Relationship Id="rId1852" Type="http://schemas.openxmlformats.org/officeDocument/2006/relationships/hyperlink" Target="http://www.lboro.ac.uk/" TargetMode="External"/><Relationship Id="rId1853" Type="http://schemas.openxmlformats.org/officeDocument/2006/relationships/hyperlink" Target="http://www.lboro.ac.uk/media/wwwlboroacuk/content/library/downloads/researchsupport/Lboro-OA-Policy.pdf" TargetMode="External"/><Relationship Id="rId1460" Type="http://schemas.openxmlformats.org/officeDocument/2006/relationships/hyperlink" Target="http://www.unileon.es" TargetMode="External"/><Relationship Id="rId1461" Type="http://schemas.openxmlformats.org/officeDocument/2006/relationships/hyperlink" Target="https://buleria.unileon.es/handle/10612/1850" TargetMode="External"/><Relationship Id="rId1462" Type="http://schemas.openxmlformats.org/officeDocument/2006/relationships/hyperlink" Target="https://buleria.unileon.es/" TargetMode="External"/><Relationship Id="rId1463" Type="http://schemas.openxmlformats.org/officeDocument/2006/relationships/hyperlink" Target="http://roarmap.eprints.org/302/" TargetMode="External"/><Relationship Id="rId1464" Type="http://schemas.openxmlformats.org/officeDocument/2006/relationships/hyperlink" Target="http://www.uma.es/" TargetMode="External"/><Relationship Id="rId1465" Type="http://schemas.openxmlformats.org/officeDocument/2006/relationships/hyperlink" Target="http://www.uma.es/publicadores/biblioteca/wwwuma/PoliticaAccesoAbiertoUMA.pdf" TargetMode="External"/><Relationship Id="rId1466" Type="http://schemas.openxmlformats.org/officeDocument/2006/relationships/hyperlink" Target="http://riuma.uma.es/xmlui" TargetMode="External"/><Relationship Id="rId1467" Type="http://schemas.openxmlformats.org/officeDocument/2006/relationships/hyperlink" Target="http://roarmap.eprints.org/301/" TargetMode="External"/><Relationship Id="rId1468" Type="http://schemas.openxmlformats.org/officeDocument/2006/relationships/hyperlink" Target="http://www.usal.es" TargetMode="External"/><Relationship Id="rId1469" Type="http://schemas.openxmlformats.org/officeDocument/2006/relationships/hyperlink" Target="http://www.agenciasinc.es/Noticias/Tesis-Proyectos-Fin-de-Masters-y-Proyectos-de-Investigacion-en-Open-Access" TargetMode="External"/><Relationship Id="rId1070" Type="http://schemas.openxmlformats.org/officeDocument/2006/relationships/hyperlink" Target="http://repository.kulib.kyoto-u.ac.jp/dspace/?locale=en" TargetMode="External"/><Relationship Id="rId1071" Type="http://schemas.openxmlformats.org/officeDocument/2006/relationships/hyperlink" Target="http://roarmap.eprints.org/42/" TargetMode="External"/><Relationship Id="rId1072" Type="http://schemas.openxmlformats.org/officeDocument/2006/relationships/hyperlink" Target="http://www.nitech.ac.jp/eng/" TargetMode="External"/><Relationship Id="rId1073" Type="http://schemas.openxmlformats.org/officeDocument/2006/relationships/hyperlink" Target="http://drf.lib.hokudai.ac.jp/drf/index.php?plugin=attach&amp;refer=DRF-Fukushima&amp;openfile=hayashi.pdf" TargetMode="External"/><Relationship Id="rId1074" Type="http://schemas.openxmlformats.org/officeDocument/2006/relationships/hyperlink" Target="http://repo.lib.nitech.ac.jp/?lang=en" TargetMode="External"/><Relationship Id="rId1075" Type="http://schemas.openxmlformats.org/officeDocument/2006/relationships/hyperlink" Target="http://roarmap.eprints.org/2/" TargetMode="External"/><Relationship Id="rId1076" Type="http://schemas.openxmlformats.org/officeDocument/2006/relationships/hyperlink" Target="http://www.jkuat.ac.ke" TargetMode="External"/><Relationship Id="rId1077" Type="http://schemas.openxmlformats.org/officeDocument/2006/relationships/hyperlink" Target="http://www.jkuat.ac.ke/?wpdmact=process&amp;did=NjguaG90bGluaw==" TargetMode="External"/><Relationship Id="rId1078" Type="http://schemas.openxmlformats.org/officeDocument/2006/relationships/hyperlink" Target="http://41.204.187.24:8080/jspui/" TargetMode="External"/><Relationship Id="rId1079" Type="http://schemas.openxmlformats.org/officeDocument/2006/relationships/hyperlink" Target="http://roarmap.eprints.org/3/" TargetMode="External"/><Relationship Id="rId1854" Type="http://schemas.openxmlformats.org/officeDocument/2006/relationships/hyperlink" Target="https://dspace.lboro.ac.uk/dspace-jspui/" TargetMode="External"/><Relationship Id="rId1855" Type="http://schemas.openxmlformats.org/officeDocument/2006/relationships/hyperlink" Target="http://www.lboro.ac.uk/services/library/research/openaccess/rcukfundedresearchandopenaccess/" TargetMode="External"/><Relationship Id="rId1856" Type="http://schemas.openxmlformats.org/officeDocument/2006/relationships/hyperlink" Target="http://roarmap.eprints.org/692/" TargetMode="External"/><Relationship Id="rId1857" Type="http://schemas.openxmlformats.org/officeDocument/2006/relationships/hyperlink" Target="http://www2.mmu.ac.uk/" TargetMode="External"/><Relationship Id="rId1858" Type="http://schemas.openxmlformats.org/officeDocument/2006/relationships/hyperlink" Target="http://libguides.mmu.ac.uk/openaccess/policy" TargetMode="External"/><Relationship Id="rId1859" Type="http://schemas.openxmlformats.org/officeDocument/2006/relationships/hyperlink" Target="http://www.e-space.mmu.ac.uk/e-space/" TargetMode="External"/><Relationship Id="rId2150" Type="http://schemas.openxmlformats.org/officeDocument/2006/relationships/hyperlink" Target="http://roarmap.eprints.org/455/" TargetMode="External"/><Relationship Id="rId2151" Type="http://schemas.openxmlformats.org/officeDocument/2006/relationships/hyperlink" Target="http://www.csuchico.edu/" TargetMode="External"/><Relationship Id="rId2152" Type="http://schemas.openxmlformats.org/officeDocument/2006/relationships/hyperlink" Target="http://csuchico-dspace.calstate.edu/" TargetMode="External"/><Relationship Id="rId2153" Type="http://schemas.openxmlformats.org/officeDocument/2006/relationships/hyperlink" Target="http://roarmap.eprints.org/456/" TargetMode="External"/><Relationship Id="rId2154" Type="http://schemas.openxmlformats.org/officeDocument/2006/relationships/hyperlink" Target="http://www.csun.edu/" TargetMode="External"/><Relationship Id="rId2155" Type="http://schemas.openxmlformats.org/officeDocument/2006/relationships/hyperlink" Target="http://www.csun.edu/senate/resolutions/openaccess-resolution112113.pdf" TargetMode="External"/><Relationship Id="rId2156" Type="http://schemas.openxmlformats.org/officeDocument/2006/relationships/hyperlink" Target="http://scholarworks.csun.edu/" TargetMode="External"/><Relationship Id="rId2157" Type="http://schemas.openxmlformats.org/officeDocument/2006/relationships/hyperlink" Target="http://roarmap.eprints.org/457/" TargetMode="External"/><Relationship Id="rId2158" Type="http://schemas.openxmlformats.org/officeDocument/2006/relationships/hyperlink" Target="http://www.case.edu/" TargetMode="External"/><Relationship Id="rId2159" Type="http://schemas.openxmlformats.org/officeDocument/2006/relationships/hyperlink" Target="http://library.case.edu/digitalcase/" TargetMode="External"/><Relationship Id="rId2540" Type="http://schemas.openxmlformats.org/officeDocument/2006/relationships/hyperlink" Target="http://etd.vt.edu/index.html" TargetMode="External"/><Relationship Id="rId2541" Type="http://schemas.openxmlformats.org/officeDocument/2006/relationships/hyperlink" Target="http://vtechworks.lib.vt.edu/" TargetMode="External"/><Relationship Id="rId2542" Type="http://schemas.openxmlformats.org/officeDocument/2006/relationships/hyperlink" Target="http://roarmap.eprints.org/559/" TargetMode="External"/><Relationship Id="rId2543" Type="http://schemas.openxmlformats.org/officeDocument/2006/relationships/hyperlink" Target="http://www.lib.vt.edu/" TargetMode="External"/><Relationship Id="rId2544" Type="http://schemas.openxmlformats.org/officeDocument/2006/relationships/hyperlink" Target="http://www.lib.vt.edu/openaccess/lfa-oa-policy.pdf" TargetMode="External"/><Relationship Id="rId2545" Type="http://schemas.openxmlformats.org/officeDocument/2006/relationships/hyperlink" Target="http://vtechworks.lib.vt.edu/" TargetMode="External"/><Relationship Id="rId2546" Type="http://schemas.openxmlformats.org/officeDocument/2006/relationships/hyperlink" Target="http://www.lib.vt.edu/oafund/index.html" TargetMode="External"/><Relationship Id="rId2547" Type="http://schemas.openxmlformats.org/officeDocument/2006/relationships/hyperlink" Target="http://roarmap.eprints.org/560/" TargetMode="External"/><Relationship Id="rId2548" Type="http://schemas.openxmlformats.org/officeDocument/2006/relationships/hyperlink" Target="http://www.wfu.edu/" TargetMode="External"/><Relationship Id="rId2549" Type="http://schemas.openxmlformats.org/officeDocument/2006/relationships/hyperlink" Target="http://zsr.wfu.edu/documents/ZSR_Librarians_Assembly_Open_Access_Policy.pdf" TargetMode="External"/><Relationship Id="rId600" Type="http://schemas.openxmlformats.org/officeDocument/2006/relationships/hyperlink" Target="http://roarmap.eprints.org/135/" TargetMode="External"/><Relationship Id="rId601" Type="http://schemas.openxmlformats.org/officeDocument/2006/relationships/hyperlink" Target="http://www.puv.fi/en/" TargetMode="External"/><Relationship Id="rId602" Type="http://schemas.openxmlformats.org/officeDocument/2006/relationships/hyperlink" Target="http://www.arene.fi/data/dokumentit/52bd599d-66f6-41a9-8cb7-6e151ec677d5_open%20access%20julkilausuma.pdf" TargetMode="External"/><Relationship Id="rId603" Type="http://schemas.openxmlformats.org/officeDocument/2006/relationships/hyperlink" Target="http://theseus.fi/" TargetMode="External"/><Relationship Id="rId604" Type="http://schemas.openxmlformats.org/officeDocument/2006/relationships/hyperlink" Target="http://roarmap.eprints.org/136/" TargetMode="External"/><Relationship Id="rId605" Type="http://schemas.openxmlformats.org/officeDocument/2006/relationships/hyperlink" Target="http://www.agence-nationale-recherche.fr/" TargetMode="External"/><Relationship Id="rId606" Type="http://schemas.openxmlformats.org/officeDocument/2006/relationships/hyperlink" Target="http://www.agence-nationale-recherche.fr/informations/actualites/detail/?tx_ttnews%5btt_news%5d=159" TargetMode="External"/><Relationship Id="rId607" Type="http://schemas.openxmlformats.org/officeDocument/2006/relationships/hyperlink" Target="http://hal.archives-ouvertes.fr/" TargetMode="External"/><Relationship Id="rId608" Type="http://schemas.openxmlformats.org/officeDocument/2006/relationships/hyperlink" Target="http://roarmap.eprints.org/137/" TargetMode="External"/><Relationship Id="rId609" Type="http://schemas.openxmlformats.org/officeDocument/2006/relationships/hyperlink" Target="http://www.agence-nationale-recherche.fr/suivi-bilan/sciences-humaines-et-sociales/" TargetMode="External"/><Relationship Id="rId210" Type="http://schemas.openxmlformats.org/officeDocument/2006/relationships/hyperlink" Target="http://www.fwo.be/" TargetMode="External"/><Relationship Id="rId211" Type="http://schemas.openxmlformats.org/officeDocument/2006/relationships/hyperlink" Target="http://www.fwo.be/en/general-regulations/" TargetMode="External"/><Relationship Id="rId212" Type="http://schemas.openxmlformats.org/officeDocument/2006/relationships/hyperlink" Target="http://roarmap.eprints.org/92/" TargetMode="External"/><Relationship Id="rId213" Type="http://schemas.openxmlformats.org/officeDocument/2006/relationships/hyperlink" Target="http://www.usaintlouis.be/" TargetMode="External"/><Relationship Id="rId214" Type="http://schemas.openxmlformats.org/officeDocument/2006/relationships/hyperlink" Target="http://roarmap.eprints.org/992/1/DIAL%20et%20OA%20CR.pdf" TargetMode="External"/><Relationship Id="rId215" Type="http://schemas.openxmlformats.org/officeDocument/2006/relationships/hyperlink" Target="http://dial.academielouvain.be/vital/access/manager/Index?site_name=BOREAL" TargetMode="External"/><Relationship Id="rId216" Type="http://schemas.openxmlformats.org/officeDocument/2006/relationships/hyperlink" Target="http://roarmap.eprints.org/93/" TargetMode="External"/><Relationship Id="rId217" Type="http://schemas.openxmlformats.org/officeDocument/2006/relationships/hyperlink" Target="http://www.scienceeurope.org/" TargetMode="External"/><Relationship Id="rId218" Type="http://schemas.openxmlformats.org/officeDocument/2006/relationships/hyperlink" Target="http://roarmap.eprints.org/704/1/ESFmandateRec.pdf" TargetMode="External"/><Relationship Id="rId219" Type="http://schemas.openxmlformats.org/officeDocument/2006/relationships/hyperlink" Target="http://roarmap.eprints.org/84/" TargetMode="External"/><Relationship Id="rId1860" Type="http://schemas.openxmlformats.org/officeDocument/2006/relationships/hyperlink" Target="http://libguides.mmu.ac.uk/openaccess/apply" TargetMode="External"/><Relationship Id="rId1861" Type="http://schemas.openxmlformats.org/officeDocument/2006/relationships/hyperlink" Target="http://roarmap.eprints.org/367/" TargetMode="External"/><Relationship Id="rId1862" Type="http://schemas.openxmlformats.org/officeDocument/2006/relationships/hyperlink" Target="http://www.mariecurie.org.uk/" TargetMode="External"/><Relationship Id="rId1863" Type="http://schemas.openxmlformats.org/officeDocument/2006/relationships/hyperlink" Target="http://www.mariecurie.org.uk/Global/Research/Open-Access-policy-March_2014.pdf" TargetMode="External"/><Relationship Id="rId1470" Type="http://schemas.openxmlformats.org/officeDocument/2006/relationships/hyperlink" Target="http://gredos.usal.es" TargetMode="External"/><Relationship Id="rId1471" Type="http://schemas.openxmlformats.org/officeDocument/2006/relationships/hyperlink" Target="http://roarmap.eprints.org/750/" TargetMode="External"/><Relationship Id="rId1472" Type="http://schemas.openxmlformats.org/officeDocument/2006/relationships/hyperlink" Target="http://www.us.es/" TargetMode="External"/><Relationship Id="rId1473" Type="http://schemas.openxmlformats.org/officeDocument/2006/relationships/hyperlink" Target="http://bous.us.es/2014/BOUS-04-2014/numero%204/10" TargetMode="External"/><Relationship Id="rId1474" Type="http://schemas.openxmlformats.org/officeDocument/2006/relationships/hyperlink" Target="https://idus.us.es/xmlui/" TargetMode="External"/><Relationship Id="rId1475" Type="http://schemas.openxmlformats.org/officeDocument/2006/relationships/hyperlink" Target="http://roarmap.eprints.org/310/" TargetMode="External"/><Relationship Id="rId1476" Type="http://schemas.openxmlformats.org/officeDocument/2006/relationships/hyperlink" Target="http://www.uva.es" TargetMode="External"/><Relationship Id="rId1477" Type="http://schemas.openxmlformats.org/officeDocument/2006/relationships/hyperlink" Target="http://bocyl.jcyl.es/boletines/2012/12/19/pdf/BOCYL-D-19122012-18.pdf" TargetMode="External"/><Relationship Id="rId1478" Type="http://schemas.openxmlformats.org/officeDocument/2006/relationships/hyperlink" Target="http://uvadoc.uva.es" TargetMode="External"/><Relationship Id="rId1479" Type="http://schemas.openxmlformats.org/officeDocument/2006/relationships/hyperlink" Target="http://roarmap.eprints.org/303/" TargetMode="External"/><Relationship Id="rId1080" Type="http://schemas.openxmlformats.org/officeDocument/2006/relationships/hyperlink" Target="http://www.ku.ac.ke" TargetMode="External"/><Relationship Id="rId1081" Type="http://schemas.openxmlformats.org/officeDocument/2006/relationships/hyperlink" Target="http://library.ku.ac.ke/wp-content/uploads/2013/01/Library-IR-Policy.pdf" TargetMode="External"/><Relationship Id="rId1082" Type="http://schemas.openxmlformats.org/officeDocument/2006/relationships/hyperlink" Target="http://ir-library.ku.ac.ke/" TargetMode="External"/><Relationship Id="rId1083" Type="http://schemas.openxmlformats.org/officeDocument/2006/relationships/hyperlink" Target="http://roarmap.eprints.org/656/" TargetMode="External"/><Relationship Id="rId1084" Type="http://schemas.openxmlformats.org/officeDocument/2006/relationships/hyperlink" Target="http://pu.ac.ke/" TargetMode="External"/><Relationship Id="rId1085" Type="http://schemas.openxmlformats.org/officeDocument/2006/relationships/hyperlink" Target="http://elibrary.pu.ac.ke/ir/" TargetMode="External"/><Relationship Id="rId1086" Type="http://schemas.openxmlformats.org/officeDocument/2006/relationships/hyperlink" Target="http://roarmap.eprints.org/4/" TargetMode="External"/><Relationship Id="rId1087" Type="http://schemas.openxmlformats.org/officeDocument/2006/relationships/hyperlink" Target="http://www.strathmore.edu/" TargetMode="External"/><Relationship Id="rId1088" Type="http://schemas.openxmlformats.org/officeDocument/2006/relationships/hyperlink" Target="http://www.eifl.net/news/strathmore-university-open-access-policy-keny" TargetMode="External"/><Relationship Id="rId1089" Type="http://schemas.openxmlformats.org/officeDocument/2006/relationships/hyperlink" Target="http://ir.library.strathmore.edu/" TargetMode="External"/><Relationship Id="rId1864" Type="http://schemas.openxmlformats.org/officeDocument/2006/relationships/hyperlink" Target="http://roarmap.eprints.org/368/" TargetMode="External"/><Relationship Id="rId1865" Type="http://schemas.openxmlformats.org/officeDocument/2006/relationships/hyperlink" Target="http://www.mrc.ac.uk/index.htm" TargetMode="External"/><Relationship Id="rId1866" Type="http://schemas.openxmlformats.org/officeDocument/2006/relationships/hyperlink" Target="http://www.rcuk.ac.uk/RCUK-prod/assets/documents/documents/RCUKOpenAccessPolicy.pdf" TargetMode="External"/><Relationship Id="rId1867" Type="http://schemas.openxmlformats.org/officeDocument/2006/relationships/hyperlink" Target="http://europepmc.org/" TargetMode="External"/><Relationship Id="rId1868" Type="http://schemas.openxmlformats.org/officeDocument/2006/relationships/hyperlink" Target="http://roarmap.eprints.org/369/" TargetMode="External"/><Relationship Id="rId1869" Type="http://schemas.openxmlformats.org/officeDocument/2006/relationships/hyperlink" Target="http://www.mdx.ac.uk/" TargetMode="External"/><Relationship Id="rId2160" Type="http://schemas.openxmlformats.org/officeDocument/2006/relationships/hyperlink" Target="http://roarmap.eprints.org/458/" TargetMode="External"/><Relationship Id="rId2161" Type="http://schemas.openxmlformats.org/officeDocument/2006/relationships/hyperlink" Target="http://www.ldeo.columbia.edu/" TargetMode="External"/><Relationship Id="rId2162" Type="http://schemas.openxmlformats.org/officeDocument/2006/relationships/hyperlink" Target="http://scholcomm.columbia.edu/open-access/open-access-policies/lamont-doherty-earth-observatory-open-access-policy/" TargetMode="External"/><Relationship Id="rId2163" Type="http://schemas.openxmlformats.org/officeDocument/2006/relationships/hyperlink" Target="http://academiccommons.columbia.edu/" TargetMode="External"/><Relationship Id="rId2164" Type="http://schemas.openxmlformats.org/officeDocument/2006/relationships/hyperlink" Target="http://scholcomm.columbia.edu/services/coap-fund/" TargetMode="External"/><Relationship Id="rId2165" Type="http://schemas.openxmlformats.org/officeDocument/2006/relationships/hyperlink" Target="http://roarmap.eprints.org/459/" TargetMode="External"/><Relationship Id="rId2166" Type="http://schemas.openxmlformats.org/officeDocument/2006/relationships/hyperlink" Target="http://library.columbia.edu/" TargetMode="External"/><Relationship Id="rId2167" Type="http://schemas.openxmlformats.org/officeDocument/2006/relationships/hyperlink" Target="http://scholcomm.columbia.edu/open-access/open-access-policies/columbia-university-libraries-information-services-open-access-policy/" TargetMode="External"/><Relationship Id="rId2168" Type="http://schemas.openxmlformats.org/officeDocument/2006/relationships/hyperlink" Target="http://academiccommons.columbia.edu/" TargetMode="External"/><Relationship Id="rId2169" Type="http://schemas.openxmlformats.org/officeDocument/2006/relationships/hyperlink" Target="http://scholcomm.columbia.edu/services/coap-fund/" TargetMode="External"/><Relationship Id="rId2550" Type="http://schemas.openxmlformats.org/officeDocument/2006/relationships/hyperlink" Target="http://wakespace.lib.wfu.edu/handle/10339/14934" TargetMode="External"/><Relationship Id="rId2551" Type="http://schemas.openxmlformats.org/officeDocument/2006/relationships/hyperlink" Target="http://roarmap.eprints.org/561/" TargetMode="External"/><Relationship Id="rId2552" Type="http://schemas.openxmlformats.org/officeDocument/2006/relationships/hyperlink" Target="http://www.wellesley.edu/" TargetMode="External"/><Relationship Id="rId2553" Type="http://schemas.openxmlformats.org/officeDocument/2006/relationships/hyperlink" Target="http://www.wellesley.edu/sites/default/files/assets/departments/provost/files/openaccesspolicy2.13.13.pdf" TargetMode="External"/><Relationship Id="rId2554" Type="http://schemas.openxmlformats.org/officeDocument/2006/relationships/hyperlink" Target="http://repository.wellesley.edu/" TargetMode="External"/><Relationship Id="rId2555" Type="http://schemas.openxmlformats.org/officeDocument/2006/relationships/hyperlink" Target="http://roarmap.eprints.org/562/" TargetMode="External"/><Relationship Id="rId2556" Type="http://schemas.openxmlformats.org/officeDocument/2006/relationships/hyperlink" Target="http://www.wvu.edu/" TargetMode="External"/><Relationship Id="rId2557" Type="http://schemas.openxmlformats.org/officeDocument/2006/relationships/hyperlink" Target="http://www.wvu.edu/~thesis/News/ETDpolicysummary.pdf" TargetMode="External"/><Relationship Id="rId2558" Type="http://schemas.openxmlformats.org/officeDocument/2006/relationships/hyperlink" Target="http://wvuscholar.wvu.edu:8881/R?RN=17903662" TargetMode="External"/><Relationship Id="rId2559" Type="http://schemas.openxmlformats.org/officeDocument/2006/relationships/hyperlink" Target="http://roarmap.eprints.org/563/" TargetMode="External"/><Relationship Id="rId610" Type="http://schemas.openxmlformats.org/officeDocument/2006/relationships/hyperlink" Target="http://halshs.archives-ouvertes.fr/" TargetMode="External"/><Relationship Id="rId611" Type="http://schemas.openxmlformats.org/officeDocument/2006/relationships/hyperlink" Target="http://roarmap.eprints.org/741/" TargetMode="External"/><Relationship Id="rId612" Type="http://schemas.openxmlformats.org/officeDocument/2006/relationships/hyperlink" Target="http://www.ensam.eu/" TargetMode="External"/><Relationship Id="rId613" Type="http://schemas.openxmlformats.org/officeDocument/2006/relationships/hyperlink" Target="http://sam.ensam.eu" TargetMode="External"/><Relationship Id="rId614" Type="http://schemas.openxmlformats.org/officeDocument/2006/relationships/hyperlink" Target="http://roarmap.eprints.org/138/" TargetMode="External"/><Relationship Id="rId615" Type="http://schemas.openxmlformats.org/officeDocument/2006/relationships/hyperlink" Target="http://adbu.fr/" TargetMode="External"/><Relationship Id="rId616" Type="http://schemas.openxmlformats.org/officeDocument/2006/relationships/hyperlink" Target="http://adbu.fr/wp-content/uploads/2012/10/2012-10_communique-libre-acces.pdf" TargetMode="External"/><Relationship Id="rId617" Type="http://schemas.openxmlformats.org/officeDocument/2006/relationships/hyperlink" Target="http://roarmap.eprints.org/139/" TargetMode="External"/><Relationship Id="rId618" Type="http://schemas.openxmlformats.org/officeDocument/2006/relationships/hyperlink" Target="http://www.cnrs.fr/index.php" TargetMode="External"/><Relationship Id="rId619" Type="http://schemas.openxmlformats.org/officeDocument/2006/relationships/hyperlink" Target="http://www.ccsd.cnrs.fr/support/content/PDF/DGauxDU_060621.pdf" TargetMode="External"/><Relationship Id="rId220" Type="http://schemas.openxmlformats.org/officeDocument/2006/relationships/hyperlink" Target="https://www.uantwerpen.be/en/library/services/publishing/open-access---reposi/" TargetMode="External"/><Relationship Id="rId221" Type="http://schemas.openxmlformats.org/officeDocument/2006/relationships/hyperlink" Target="https://www.uantwerpen.be/en/library/services/publishing/open-access---reposi/" TargetMode="External"/><Relationship Id="rId222" Type="http://schemas.openxmlformats.org/officeDocument/2006/relationships/hyperlink" Target="https://anet.ua.ac.be/desktop/irua/" TargetMode="External"/><Relationship Id="rId223" Type="http://schemas.openxmlformats.org/officeDocument/2006/relationships/hyperlink" Target="http://roarmap.eprints.org/94/" TargetMode="External"/><Relationship Id="rId224" Type="http://schemas.openxmlformats.org/officeDocument/2006/relationships/hyperlink" Target="http://www.ulg.ac.be/cms/c_5000/en/home" TargetMode="External"/><Relationship Id="rId225" Type="http://schemas.openxmlformats.org/officeDocument/2006/relationships/hyperlink" Target="http://orbi.ulg.ac.be/files/extrait_moniteur_CA.pdf" TargetMode="External"/><Relationship Id="rId226" Type="http://schemas.openxmlformats.org/officeDocument/2006/relationships/hyperlink" Target="http://orbi.ulg.ac.be/" TargetMode="External"/><Relationship Id="rId227" Type="http://schemas.openxmlformats.org/officeDocument/2006/relationships/hyperlink" Target="http://roarmap.eprints.org/96/" TargetMode="External"/><Relationship Id="rId228" Type="http://schemas.openxmlformats.org/officeDocument/2006/relationships/hyperlink" Target="http://www.umons.ac.be" TargetMode="External"/><Relationship Id="rId229" Type="http://schemas.openxmlformats.org/officeDocument/2006/relationships/hyperlink" Target="http://di.umons.ac.be/" TargetMode="External"/><Relationship Id="rId1870" Type="http://schemas.openxmlformats.org/officeDocument/2006/relationships/hyperlink" Target="http://eprints.mdx.ac.uk/policies.html" TargetMode="External"/><Relationship Id="rId1871" Type="http://schemas.openxmlformats.org/officeDocument/2006/relationships/hyperlink" Target="http://eprints.mdx.ac.uk/" TargetMode="External"/><Relationship Id="rId1872" Type="http://schemas.openxmlformats.org/officeDocument/2006/relationships/hyperlink" Target="http://roarmap.eprints.org/725/" TargetMode="External"/><Relationship Id="rId1873" Type="http://schemas.openxmlformats.org/officeDocument/2006/relationships/hyperlink" Target="http://www.mndassociation.org/" TargetMode="External"/><Relationship Id="rId1480" Type="http://schemas.openxmlformats.org/officeDocument/2006/relationships/hyperlink" Target="http://www.uab.cat/" TargetMode="External"/><Relationship Id="rId1481" Type="http://schemas.openxmlformats.org/officeDocument/2006/relationships/hyperlink" Target="http://ddd.uab.cat/record/89641" TargetMode="External"/><Relationship Id="rId1482" Type="http://schemas.openxmlformats.org/officeDocument/2006/relationships/hyperlink" Target="http://ddd.uab.cat" TargetMode="External"/><Relationship Id="rId1483" Type="http://schemas.openxmlformats.org/officeDocument/2006/relationships/hyperlink" Target="http://roarmap.eprints.org/304/" TargetMode="External"/><Relationship Id="rId1484" Type="http://schemas.openxmlformats.org/officeDocument/2006/relationships/hyperlink" Target="http://www.uoc.edu/portal/en/index.html" TargetMode="External"/><Relationship Id="rId1485" Type="http://schemas.openxmlformats.org/officeDocument/2006/relationships/hyperlink" Target="http://openaccess.uoc.edu/webapps/o2/bitstream/10609/4966/8/InstitucionalMandateUOC_eng.pdf" TargetMode="External"/><Relationship Id="rId1486" Type="http://schemas.openxmlformats.org/officeDocument/2006/relationships/hyperlink" Target="http://openaccess.uoc.edu/webapps/o2/" TargetMode="External"/><Relationship Id="rId1487" Type="http://schemas.openxmlformats.org/officeDocument/2006/relationships/hyperlink" Target="http://roarmap.eprints.org/306/" TargetMode="External"/><Relationship Id="rId1488" Type="http://schemas.openxmlformats.org/officeDocument/2006/relationships/hyperlink" Target="http://www.upc.edu/" TargetMode="External"/><Relationship Id="rId1489" Type="http://schemas.openxmlformats.org/officeDocument/2006/relationships/hyperlink" Target="http://bibliotecnica.upc.edu/sites/bibliotecnica.upc.edu/files/arxius_site/file/open_acces/mandateng.pdf" TargetMode="External"/><Relationship Id="rId1090" Type="http://schemas.openxmlformats.org/officeDocument/2006/relationships/hyperlink" Target="http://roarmap.eprints.org/5/" TargetMode="External"/><Relationship Id="rId1091" Type="http://schemas.openxmlformats.org/officeDocument/2006/relationships/hyperlink" Target="http://www.uonbi.ac.ke" TargetMode="External"/><Relationship Id="rId1092" Type="http://schemas.openxmlformats.org/officeDocument/2006/relationships/hyperlink" Target="http://erepository.uonbi.ac.ke:8080/xmlui/handle/11295/7447?show=full" TargetMode="External"/><Relationship Id="rId1093" Type="http://schemas.openxmlformats.org/officeDocument/2006/relationships/hyperlink" Target="http://erepository.uonbi.ac.ke" TargetMode="External"/><Relationship Id="rId1094" Type="http://schemas.openxmlformats.org/officeDocument/2006/relationships/hyperlink" Target="http://roarmap.eprints.org/232/" TargetMode="External"/><Relationship Id="rId1095" Type="http://schemas.openxmlformats.org/officeDocument/2006/relationships/hyperlink" Target="http://www.lu.lv/eng/" TargetMode="External"/><Relationship Id="rId1096" Type="http://schemas.openxmlformats.org/officeDocument/2006/relationships/hyperlink" Target="https://dspace.lu.lv/dspace/" TargetMode="External"/><Relationship Id="rId1097" Type="http://schemas.openxmlformats.org/officeDocument/2006/relationships/hyperlink" Target="http://roarmap.eprints.org/233/" TargetMode="External"/><Relationship Id="rId1098" Type="http://schemas.openxmlformats.org/officeDocument/2006/relationships/hyperlink" Target="http://www.lsmuni.lt/" TargetMode="External"/><Relationship Id="rId1099" Type="http://schemas.openxmlformats.org/officeDocument/2006/relationships/hyperlink" Target="http://roarmap.eprints.org/704/1/ESFmandateRec.pdf" TargetMode="External"/><Relationship Id="rId1874" Type="http://schemas.openxmlformats.org/officeDocument/2006/relationships/hyperlink" Target="http://www.mndassociation.org/Resources/MNDA/Research/MND-Association-Grantee-Guide-to-Open-Access---30Oct12-v1.pdf" TargetMode="External"/><Relationship Id="rId1875" Type="http://schemas.openxmlformats.org/officeDocument/2006/relationships/hyperlink" Target="http://europepmc.org/" TargetMode="External"/><Relationship Id="rId1876" Type="http://schemas.openxmlformats.org/officeDocument/2006/relationships/hyperlink" Target="http://roarmap.eprints.org/370/" TargetMode="External"/><Relationship Id="rId1877" Type="http://schemas.openxmlformats.org/officeDocument/2006/relationships/hyperlink" Target="http://www.mssociety.org.uk/" TargetMode="External"/><Relationship Id="rId1878" Type="http://schemas.openxmlformats.org/officeDocument/2006/relationships/hyperlink" Target="http://www.mssociety.org.uk/sites/default/files/MS%20Society%20Policy%20for%20Publishing%20Research.pdf" TargetMode="External"/><Relationship Id="rId1879" Type="http://schemas.openxmlformats.org/officeDocument/2006/relationships/hyperlink" Target="http://europepmc.org/" TargetMode="External"/><Relationship Id="rId2170" Type="http://schemas.openxmlformats.org/officeDocument/2006/relationships/hyperlink" Target="http://roarmap.eprints.org/461/" TargetMode="External"/><Relationship Id="rId2171" Type="http://schemas.openxmlformats.org/officeDocument/2006/relationships/hyperlink" Target="http://www.mailman.columbia.edu/" TargetMode="External"/><Relationship Id="rId2172" Type="http://schemas.openxmlformats.org/officeDocument/2006/relationships/hyperlink" Target="http://scholcomm.columbia.edu/open-access/open-access-policies/mailman-school-of-public-health-open-access-policy/" TargetMode="External"/><Relationship Id="rId2173" Type="http://schemas.openxmlformats.org/officeDocument/2006/relationships/hyperlink" Target="http://academiccommons.columbia.edu/" TargetMode="External"/><Relationship Id="rId2174" Type="http://schemas.openxmlformats.org/officeDocument/2006/relationships/hyperlink" Target="http://scholcomm.columbia.edu/services/coap-fund/" TargetMode="External"/><Relationship Id="rId2175" Type="http://schemas.openxmlformats.org/officeDocument/2006/relationships/hyperlink" Target="http://roarmap.eprints.org/460/" TargetMode="External"/><Relationship Id="rId2176" Type="http://schemas.openxmlformats.org/officeDocument/2006/relationships/hyperlink" Target="http://socialwork.columbia.edu/" TargetMode="External"/><Relationship Id="rId2177" Type="http://schemas.openxmlformats.org/officeDocument/2006/relationships/hyperlink" Target="http://www.csun.edu/senate/resolutions/openaccess-resolution112113.pdf" TargetMode="External"/><Relationship Id="rId2178" Type="http://schemas.openxmlformats.org/officeDocument/2006/relationships/hyperlink" Target="http://academiccommons.columbia.edu/" TargetMode="External"/><Relationship Id="rId2179" Type="http://schemas.openxmlformats.org/officeDocument/2006/relationships/hyperlink" Target="http://roarmap.eprints.org/462/" TargetMode="External"/><Relationship Id="rId2560" Type="http://schemas.openxmlformats.org/officeDocument/2006/relationships/hyperlink" Target="http://www.wichita.edu/thisis/" TargetMode="External"/><Relationship Id="rId2561" Type="http://schemas.openxmlformats.org/officeDocument/2006/relationships/hyperlink" Target="http://webs.wichita.edu/depttools/depttoolsmemberfiles/gradschool/ThesisDissertationManual.pdf" TargetMode="External"/><Relationship Id="rId2562" Type="http://schemas.openxmlformats.org/officeDocument/2006/relationships/hyperlink" Target="http://soar.wichita.edu/" TargetMode="External"/><Relationship Id="rId2563" Type="http://schemas.openxmlformats.org/officeDocument/2006/relationships/hyperlink" Target="http://roarmap.eprints.org/720/" TargetMode="External"/><Relationship Id="rId2564" Type="http://schemas.openxmlformats.org/officeDocument/2006/relationships/hyperlink" Target="https://wikimediafoundation.org" TargetMode="External"/><Relationship Id="rId2565" Type="http://schemas.openxmlformats.org/officeDocument/2006/relationships/hyperlink" Target="https://wikimediafoundation.org/wiki/Open_access_policy" TargetMode="External"/><Relationship Id="rId2566" Type="http://schemas.openxmlformats.org/officeDocument/2006/relationships/hyperlink" Target="http://roarmap.eprints.org/631/" TargetMode="External"/><Relationship Id="rId2567" Type="http://schemas.openxmlformats.org/officeDocument/2006/relationships/hyperlink" Target="http://www.ula.ve/" TargetMode="External"/><Relationship Id="rId2568" Type="http://schemas.openxmlformats.org/officeDocument/2006/relationships/hyperlink" Target="http://www.cca.ula.ve/documentos/ResolucionCU0580del030308.pdf" TargetMode="External"/><Relationship Id="rId2569" Type="http://schemas.openxmlformats.org/officeDocument/2006/relationships/hyperlink" Target="http://www.saber.ula.ve/" TargetMode="External"/><Relationship Id="rId620" Type="http://schemas.openxmlformats.org/officeDocument/2006/relationships/hyperlink" Target="http://hal.archives-ouvertes.fr/index.php?langue=en&amp;halsid=214iku2pn9ft27fcl6rrct4jb5" TargetMode="External"/><Relationship Id="rId621" Type="http://schemas.openxmlformats.org/officeDocument/2006/relationships/hyperlink" Target="http://roarmap.eprints.org/634/" TargetMode="External"/><Relationship Id="rId622" Type="http://schemas.openxmlformats.org/officeDocument/2006/relationships/hyperlink" Target="http://www.eur-oceans.eu/" TargetMode="External"/><Relationship Id="rId623" Type="http://schemas.openxmlformats.org/officeDocument/2006/relationships/hyperlink" Target="http://www.eur-oceans.eu/LogosPolicies" TargetMode="External"/><Relationship Id="rId624" Type="http://schemas.openxmlformats.org/officeDocument/2006/relationships/hyperlink" Target="https://www.openaire.eu/" TargetMode="External"/><Relationship Id="rId625" Type="http://schemas.openxmlformats.org/officeDocument/2006/relationships/hyperlink" Target="http://roarmap.eprints.org/140/" TargetMode="External"/><Relationship Id="rId626" Type="http://schemas.openxmlformats.org/officeDocument/2006/relationships/hyperlink" Target="http://institut.inra.fr/en" TargetMode="External"/><Relationship Id="rId627" Type="http://schemas.openxmlformats.org/officeDocument/2006/relationships/hyperlink" Target="http://prodinra.inra.fr/?locale=en" TargetMode="External"/><Relationship Id="rId628" Type="http://schemas.openxmlformats.org/officeDocument/2006/relationships/hyperlink" Target="http://roarmap.eprints.org/141/" TargetMode="External"/><Relationship Id="rId629" Type="http://schemas.openxmlformats.org/officeDocument/2006/relationships/hyperlink" Target="http://www.inra.fr/" TargetMode="External"/><Relationship Id="rId230" Type="http://schemas.openxmlformats.org/officeDocument/2006/relationships/hyperlink" Target="http://roarmap.eprints.org/97/" TargetMode="External"/><Relationship Id="rId231" Type="http://schemas.openxmlformats.org/officeDocument/2006/relationships/hyperlink" Target="https://www.unamur.be/en" TargetMode="External"/><Relationship Id="rId232" Type="http://schemas.openxmlformats.org/officeDocument/2006/relationships/hyperlink" Target="https://pure.fundp.ac.be/admin/login.xhtml" TargetMode="External"/><Relationship Id="rId233" Type="http://schemas.openxmlformats.org/officeDocument/2006/relationships/hyperlink" Target="http://roarmap.eprints.org/95/" TargetMode="External"/><Relationship Id="rId234" Type="http://schemas.openxmlformats.org/officeDocument/2006/relationships/hyperlink" Target="http://www.ulb.ac.be" TargetMode="External"/><Relationship Id="rId235" Type="http://schemas.openxmlformats.org/officeDocument/2006/relationships/hyperlink" Target="http://www.bib.ulb.ac.be/fr/bibliotheque-electronique/depot-institutionnel-di-fusion/contexte-et-objectifs/index.html" TargetMode="External"/><Relationship Id="rId236" Type="http://schemas.openxmlformats.org/officeDocument/2006/relationships/hyperlink" Target="http://difusion.ulb.ac.be" TargetMode="External"/><Relationship Id="rId237" Type="http://schemas.openxmlformats.org/officeDocument/2006/relationships/hyperlink" Target="http://roarmap.eprints.org/606/" TargetMode="External"/><Relationship Id="rId238" Type="http://schemas.openxmlformats.org/officeDocument/2006/relationships/hyperlink" Target="http://www.postgradouagrm.net/" TargetMode="External"/><Relationship Id="rId239" Type="http://schemas.openxmlformats.org/officeDocument/2006/relationships/hyperlink" Target="http://roarmap.eprints.org/607/" TargetMode="External"/><Relationship Id="rId1880" Type="http://schemas.openxmlformats.org/officeDocument/2006/relationships/hyperlink" Target="http://roarmap.eprints.org/723/" TargetMode="External"/><Relationship Id="rId1881" Type="http://schemas.openxmlformats.org/officeDocument/2006/relationships/hyperlink" Target="http://www.myrovlytistrust.org" TargetMode="External"/><Relationship Id="rId1882" Type="http://schemas.openxmlformats.org/officeDocument/2006/relationships/hyperlink" Target="http://www.myrovlytistrust.org/wp-content/uploads/2011/06/Open-Access-Policy-20122.pdf" TargetMode="External"/><Relationship Id="rId1883" Type="http://schemas.openxmlformats.org/officeDocument/2006/relationships/hyperlink" Target="http://europepmc.org/" TargetMode="External"/><Relationship Id="rId1490" Type="http://schemas.openxmlformats.org/officeDocument/2006/relationships/hyperlink" Target="http://upcommons.upc.edu/" TargetMode="External"/><Relationship Id="rId1491" Type="http://schemas.openxmlformats.org/officeDocument/2006/relationships/hyperlink" Target="http://roarmap.eprints.org/305/" TargetMode="External"/><Relationship Id="rId1492" Type="http://schemas.openxmlformats.org/officeDocument/2006/relationships/hyperlink" Target="http://www.upv.es/" TargetMode="External"/><Relationship Id="rId1493" Type="http://schemas.openxmlformats.org/officeDocument/2006/relationships/hyperlink" Target="http://riunet.upv.es/bitstream/handle/10251/11342/Politica%20acceso%20abierto_UPV.pdf?sequence=1" TargetMode="External"/><Relationship Id="rId1494" Type="http://schemas.openxmlformats.org/officeDocument/2006/relationships/hyperlink" Target="http://riunet.upv.es/" TargetMode="External"/><Relationship Id="rId1495" Type="http://schemas.openxmlformats.org/officeDocument/2006/relationships/hyperlink" Target="http://roarmap.eprints.org/308/" TargetMode="External"/><Relationship Id="rId1496" Type="http://schemas.openxmlformats.org/officeDocument/2006/relationships/hyperlink" Target="http://www.upf.edu/" TargetMode="External"/><Relationship Id="rId1497" Type="http://schemas.openxmlformats.org/officeDocument/2006/relationships/hyperlink" Target="http://roarmap.eprints.org/428/1/politica_AO_UPF.pdf" TargetMode="External"/><Relationship Id="rId1498" Type="http://schemas.openxmlformats.org/officeDocument/2006/relationships/hyperlink" Target="http://repositori.upf.edu/" TargetMode="External"/><Relationship Id="rId1499" Type="http://schemas.openxmlformats.org/officeDocument/2006/relationships/hyperlink" Target="http://roarmap.eprints.org/307/" TargetMode="External"/><Relationship Id="rId1884" Type="http://schemas.openxmlformats.org/officeDocument/2006/relationships/hyperlink" Target="http://roarmap.eprints.org/371/" TargetMode="External"/><Relationship Id="rId1885" Type="http://schemas.openxmlformats.org/officeDocument/2006/relationships/hyperlink" Target="http://www.napier.ac.uk/Pages/home.aspx" TargetMode="External"/><Relationship Id="rId1886" Type="http://schemas.openxmlformats.org/officeDocument/2006/relationships/hyperlink" Target="http://researchrepository.napier.ac.uk/mandate.html" TargetMode="External"/><Relationship Id="rId1887" Type="http://schemas.openxmlformats.org/officeDocument/2006/relationships/hyperlink" Target="http://www.napier.ac.uk/research/Pages/Research-repository.aspx" TargetMode="External"/><Relationship Id="rId1888" Type="http://schemas.openxmlformats.org/officeDocument/2006/relationships/hyperlink" Target="http://roarmap.eprints.org/372/" TargetMode="External"/><Relationship Id="rId1889" Type="http://schemas.openxmlformats.org/officeDocument/2006/relationships/hyperlink" Target="http://www.nerc.ac.uk/" TargetMode="External"/><Relationship Id="rId2180" Type="http://schemas.openxmlformats.org/officeDocument/2006/relationships/hyperlink" Target="http://www.conncoll.edu/" TargetMode="External"/><Relationship Id="rId2181" Type="http://schemas.openxmlformats.org/officeDocument/2006/relationships/hyperlink" Target="http://www.conncoll.edu/media/website-media/libraries/Open-Access-Policy-of-the-Connecticut-College-Faculty.pdf" TargetMode="External"/><Relationship Id="rId2182" Type="http://schemas.openxmlformats.org/officeDocument/2006/relationships/hyperlink" Target="http://digitalcommons.conncoll.edu/" TargetMode="External"/><Relationship Id="rId2183" Type="http://schemas.openxmlformats.org/officeDocument/2006/relationships/hyperlink" Target="http://roarmap.eprints.org/463/" TargetMode="External"/><Relationship Id="rId2184" Type="http://schemas.openxmlformats.org/officeDocument/2006/relationships/hyperlink" Target="http://www.cornell.edu/" TargetMode="External"/><Relationship Id="rId10" Type="http://schemas.openxmlformats.org/officeDocument/2006/relationships/hyperlink" Target="http://dspace.bhos.edu.az/xmlui/" TargetMode="External"/><Relationship Id="rId11" Type="http://schemas.openxmlformats.org/officeDocument/2006/relationships/hyperlink" Target="http://roarmap.eprints.org/12/" TargetMode="External"/><Relationship Id="rId12" Type="http://schemas.openxmlformats.org/officeDocument/2006/relationships/hyperlink" Target="http://www.khazar.org/" TargetMode="External"/><Relationship Id="rId13" Type="http://schemas.openxmlformats.org/officeDocument/2006/relationships/hyperlink" Target="http://www.docstoc.com/docs/164736821/IR_Guidedoc---Proposed-Khazar-University-Policy-Governing-the" TargetMode="External"/><Relationship Id="rId14" Type="http://schemas.openxmlformats.org/officeDocument/2006/relationships/hyperlink" Target="http://roarmap.eprints.org/602/" TargetMode="External"/><Relationship Id="rId15" Type="http://schemas.openxmlformats.org/officeDocument/2006/relationships/hyperlink" Target="http://www.mincyt.gob.ar/" TargetMode="External"/><Relationship Id="rId16" Type="http://schemas.openxmlformats.org/officeDocument/2006/relationships/hyperlink" Target="http://roarmap.eprints.org/603/" TargetMode="External"/><Relationship Id="rId17" Type="http://schemas.openxmlformats.org/officeDocument/2006/relationships/hyperlink" Target="http://otwartanauka.pl/analysis/nauka-otwartosc-swiat/otwarty-dostep-model-argentynski/open-access-in-argentina" TargetMode="External"/><Relationship Id="rId18" Type="http://schemas.openxmlformats.org/officeDocument/2006/relationships/hyperlink" Target="http://www.senado.gov.ar/" TargetMode="External"/><Relationship Id="rId19" Type="http://schemas.openxmlformats.org/officeDocument/2006/relationships/hyperlink" Target="http://repositorios.mincyt.gob.ar/recursos.php" TargetMode="External"/><Relationship Id="rId2185" Type="http://schemas.openxmlformats.org/officeDocument/2006/relationships/hyperlink" Target="http://wayback.archive-it.org/2566/20130608143253/http:/www.library.cornell.edu/scholarlycomm/resolution.html" TargetMode="External"/><Relationship Id="rId2186" Type="http://schemas.openxmlformats.org/officeDocument/2006/relationships/hyperlink" Target="http://ecommons.library.cornell.edu/" TargetMode="External"/><Relationship Id="rId2187" Type="http://schemas.openxmlformats.org/officeDocument/2006/relationships/hyperlink" Target="https://beta.library.cornell.edu/about/collections/coap/funding" TargetMode="External"/><Relationship Id="rId2188" Type="http://schemas.openxmlformats.org/officeDocument/2006/relationships/hyperlink" Target="http://roarmap.eprints.org/464/" TargetMode="External"/><Relationship Id="rId2189" Type="http://schemas.openxmlformats.org/officeDocument/2006/relationships/hyperlink" Target="http://www.drake.edu/" TargetMode="External"/><Relationship Id="rId2570" Type="http://schemas.openxmlformats.org/officeDocument/2006/relationships/hyperlink" Target="http://roarmap.eprints.org/632/" TargetMode="External"/><Relationship Id="rId2571" Type="http://schemas.openxmlformats.org/officeDocument/2006/relationships/hyperlink" Target="http://www.udo.edu.ve/" TargetMode="External"/><Relationship Id="rId2572" Type="http://schemas.openxmlformats.org/officeDocument/2006/relationships/hyperlink" Target="http://ri.biblioteca.udo.edu.ve/" TargetMode="External"/><Relationship Id="rId2573" Type="http://schemas.openxmlformats.org/officeDocument/2006/relationships/hyperlink" Target="http://roarmap.eprints.org/705/" TargetMode="External"/><Relationship Id="rId2574" Type="http://schemas.openxmlformats.org/officeDocument/2006/relationships/hyperlink" Target="http://www.luz.edu.ve/" TargetMode="External"/><Relationship Id="rId2575" Type="http://schemas.openxmlformats.org/officeDocument/2006/relationships/hyperlink" Target="http://www.serbi.luz.edu.ve/index.php/politica-de-acceso-abierto" TargetMode="External"/><Relationship Id="rId2576" Type="http://schemas.openxmlformats.org/officeDocument/2006/relationships/hyperlink" Target="http://repositorio.luz.edu.ve/" TargetMode="External"/><Relationship Id="rId2577" Type="http://schemas.openxmlformats.org/officeDocument/2006/relationships/hyperlink" Target="http://roarmap.eprints.org/47/" TargetMode="External"/><Relationship Id="rId2578" Type="http://schemas.openxmlformats.org/officeDocument/2006/relationships/hyperlink" Target="http://www.nchu.edu.tw/en-index.php" TargetMode="External"/><Relationship Id="rId2579" Type="http://schemas.openxmlformats.org/officeDocument/2006/relationships/hyperlink" Target="http://nchuir.lib.nchu.edu.tw/?locale=en-US" TargetMode="External"/><Relationship Id="rId630" Type="http://schemas.openxmlformats.org/officeDocument/2006/relationships/hyperlink" Target="http://roarmap.eprints.org/6/" TargetMode="External"/><Relationship Id="rId631" Type="http://schemas.openxmlformats.org/officeDocument/2006/relationships/hyperlink" Target="http://roarmap.eprints.org/142/" TargetMode="External"/><Relationship Id="rId632" Type="http://schemas.openxmlformats.org/officeDocument/2006/relationships/hyperlink" Target="http://www.inria.fr/en/" TargetMode="External"/><Relationship Id="rId633" Type="http://schemas.openxmlformats.org/officeDocument/2006/relationships/hyperlink" Target="http://seism.inria.fr/hal/aide/spip.php?article328&amp;lang=en" TargetMode="External"/><Relationship Id="rId634" Type="http://schemas.openxmlformats.org/officeDocument/2006/relationships/hyperlink" Target="http://hal.inria.fr/" TargetMode="External"/><Relationship Id="rId635" Type="http://schemas.openxmlformats.org/officeDocument/2006/relationships/hyperlink" Target="http://roarmap.eprints.org/143/" TargetMode="External"/><Relationship Id="rId636" Type="http://schemas.openxmlformats.org/officeDocument/2006/relationships/hyperlink" Target="http://english.inserm.fr/" TargetMode="External"/><Relationship Id="rId637" Type="http://schemas.openxmlformats.org/officeDocument/2006/relationships/hyperlink" Target="http://www.hal.inserm.fr/" TargetMode="External"/><Relationship Id="rId638" Type="http://schemas.openxmlformats.org/officeDocument/2006/relationships/hyperlink" Target="http://roarmap.eprints.org/144/" TargetMode="External"/><Relationship Id="rId639" Type="http://schemas.openxmlformats.org/officeDocument/2006/relationships/hyperlink" Target="http://www.ifsttar.fr/" TargetMode="External"/><Relationship Id="rId240" Type="http://schemas.openxmlformats.org/officeDocument/2006/relationships/hyperlink" Target="http://www2.camara.leg.br/" TargetMode="External"/><Relationship Id="rId241" Type="http://schemas.openxmlformats.org/officeDocument/2006/relationships/hyperlink" Target="http://www.camara.gov.br/sileg/integras/461698.pdf" TargetMode="External"/><Relationship Id="rId242" Type="http://schemas.openxmlformats.org/officeDocument/2006/relationships/hyperlink" Target="http://roarmap.eprints.org/608/" TargetMode="External"/><Relationship Id="rId243" Type="http://schemas.openxmlformats.org/officeDocument/2006/relationships/hyperlink" Target="http://www.ensp.fiocruz.br/" TargetMode="External"/><Relationship Id="rId244" Type="http://schemas.openxmlformats.org/officeDocument/2006/relationships/hyperlink" Target="http://roarmap.eprints.org/700/1/portaria_acesso.pdf" TargetMode="External"/><Relationship Id="rId245" Type="http://schemas.openxmlformats.org/officeDocument/2006/relationships/hyperlink" Target="http://www6.ensp.fiocruz.br/repositorio/" TargetMode="External"/><Relationship Id="rId246" Type="http://schemas.openxmlformats.org/officeDocument/2006/relationships/hyperlink" Target="http://roarmap.eprints.org/618/" TargetMode="External"/><Relationship Id="rId247" Type="http://schemas.openxmlformats.org/officeDocument/2006/relationships/hyperlink" Target="http://www.fjp.mg.gov.br/" TargetMode="External"/><Relationship Id="rId248" Type="http://schemas.openxmlformats.org/officeDocument/2006/relationships/hyperlink" Target="http://www.repositorio.fjp.mg.gov.br/static/Politica_Repositorio.pdf" TargetMode="External"/><Relationship Id="rId249" Type="http://schemas.openxmlformats.org/officeDocument/2006/relationships/hyperlink" Target="http://www.repositorio.fjp.mg.gov.br/" TargetMode="External"/><Relationship Id="rId1890" Type="http://schemas.openxmlformats.org/officeDocument/2006/relationships/hyperlink" Target="http://www.rcuk.ac.uk/RCUK-prod/assets/documents/documents/RCUKOpenAccessPolicy.pdf" TargetMode="External"/><Relationship Id="rId1891" Type="http://schemas.openxmlformats.org/officeDocument/2006/relationships/hyperlink" Target="http://nora.nerc.ac.uk/" TargetMode="External"/><Relationship Id="rId1892" Type="http://schemas.openxmlformats.org/officeDocument/2006/relationships/hyperlink" Target="http://roarmap.eprints.org/373/" TargetMode="External"/><Relationship Id="rId1893" Type="http://schemas.openxmlformats.org/officeDocument/2006/relationships/hyperlink" Target="http://www.northumbria.ac.uk/" TargetMode="External"/><Relationship Id="rId1894" Type="http://schemas.openxmlformats.org/officeDocument/2006/relationships/hyperlink" Target="http://nrl.northumbria.ac.uk/depositpolicy.html" TargetMode="External"/><Relationship Id="rId1895" Type="http://schemas.openxmlformats.org/officeDocument/2006/relationships/hyperlink" Target="http://nrl.northumbria.ac.uk/" TargetMode="External"/><Relationship Id="rId1896" Type="http://schemas.openxmlformats.org/officeDocument/2006/relationships/hyperlink" Target="http://roarmap.eprints.org/374/" TargetMode="External"/><Relationship Id="rId1897" Type="http://schemas.openxmlformats.org/officeDocument/2006/relationships/hyperlink" Target="http://www.ntu.ac.uk" TargetMode="External"/><Relationship Id="rId1898" Type="http://schemas.openxmlformats.org/officeDocument/2006/relationships/hyperlink" Target="http://www.ntu.ac.uk/library/resources_collections/irep/general_faqs/index.html" TargetMode="External"/><Relationship Id="rId1899" Type="http://schemas.openxmlformats.org/officeDocument/2006/relationships/hyperlink" Target="http://irep.ntu.ac.uk/" TargetMode="External"/><Relationship Id="rId2190" Type="http://schemas.openxmlformats.org/officeDocument/2006/relationships/hyperlink" Target="http://facultysenate.drake.edu/wp-content/uploads/sites/4/2012/09/Open-Access-Policy-12Apr-updated.pdf" TargetMode="External"/><Relationship Id="rId2191" Type="http://schemas.openxmlformats.org/officeDocument/2006/relationships/hyperlink" Target="http://escholarshare.drake.edu/" TargetMode="External"/><Relationship Id="rId2192" Type="http://schemas.openxmlformats.org/officeDocument/2006/relationships/hyperlink" Target="http://roarmap.eprints.org/465/" TargetMode="External"/><Relationship Id="rId2193" Type="http://schemas.openxmlformats.org/officeDocument/2006/relationships/hyperlink" Target="http://duke.edu/" TargetMode="External"/><Relationship Id="rId2194" Type="http://schemas.openxmlformats.org/officeDocument/2006/relationships/hyperlink" Target="http://provost.duke.edu/wp-content/uploads/FHB_App_P.pdf" TargetMode="External"/><Relationship Id="rId2195" Type="http://schemas.openxmlformats.org/officeDocument/2006/relationships/hyperlink" Target="http://dukespace.lib.duke.edu/dspace/" TargetMode="External"/><Relationship Id="rId2196" Type="http://schemas.openxmlformats.org/officeDocument/2006/relationships/hyperlink" Target="http://library.duke.edu/research/openaccess/cope" TargetMode="External"/><Relationship Id="rId20" Type="http://schemas.openxmlformats.org/officeDocument/2006/relationships/hyperlink" Target="http://lareferencia.redclara.net/rfr/" TargetMode="External"/><Relationship Id="rId21" Type="http://schemas.openxmlformats.org/officeDocument/2006/relationships/hyperlink" Target="http://roarmap.eprints.org/604/" TargetMode="External"/><Relationship Id="rId22" Type="http://schemas.openxmlformats.org/officeDocument/2006/relationships/hyperlink" Target="http://www.unlp.edu.ar/" TargetMode="External"/><Relationship Id="rId23" Type="http://schemas.openxmlformats.org/officeDocument/2006/relationships/hyperlink" Target="http://sedici.unlp.edu.ar/bitstream/handle/10915/18184/Documento_completo.pdf?sequence=1" TargetMode="External"/><Relationship Id="rId24" Type="http://schemas.openxmlformats.org/officeDocument/2006/relationships/hyperlink" Target="http://sedici.unlp.edu.ar/" TargetMode="External"/><Relationship Id="rId25" Type="http://schemas.openxmlformats.org/officeDocument/2006/relationships/hyperlink" Target="http://roarmap.eprints.org/605/" TargetMode="External"/><Relationship Id="rId26" Type="http://schemas.openxmlformats.org/officeDocument/2006/relationships/hyperlink" Target="http://eco.mdp.edu.ar/" TargetMode="External"/><Relationship Id="rId27" Type="http://schemas.openxmlformats.org/officeDocument/2006/relationships/hyperlink" Target="http://nulan.mdp.edu.ar/2031/" TargetMode="External"/><Relationship Id="rId28" Type="http://schemas.openxmlformats.org/officeDocument/2006/relationships/hyperlink" Target="http://nulan.mdp.edu.ar/" TargetMode="External"/><Relationship Id="rId29" Type="http://schemas.openxmlformats.org/officeDocument/2006/relationships/hyperlink" Target="http://roarmap.eprints.org/564/" TargetMode="External"/><Relationship Id="rId2197" Type="http://schemas.openxmlformats.org/officeDocument/2006/relationships/hyperlink" Target="http://roarmap.eprints.org/466/" TargetMode="External"/><Relationship Id="rId2198" Type="http://schemas.openxmlformats.org/officeDocument/2006/relationships/hyperlink" Target="http://gradschool.duke.edu/" TargetMode="External"/><Relationship Id="rId2199" Type="http://schemas.openxmlformats.org/officeDocument/2006/relationships/hyperlink" Target="http://gradschool.duke.edu/sites/default/files/documents/ElectronicThesisDissGuide.pdf" TargetMode="External"/><Relationship Id="rId1100" Type="http://schemas.openxmlformats.org/officeDocument/2006/relationships/hyperlink" Target="http://eknygos.lsmuni.lt/etalpykla/index.html" TargetMode="External"/><Relationship Id="rId1101" Type="http://schemas.openxmlformats.org/officeDocument/2006/relationships/hyperlink" Target="http://roarmap.eprints.org/234/" TargetMode="External"/><Relationship Id="rId1102" Type="http://schemas.openxmlformats.org/officeDocument/2006/relationships/hyperlink" Target="http://www.mruni.eu/en/" TargetMode="External"/><Relationship Id="rId1103" Type="http://schemas.openxmlformats.org/officeDocument/2006/relationships/hyperlink" Target="http://www.eifl.net/news/mykolas-romeris-university-adopts-open-access" TargetMode="External"/><Relationship Id="rId1104" Type="http://schemas.openxmlformats.org/officeDocument/2006/relationships/hyperlink" Target="https://repository.mruni.eu/" TargetMode="External"/><Relationship Id="rId1105" Type="http://schemas.openxmlformats.org/officeDocument/2006/relationships/hyperlink" Target="http://roarmap.eprints.org/235/" TargetMode="External"/><Relationship Id="rId1106" Type="http://schemas.openxmlformats.org/officeDocument/2006/relationships/hyperlink" Target="http://lmt.lt" TargetMode="External"/><Relationship Id="rId1107" Type="http://schemas.openxmlformats.org/officeDocument/2006/relationships/hyperlink" Target="http://lituanistika.library.lt" TargetMode="External"/><Relationship Id="rId1108" Type="http://schemas.openxmlformats.org/officeDocument/2006/relationships/hyperlink" Target="http://roarmap.eprints.org/238/" TargetMode="External"/><Relationship Id="rId1109" Type="http://schemas.openxmlformats.org/officeDocument/2006/relationships/hyperlink" Target="http://lmt.lt" TargetMode="External"/><Relationship Id="rId640" Type="http://schemas.openxmlformats.org/officeDocument/2006/relationships/hyperlink" Target="http://hal.archives-ouvertes.fr/IFSTTAR" TargetMode="External"/><Relationship Id="rId641" Type="http://schemas.openxmlformats.org/officeDocument/2006/relationships/hyperlink" Target="http://roarmap.eprints.org/145/" TargetMode="External"/><Relationship Id="rId642" Type="http://schemas.openxmlformats.org/officeDocument/2006/relationships/hyperlink" Target="http://www.institutnicod.org/" TargetMode="External"/><Relationship Id="rId643" Type="http://schemas.openxmlformats.org/officeDocument/2006/relationships/hyperlink" Target="http://www.eprints.org/openaccess/policysignup/fullinfo.php?inst=Institut%20Jean%20Nicod" TargetMode="External"/><Relationship Id="rId644" Type="http://schemas.openxmlformats.org/officeDocument/2006/relationships/hyperlink" Target="http://jeannicod.ccsd.cnrs.fr/" TargetMode="External"/><Relationship Id="rId645" Type="http://schemas.openxmlformats.org/officeDocument/2006/relationships/hyperlink" Target="http://roarmap.eprints.org/146/" TargetMode="External"/><Relationship Id="rId646" Type="http://schemas.openxmlformats.org/officeDocument/2006/relationships/hyperlink" Target="http://wwz.ifremer.fr/institut" TargetMode="External"/><Relationship Id="rId647" Type="http://schemas.openxmlformats.org/officeDocument/2006/relationships/hyperlink" Target="http://archimer.ifremer.fr/depot.htm" TargetMode="External"/><Relationship Id="rId648" Type="http://schemas.openxmlformats.org/officeDocument/2006/relationships/hyperlink" Target="http://archimer.ifremer.fr/default.jsp?la=en" TargetMode="External"/><Relationship Id="rId649" Type="http://schemas.openxmlformats.org/officeDocument/2006/relationships/hyperlink" Target="http://roarmap.eprints.org/147/" TargetMode="External"/><Relationship Id="rId250" Type="http://schemas.openxmlformats.org/officeDocument/2006/relationships/hyperlink" Target="http://roarmap.eprints.org/622/" TargetMode="External"/><Relationship Id="rId251" Type="http://schemas.openxmlformats.org/officeDocument/2006/relationships/hyperlink" Target="https://portal.fiocruz.br/pt-br" TargetMode="External"/><Relationship Id="rId252" Type="http://schemas.openxmlformats.org/officeDocument/2006/relationships/hyperlink" Target="https://portal.fiocruz.br/sites/portal.fiocruz.br/files/documentos/portaria_-_politica_de_acesso_aberto_ao_conhecimento_na_fiocruz.pdf" TargetMode="External"/><Relationship Id="rId253" Type="http://schemas.openxmlformats.org/officeDocument/2006/relationships/hyperlink" Target="http://www.arca.fiocruz.br/" TargetMode="External"/><Relationship Id="rId254" Type="http://schemas.openxmlformats.org/officeDocument/2006/relationships/hyperlink" Target="http://roarmap.eprints.org/615/" TargetMode="External"/><Relationship Id="rId255" Type="http://schemas.openxmlformats.org/officeDocument/2006/relationships/hyperlink" Target="https://www.ufba.br/" TargetMode="External"/><Relationship Id="rId256" Type="http://schemas.openxmlformats.org/officeDocument/2006/relationships/hyperlink" Target="https://repositorio.ufba.br/ri/about/politica%20institucional.pdf" TargetMode="External"/><Relationship Id="rId257" Type="http://schemas.openxmlformats.org/officeDocument/2006/relationships/hyperlink" Target="https://repositorio.ufba.br/ri/" TargetMode="External"/><Relationship Id="rId258" Type="http://schemas.openxmlformats.org/officeDocument/2006/relationships/hyperlink" Target="http://roarmap.eprints.org/609/" TargetMode="External"/><Relationship Id="rId259" Type="http://schemas.openxmlformats.org/officeDocument/2006/relationships/hyperlink" Target="http://www.ufla.br/" TargetMode="External"/><Relationship Id="rId30" Type="http://schemas.openxmlformats.org/officeDocument/2006/relationships/hyperlink" Target="http://www.unsw.adfa.edu.au/" TargetMode="External"/><Relationship Id="rId31" Type="http://schemas.openxmlformats.org/officeDocument/2006/relationships/hyperlink" Target="http://adt.caul.edu.au/" TargetMode="External"/><Relationship Id="rId32" Type="http://schemas.openxmlformats.org/officeDocument/2006/relationships/hyperlink" Target="http://roarmap.eprints.org/565/" TargetMode="External"/><Relationship Id="rId33" Type="http://schemas.openxmlformats.org/officeDocument/2006/relationships/hyperlink" Target="http://www.anu.edu.au/" TargetMode="External"/><Relationship Id="rId34" Type="http://schemas.openxmlformats.org/officeDocument/2006/relationships/hyperlink" Target="https://policies.anu.edu.au/ppl/document/ANUP_008802" TargetMode="External"/><Relationship Id="rId35" Type="http://schemas.openxmlformats.org/officeDocument/2006/relationships/hyperlink" Target="https://digitalcollections.anu.edu.au/" TargetMode="External"/><Relationship Id="rId36" Type="http://schemas.openxmlformats.org/officeDocument/2006/relationships/hyperlink" Target="http://roarmap.eprints.org/566/" TargetMode="External"/><Relationship Id="rId37" Type="http://schemas.openxmlformats.org/officeDocument/2006/relationships/hyperlink" Target="http://www.arc.gov.au/" TargetMode="External"/><Relationship Id="rId38" Type="http://schemas.openxmlformats.org/officeDocument/2006/relationships/hyperlink" Target="http://www.arc.gov.au/applicants/open_access.htm" TargetMode="External"/><Relationship Id="rId39" Type="http://schemas.openxmlformats.org/officeDocument/2006/relationships/hyperlink" Target="http://roarmap.eprints.org/567/" TargetMode="External"/><Relationship Id="rId1500" Type="http://schemas.openxmlformats.org/officeDocument/2006/relationships/hyperlink" Target="http://www.ub.edu/web/ub/ca/" TargetMode="External"/><Relationship Id="rId1501" Type="http://schemas.openxmlformats.org/officeDocument/2006/relationships/hyperlink" Target="http://roarmap.eprints.org/475/1/2011_06_Politica_acces_obert_UB.pdf" TargetMode="External"/><Relationship Id="rId1502" Type="http://schemas.openxmlformats.org/officeDocument/2006/relationships/hyperlink" Target="http://diposit.ub.edu/dspace/" TargetMode="External"/><Relationship Id="rId1503" Type="http://schemas.openxmlformats.org/officeDocument/2006/relationships/hyperlink" Target="http://roarmap.eprints.org/309/" TargetMode="External"/><Relationship Id="rId1110" Type="http://schemas.openxmlformats.org/officeDocument/2006/relationships/hyperlink" Target="http://roarmap.eprints.org/237/" TargetMode="External"/><Relationship Id="rId1111" Type="http://schemas.openxmlformats.org/officeDocument/2006/relationships/hyperlink" Target="http://www.lrs.lt/" TargetMode="External"/><Relationship Id="rId1112" Type="http://schemas.openxmlformats.org/officeDocument/2006/relationships/hyperlink" Target="http://www3.lrs.lt/pls/inter3/dokpaieska.showdoc_l?p_id=438419" TargetMode="External"/><Relationship Id="rId1113" Type="http://schemas.openxmlformats.org/officeDocument/2006/relationships/hyperlink" Target="http://roarmap.eprints.org/236/" TargetMode="External"/><Relationship Id="rId1114" Type="http://schemas.openxmlformats.org/officeDocument/2006/relationships/hyperlink" Target="http://www.vdu.lt/en/" TargetMode="External"/><Relationship Id="rId1115" Type="http://schemas.openxmlformats.org/officeDocument/2006/relationships/hyperlink" Target="http://erepository.vdu.lt/objectives.htm" TargetMode="External"/><Relationship Id="rId1116" Type="http://schemas.openxmlformats.org/officeDocument/2006/relationships/hyperlink" Target="http://erepository.vdu.lt/" TargetMode="External"/><Relationship Id="rId1117" Type="http://schemas.openxmlformats.org/officeDocument/2006/relationships/hyperlink" Target="http://roarmap.eprints.org/239/" TargetMode="External"/><Relationship Id="rId1118" Type="http://schemas.openxmlformats.org/officeDocument/2006/relationships/hyperlink" Target="http://www.uni.lu" TargetMode="External"/><Relationship Id="rId1119" Type="http://schemas.openxmlformats.org/officeDocument/2006/relationships/hyperlink" Target="http://roarmap.eprints.org/825/1/Mandate-ORBilu.pdf" TargetMode="External"/><Relationship Id="rId650" Type="http://schemas.openxmlformats.org/officeDocument/2006/relationships/hyperlink" Target="http://www.psychologie.parisdescartes.fr/" TargetMode="External"/><Relationship Id="rId651" Type="http://schemas.openxmlformats.org/officeDocument/2006/relationships/hyperlink" Target="http://hal-descartes.archives-ouvertes.fr/" TargetMode="External"/><Relationship Id="rId652" Type="http://schemas.openxmlformats.org/officeDocument/2006/relationships/hyperlink" Target="http://roarmap.eprints.org/636/" TargetMode="External"/><Relationship Id="rId653" Type="http://schemas.openxmlformats.org/officeDocument/2006/relationships/hyperlink" Target="http://en.unesco.org/" TargetMode="External"/><Relationship Id="rId654" Type="http://schemas.openxmlformats.org/officeDocument/2006/relationships/hyperlink" Target="http://www.unesco.org/new/fileadmin/MULTIMEDIA/HQ/ERI/pdf/oa_policy_rev2.pdf" TargetMode="External"/><Relationship Id="rId655" Type="http://schemas.openxmlformats.org/officeDocument/2006/relationships/hyperlink" Target="http://en.unesco.org/open-access/" TargetMode="External"/><Relationship Id="rId656" Type="http://schemas.openxmlformats.org/officeDocument/2006/relationships/hyperlink" Target="http://roarmap.eprints.org/148/" TargetMode="External"/><Relationship Id="rId657" Type="http://schemas.openxmlformats.org/officeDocument/2006/relationships/hyperlink" Target="http://www.univ-lyon2.fr/" TargetMode="External"/><Relationship Id="rId658" Type="http://schemas.openxmlformats.org/officeDocument/2006/relationships/hyperlink" Target="http://halshs.archives-ouvertes.fr/UNIV-LYON2/fr/" TargetMode="External"/><Relationship Id="rId659" Type="http://schemas.openxmlformats.org/officeDocument/2006/relationships/hyperlink" Target="http://roarmap.eprints.org/149/" TargetMode="External"/><Relationship Id="rId1504" Type="http://schemas.openxmlformats.org/officeDocument/2006/relationships/hyperlink" Target="http://www.udg.edu/" TargetMode="External"/><Relationship Id="rId1505" Type="http://schemas.openxmlformats.org/officeDocument/2006/relationships/hyperlink" Target="http://dugi-doc.udg.edu/bitstream/handle/10256/3894/UdG-politica-acces-obert.pdf?sequence=1" TargetMode="External"/><Relationship Id="rId1506" Type="http://schemas.openxmlformats.org/officeDocument/2006/relationships/hyperlink" Target="http://dugi.udg.edu/" TargetMode="External"/><Relationship Id="rId1507" Type="http://schemas.openxmlformats.org/officeDocument/2006/relationships/hyperlink" Target="http://roarmap.eprints.org/297/" TargetMode="External"/><Relationship Id="rId1508" Type="http://schemas.openxmlformats.org/officeDocument/2006/relationships/hyperlink" Target="http://www.udl.es" TargetMode="External"/><Relationship Id="rId1509" Type="http://schemas.openxmlformats.org/officeDocument/2006/relationships/hyperlink" Target="http://repositori.udl.cat/handle/10459.1/45590" TargetMode="External"/><Relationship Id="rId260" Type="http://schemas.openxmlformats.org/officeDocument/2006/relationships/hyperlink" Target="http://www.ufla.br/documentos/arquivos/078_13112012.pdf" TargetMode="External"/><Relationship Id="rId261" Type="http://schemas.openxmlformats.org/officeDocument/2006/relationships/hyperlink" Target="http://repositorio.ufla.br/" TargetMode="External"/><Relationship Id="rId262" Type="http://schemas.openxmlformats.org/officeDocument/2006/relationships/hyperlink" Target="http://roarmap.eprints.org/619/" TargetMode="External"/><Relationship Id="rId263" Type="http://schemas.openxmlformats.org/officeDocument/2006/relationships/hyperlink" Target="http://www.ufop.br/" TargetMode="External"/><Relationship Id="rId264" Type="http://schemas.openxmlformats.org/officeDocument/2006/relationships/hyperlink" Target="http://www.proad.ufop.br/cgp/arquivos/boletins/2013/Boletim_Administrativo_n_64_2013.pdf" TargetMode="External"/><Relationship Id="rId265" Type="http://schemas.openxmlformats.org/officeDocument/2006/relationships/hyperlink" Target="http://www.repositorio.ufop.br/" TargetMode="External"/><Relationship Id="rId266" Type="http://schemas.openxmlformats.org/officeDocument/2006/relationships/hyperlink" Target="http://roarmap.eprints.org/610/" TargetMode="External"/><Relationship Id="rId267" Type="http://schemas.openxmlformats.org/officeDocument/2006/relationships/hyperlink" Target="http://www.ufs.br/" TargetMode="External"/><Relationship Id="rId268" Type="http://schemas.openxmlformats.org/officeDocument/2006/relationships/hyperlink" Target="https://ri.ufs.br/files/politica-ri-ufs.pdf" TargetMode="External"/><Relationship Id="rId269" Type="http://schemas.openxmlformats.org/officeDocument/2006/relationships/hyperlink" Target="https://ri.ufs.br/" TargetMode="External"/><Relationship Id="rId40" Type="http://schemas.openxmlformats.org/officeDocument/2006/relationships/hyperlink" Target="http://www.bond.edu.au/" TargetMode="External"/><Relationship Id="rId41" Type="http://schemas.openxmlformats.org/officeDocument/2006/relationships/hyperlink" Target="http://www.bond.edu.au/prod_ext/groups/public/@pub-qa-gen/documents/policy/bd3_027955.pdf" TargetMode="External"/><Relationship Id="rId42" Type="http://schemas.openxmlformats.org/officeDocument/2006/relationships/hyperlink" Target="http://epublications.bond.edu.au/" TargetMode="External"/><Relationship Id="rId43" Type="http://schemas.openxmlformats.org/officeDocument/2006/relationships/hyperlink" Target="http://roarmap.eprints.org/568/" TargetMode="External"/><Relationship Id="rId44" Type="http://schemas.openxmlformats.org/officeDocument/2006/relationships/hyperlink" Target="http://www.csu.edu.au/" TargetMode="External"/><Relationship Id="rId45" Type="http://schemas.openxmlformats.org/officeDocument/2006/relationships/hyperlink" Target="http://www.csu.edu.au/research/performance/cro/policy" TargetMode="External"/><Relationship Id="rId46" Type="http://schemas.openxmlformats.org/officeDocument/2006/relationships/hyperlink" Target="http://digitool.unilinc.edu.au/R?func=search&amp;local_base=GEN01-CSU01" TargetMode="External"/><Relationship Id="rId47" Type="http://schemas.openxmlformats.org/officeDocument/2006/relationships/hyperlink" Target="http://roarmap.eprints.org/569/" TargetMode="External"/><Relationship Id="rId48" Type="http://schemas.openxmlformats.org/officeDocument/2006/relationships/hyperlink" Target="http://www.curtin.edu.au/" TargetMode="External"/><Relationship Id="rId49" Type="http://schemas.openxmlformats.org/officeDocument/2006/relationships/hyperlink" Target="http://research.curtin.edu.au/local/docs/graduate/TE-DTGuidelines.pdf" TargetMode="External"/><Relationship Id="rId1900" Type="http://schemas.openxmlformats.org/officeDocument/2006/relationships/hyperlink" Target="http://roarmap.eprints.org/376/" TargetMode="External"/><Relationship Id="rId1901" Type="http://schemas.openxmlformats.org/officeDocument/2006/relationships/hyperlink" Target="http://www.qmu.ac.uk/" TargetMode="External"/><Relationship Id="rId1902" Type="http://schemas.openxmlformats.org/officeDocument/2006/relationships/hyperlink" Target="http://eresearch.qmu.ac.uk/policies.html" TargetMode="External"/><Relationship Id="rId1903" Type="http://schemas.openxmlformats.org/officeDocument/2006/relationships/hyperlink" Target="http://eresearch.qmu.ac.uk/" TargetMode="External"/><Relationship Id="rId1510" Type="http://schemas.openxmlformats.org/officeDocument/2006/relationships/hyperlink" Target="http://repositori.udl.cat" TargetMode="External"/><Relationship Id="rId1511" Type="http://schemas.openxmlformats.org/officeDocument/2006/relationships/hyperlink" Target="http://roarmap.eprints.org/311/" TargetMode="External"/><Relationship Id="rId1512" Type="http://schemas.openxmlformats.org/officeDocument/2006/relationships/hyperlink" Target="http://www.uvic.es" TargetMode="External"/><Relationship Id="rId1513" Type="http://schemas.openxmlformats.org/officeDocument/2006/relationships/hyperlink" Target="http://repositori.uvic.cat/handle/10854/1934" TargetMode="External"/><Relationship Id="rId1120" Type="http://schemas.openxmlformats.org/officeDocument/2006/relationships/hyperlink" Target="http://orbilu.uni.lu" TargetMode="External"/><Relationship Id="rId1121" Type="http://schemas.openxmlformats.org/officeDocument/2006/relationships/hyperlink" Target="http://roarmap.eprints.org/443/" TargetMode="External"/><Relationship Id="rId1122" Type="http://schemas.openxmlformats.org/officeDocument/2006/relationships/hyperlink" Target="http://portal.te.gob.mx/en" TargetMode="External"/><Relationship Id="rId1123" Type="http://schemas.openxmlformats.org/officeDocument/2006/relationships/hyperlink" Target="https://docs.google.com/file/d/0B9F59A2246PoaV9UMjU5S1hFekRZenJQMFMySUhadThyZFpj/preview?pli=1" TargetMode="External"/><Relationship Id="rId1124" Type="http://schemas.openxmlformats.org/officeDocument/2006/relationships/hyperlink" Target="http://roarmap.eprints.org/441/" TargetMode="External"/><Relationship Id="rId1125" Type="http://schemas.openxmlformats.org/officeDocument/2006/relationships/hyperlink" Target="http://www.uanl.mx/en" TargetMode="External"/><Relationship Id="rId1126" Type="http://schemas.openxmlformats.org/officeDocument/2006/relationships/hyperlink" Target="http://eprints.uanl.mx/" TargetMode="External"/><Relationship Id="rId1127" Type="http://schemas.openxmlformats.org/officeDocument/2006/relationships/hyperlink" Target="http://roarmap.eprints.org/442/" TargetMode="External"/><Relationship Id="rId1128" Type="http://schemas.openxmlformats.org/officeDocument/2006/relationships/hyperlink" Target="http://www.uaemex.mx/" TargetMode="External"/><Relationship Id="rId1129" Type="http://schemas.openxmlformats.org/officeDocument/2006/relationships/hyperlink" Target="http://www.uaemex.mx/abogado/doc/Open_Access.pdf" TargetMode="External"/><Relationship Id="rId660" Type="http://schemas.openxmlformats.org/officeDocument/2006/relationships/hyperlink" Target="http://www.univ-angers.fr/en/index.html" TargetMode="External"/><Relationship Id="rId661" Type="http://schemas.openxmlformats.org/officeDocument/2006/relationships/hyperlink" Target="http://hal.archives-ouvertes.fr/" TargetMode="External"/><Relationship Id="rId662" Type="http://schemas.openxmlformats.org/officeDocument/2006/relationships/hyperlink" Target="http://roarmap.eprints.org/150/" TargetMode="External"/><Relationship Id="rId663" Type="http://schemas.openxmlformats.org/officeDocument/2006/relationships/hyperlink" Target="http://www.univ-lorraine.fr/" TargetMode="External"/><Relationship Id="rId664" Type="http://schemas.openxmlformats.org/officeDocument/2006/relationships/hyperlink" Target="http://bu.univ-lorraine.fr/ressources/theses-et-memoires/procedure-de-depot-final-de-votre-these-de-doctorat" TargetMode="External"/><Relationship Id="rId665" Type="http://schemas.openxmlformats.org/officeDocument/2006/relationships/hyperlink" Target="http://roarmap.eprints.org/151/" TargetMode="External"/><Relationship Id="rId666" Type="http://schemas.openxmlformats.org/officeDocument/2006/relationships/hyperlink" Target="https://www.uni-bielefeld.de/(en)/" TargetMode="External"/><Relationship Id="rId667" Type="http://schemas.openxmlformats.org/officeDocument/2006/relationships/hyperlink" Target="http://oa.uni-bielefeld.de/" TargetMode="External"/><Relationship Id="rId668" Type="http://schemas.openxmlformats.org/officeDocument/2006/relationships/hyperlink" Target="http://pub.uni-bielefeld.de/" TargetMode="External"/><Relationship Id="rId669" Type="http://schemas.openxmlformats.org/officeDocument/2006/relationships/hyperlink" Target="http://oa.uni-bielefeld.de/publikationsfonds.html" TargetMode="External"/><Relationship Id="rId1514" Type="http://schemas.openxmlformats.org/officeDocument/2006/relationships/hyperlink" Target="http://repositori.uvic.cat" TargetMode="External"/><Relationship Id="rId1515" Type="http://schemas.openxmlformats.org/officeDocument/2006/relationships/hyperlink" Target="http://roarmap.eprints.org/312/" TargetMode="External"/><Relationship Id="rId1516" Type="http://schemas.openxmlformats.org/officeDocument/2006/relationships/hyperlink" Target="http://www.bth.se/eng" TargetMode="External"/><Relationship Id="rId1517" Type="http://schemas.openxmlformats.org/officeDocument/2006/relationships/hyperlink" Target="http://www.bth.se/fou/forskinfo.nsf/textpages/bth-oa-policy" TargetMode="External"/><Relationship Id="rId1518" Type="http://schemas.openxmlformats.org/officeDocument/2006/relationships/hyperlink" Target="http://www.bth.se/fou" TargetMode="External"/><Relationship Id="rId1519" Type="http://schemas.openxmlformats.org/officeDocument/2006/relationships/hyperlink" Target="http://roarmap.eprints.org/313/" TargetMode="External"/><Relationship Id="rId270" Type="http://schemas.openxmlformats.org/officeDocument/2006/relationships/hyperlink" Target="http://roarmap.eprints.org/616/" TargetMode="External"/><Relationship Id="rId271" Type="http://schemas.openxmlformats.org/officeDocument/2006/relationships/hyperlink" Target="http://www.ufc.br/" TargetMode="External"/><Relationship Id="rId272" Type="http://schemas.openxmlformats.org/officeDocument/2006/relationships/hyperlink" Target="http://www.repositorio.ufc.br/ri/sobre/Resolucao02_Consuni_2011.pdf" TargetMode="External"/><Relationship Id="rId273" Type="http://schemas.openxmlformats.org/officeDocument/2006/relationships/hyperlink" Target="http://www.repositorio.ufc.br/" TargetMode="External"/><Relationship Id="rId274" Type="http://schemas.openxmlformats.org/officeDocument/2006/relationships/hyperlink" Target="http://roarmap.eprints.org/621/" TargetMode="External"/><Relationship Id="rId275" Type="http://schemas.openxmlformats.org/officeDocument/2006/relationships/hyperlink" Target="http://www.ufrb.edu.br/portal/" TargetMode="External"/><Relationship Id="rId276" Type="http://schemas.openxmlformats.org/officeDocument/2006/relationships/hyperlink" Target="http://repositorio.ufrb.edu.br/arquivos/Portaria_771_2013.pdf" TargetMode="External"/><Relationship Id="rId277" Type="http://schemas.openxmlformats.org/officeDocument/2006/relationships/hyperlink" Target="http://www.repositorio.ufrb.edu.br/" TargetMode="External"/><Relationship Id="rId278" Type="http://schemas.openxmlformats.org/officeDocument/2006/relationships/hyperlink" Target="http://roarmap.eprints.org/612/" TargetMode="External"/><Relationship Id="rId279" Type="http://schemas.openxmlformats.org/officeDocument/2006/relationships/hyperlink" Target="http://www.furg.br/" TargetMode="External"/><Relationship Id="rId1904" Type="http://schemas.openxmlformats.org/officeDocument/2006/relationships/hyperlink" Target="http://roarmap.eprints.org/693/" TargetMode="External"/><Relationship Id="rId1905" Type="http://schemas.openxmlformats.org/officeDocument/2006/relationships/hyperlink" Target="http://www.qub.ac.uk/" TargetMode="External"/><Relationship Id="rId1906" Type="http://schemas.openxmlformats.org/officeDocument/2006/relationships/hyperlink" Target="http://www.qub.ac.uk/directorates/InformationServices/TheLibrary/FileStore/Filetoupload,471694,en.pdf" TargetMode="External"/><Relationship Id="rId1907" Type="http://schemas.openxmlformats.org/officeDocument/2006/relationships/hyperlink" Target="http://pure.qub.ac.uk/portal/" TargetMode="External"/><Relationship Id="rId1908" Type="http://schemas.openxmlformats.org/officeDocument/2006/relationships/hyperlink" Target="http://www.qub.ac.uk/directorates/InformationServices/TheLibrary/OpenAccess/GoldOpenAccessFunding/" TargetMode="External"/><Relationship Id="rId1909" Type="http://schemas.openxmlformats.org/officeDocument/2006/relationships/hyperlink" Target="http://roarmap.eprints.org/375/" TargetMode="External"/><Relationship Id="rId2200" Type="http://schemas.openxmlformats.org/officeDocument/2006/relationships/hyperlink" Target="http://dukespace.lib.duke.edu/dspace/handle/10161/1" TargetMode="External"/><Relationship Id="rId2201" Type="http://schemas.openxmlformats.org/officeDocument/2006/relationships/hyperlink" Target="http://roarmap.eprints.org/467/" TargetMode="External"/><Relationship Id="rId2202" Type="http://schemas.openxmlformats.org/officeDocument/2006/relationships/hyperlink" Target="http://www.emory.edu" TargetMode="External"/><Relationship Id="rId2203" Type="http://schemas.openxmlformats.org/officeDocument/2006/relationships/hyperlink" Target="http://guides.main.library.emory.edu/content.php?pid=43389&amp;sid=2144393" TargetMode="External"/><Relationship Id="rId2204" Type="http://schemas.openxmlformats.org/officeDocument/2006/relationships/hyperlink" Target="https://open.library.emory.edu/" TargetMode="External"/><Relationship Id="rId2205" Type="http://schemas.openxmlformats.org/officeDocument/2006/relationships/hyperlink" Target="https://open.library.emory.edu/authors/oa-fund/" TargetMode="External"/><Relationship Id="rId2206" Type="http://schemas.openxmlformats.org/officeDocument/2006/relationships/hyperlink" Target="http://roarmap.eprints.org/468/" TargetMode="External"/><Relationship Id="rId2207" Type="http://schemas.openxmlformats.org/officeDocument/2006/relationships/hyperlink" Target="https://www.fsu.edu/" TargetMode="External"/><Relationship Id="rId2208" Type="http://schemas.openxmlformats.org/officeDocument/2006/relationships/hyperlink" Target="https://www.lib.fsu.edu/tads/open-access-policy" TargetMode="External"/><Relationship Id="rId2209" Type="http://schemas.openxmlformats.org/officeDocument/2006/relationships/hyperlink" Target="http://diginole.lib.fsu.edu/" TargetMode="External"/><Relationship Id="rId50" Type="http://schemas.openxmlformats.org/officeDocument/2006/relationships/hyperlink" Target="http://espace.library.curtin.edu.au/R?func=search&amp;local_base=gen01-era02" TargetMode="External"/><Relationship Id="rId51" Type="http://schemas.openxmlformats.org/officeDocument/2006/relationships/hyperlink" Target="http://roarmap.eprints.org/570/" TargetMode="External"/><Relationship Id="rId52" Type="http://schemas.openxmlformats.org/officeDocument/2006/relationships/hyperlink" Target="http://www.deakin.edu.au/" TargetMode="External"/><Relationship Id="rId53" Type="http://schemas.openxmlformats.org/officeDocument/2006/relationships/hyperlink" Target="http://theguide.deakin.edu.au/TheGuide/TheGuide2011.nsf/191d0d51322b3a04ca2576be00064063/7299b3cb34d37e45ca257acb002546a3?OpenDocument" TargetMode="External"/><Relationship Id="rId54" Type="http://schemas.openxmlformats.org/officeDocument/2006/relationships/hyperlink" Target="http://dro.deakin.edu.au/" TargetMode="External"/><Relationship Id="rId55" Type="http://schemas.openxmlformats.org/officeDocument/2006/relationships/hyperlink" Target="http://roarmap.eprints.org/571/" TargetMode="External"/><Relationship Id="rId56" Type="http://schemas.openxmlformats.org/officeDocument/2006/relationships/hyperlink" Target="http://www.ecu.edu.au/" TargetMode="External"/><Relationship Id="rId57" Type="http://schemas.openxmlformats.org/officeDocument/2006/relationships/hyperlink" Target="http://www.ecu.edu.au/GPPS/policies_db/tmp/ac081.pdf" TargetMode="External"/><Relationship Id="rId58" Type="http://schemas.openxmlformats.org/officeDocument/2006/relationships/hyperlink" Target="http://ro.ecu.edu.au/" TargetMode="External"/><Relationship Id="rId59" Type="http://schemas.openxmlformats.org/officeDocument/2006/relationships/hyperlink" Target="http://roarmap.eprints.org/572/" TargetMode="External"/><Relationship Id="rId1910" Type="http://schemas.openxmlformats.org/officeDocument/2006/relationships/hyperlink" Target="http://www.rcuk.ac.uk/" TargetMode="External"/><Relationship Id="rId1911" Type="http://schemas.openxmlformats.org/officeDocument/2006/relationships/hyperlink" Target="http://www.rcuk.ac.uk/RCUK-prod/assets/documents/documents/RCUKOpenAccessPolicy.pdf" TargetMode="External"/><Relationship Id="rId1912" Type="http://schemas.openxmlformats.org/officeDocument/2006/relationships/hyperlink" Target="http://roarmap.eprints.org/377/" TargetMode="External"/><Relationship Id="rId1913" Type="http://schemas.openxmlformats.org/officeDocument/2006/relationships/hyperlink" Target="http://www.roehampton.ac.uk" TargetMode="External"/><Relationship Id="rId1520" Type="http://schemas.openxmlformats.org/officeDocument/2006/relationships/hyperlink" Target="http://www.chalmers.se/en/Pages/default.aspx" TargetMode="External"/><Relationship Id="rId1521" Type="http://schemas.openxmlformats.org/officeDocument/2006/relationships/hyperlink" Target="http://www.chalmers.se/en/about-chalmers/policies-and-rules/Pages/open-access-policy.aspx" TargetMode="External"/><Relationship Id="rId1522" Type="http://schemas.openxmlformats.org/officeDocument/2006/relationships/hyperlink" Target="http://publications.lib.chalmers.se/" TargetMode="External"/><Relationship Id="rId1523" Type="http://schemas.openxmlformats.org/officeDocument/2006/relationships/hyperlink" Target="http://roarmap.eprints.org/314/" TargetMode="External"/><Relationship Id="rId1130" Type="http://schemas.openxmlformats.org/officeDocument/2006/relationships/hyperlink" Target="http://roarmap.eprints.org/240/" TargetMode="External"/><Relationship Id="rId1131" Type="http://schemas.openxmlformats.org/officeDocument/2006/relationships/hyperlink" Target="http://www.surf.nl/en" TargetMode="External"/><Relationship Id="rId1132" Type="http://schemas.openxmlformats.org/officeDocument/2006/relationships/hyperlink" Target="http://roarmap.eprints.org/242/" TargetMode="External"/><Relationship Id="rId1133" Type="http://schemas.openxmlformats.org/officeDocument/2006/relationships/hyperlink" Target="http://w3.tue.nl/en/" TargetMode="External"/><Relationship Id="rId1134" Type="http://schemas.openxmlformats.org/officeDocument/2006/relationships/hyperlink" Target="http://w3.tue.nl/en/services/library/about/openaccesscoach/oa_and_tue/tue_policy/" TargetMode="External"/><Relationship Id="rId1135" Type="http://schemas.openxmlformats.org/officeDocument/2006/relationships/hyperlink" Target="http://repository.tue.nl/" TargetMode="External"/><Relationship Id="rId1136" Type="http://schemas.openxmlformats.org/officeDocument/2006/relationships/hyperlink" Target="http://www.nwo.nl/en/funding/our-funding-instruments/nwo/incentive-fund-open-access/incentive-fund-open-access---publications/incentive-fund-open-access---publications.html" TargetMode="External"/><Relationship Id="rId1137" Type="http://schemas.openxmlformats.org/officeDocument/2006/relationships/hyperlink" Target="http://roarmap.eprints.org/243/" TargetMode="External"/><Relationship Id="rId1138" Type="http://schemas.openxmlformats.org/officeDocument/2006/relationships/hyperlink" Target="http://www.eur.nl/english/" TargetMode="External"/><Relationship Id="rId1139" Type="http://schemas.openxmlformats.org/officeDocument/2006/relationships/hyperlink" Target="http://www.eur.nl/researchmatters/open_access/eur_policy/" TargetMode="External"/><Relationship Id="rId670" Type="http://schemas.openxmlformats.org/officeDocument/2006/relationships/hyperlink" Target="http://roarmap.eprints.org/152/" TargetMode="External"/><Relationship Id="rId671" Type="http://schemas.openxmlformats.org/officeDocument/2006/relationships/hyperlink" Target="http://www.dfg.de/en/" TargetMode="External"/><Relationship Id="rId280" Type="http://schemas.openxmlformats.org/officeDocument/2006/relationships/hyperlink" Target="http://roarmap.eprints.org/434/1/PII___FURG.pdf" TargetMode="External"/><Relationship Id="rId281" Type="http://schemas.openxmlformats.org/officeDocument/2006/relationships/hyperlink" Target="http://repositorio.furg.br/" TargetMode="External"/><Relationship Id="rId282" Type="http://schemas.openxmlformats.org/officeDocument/2006/relationships/hyperlink" Target="http://roarmap.eprints.org/617/" TargetMode="External"/><Relationship Id="rId283" Type="http://schemas.openxmlformats.org/officeDocument/2006/relationships/hyperlink" Target="http://www.ufrn.br/" TargetMode="External"/><Relationship Id="rId284" Type="http://schemas.openxmlformats.org/officeDocument/2006/relationships/hyperlink" Target="http://repositorio.ufrn.br:8080/jspui/sobre/resolucao_592010_consepe_riufrn.pdf" TargetMode="External"/><Relationship Id="rId285" Type="http://schemas.openxmlformats.org/officeDocument/2006/relationships/hyperlink" Target="http://repositorio.ufrn.br:8080/jspui/" TargetMode="External"/><Relationship Id="rId286" Type="http://schemas.openxmlformats.org/officeDocument/2006/relationships/hyperlink" Target="http://roarmap.eprints.org/611/" TargetMode="External"/><Relationship Id="rId287" Type="http://schemas.openxmlformats.org/officeDocument/2006/relationships/hyperlink" Target="http://www.ufrgs.br/" TargetMode="External"/><Relationship Id="rId288" Type="http://schemas.openxmlformats.org/officeDocument/2006/relationships/hyperlink" Target="http://roarmap.eprints.org/468/1/Portaria-5068.pdf" TargetMode="External"/><Relationship Id="rId289" Type="http://schemas.openxmlformats.org/officeDocument/2006/relationships/hyperlink" Target="http://www.lume.ufrgs.br/" TargetMode="External"/><Relationship Id="rId672" Type="http://schemas.openxmlformats.org/officeDocument/2006/relationships/hyperlink" Target="http://roarmap.eprints.org/153/" TargetMode="External"/><Relationship Id="rId673" Type="http://schemas.openxmlformats.org/officeDocument/2006/relationships/hyperlink" Target="http://www.fraunhofer.de/" TargetMode="External"/><Relationship Id="rId674" Type="http://schemas.openxmlformats.org/officeDocument/2006/relationships/hyperlink" Target="http://www.fraunhofer.de/content/dam/zv/en/documents/OpenAccessPolicy_tcm63-828.pdf" TargetMode="External"/><Relationship Id="rId675" Type="http://schemas.openxmlformats.org/officeDocument/2006/relationships/hyperlink" Target="http://publica.fraunhofer.de/starweb/ep08/en/index.htm" TargetMode="External"/><Relationship Id="rId676" Type="http://schemas.openxmlformats.org/officeDocument/2006/relationships/hyperlink" Target="http://roarmap.eprints.org/155/" TargetMode="External"/><Relationship Id="rId677" Type="http://schemas.openxmlformats.org/officeDocument/2006/relationships/hyperlink" Target="http://www.uni-freiburg.de/" TargetMode="External"/><Relationship Id="rId678" Type="http://schemas.openxmlformats.org/officeDocument/2006/relationships/hyperlink" Target="http://www.ub.uni-freiburg.de/index.php?id=3651" TargetMode="External"/><Relationship Id="rId679" Type="http://schemas.openxmlformats.org/officeDocument/2006/relationships/hyperlink" Target="https://www.freidok.uni-freiburg.de/" TargetMode="External"/><Relationship Id="rId1524" Type="http://schemas.openxmlformats.org/officeDocument/2006/relationships/hyperlink" Target="http://ki.se/start" TargetMode="External"/><Relationship Id="rId1525" Type="http://schemas.openxmlformats.org/officeDocument/2006/relationships/hyperlink" Target="http://roarmap.eprints.org/467/1/OpenAccessPolicy_KI.pdf" TargetMode="External"/><Relationship Id="rId1526" Type="http://schemas.openxmlformats.org/officeDocument/2006/relationships/hyperlink" Target="http://publications.ki.se/xmlui/" TargetMode="External"/><Relationship Id="rId1527" Type="http://schemas.openxmlformats.org/officeDocument/2006/relationships/hyperlink" Target="http://roarmap.eprints.org/315/" TargetMode="External"/><Relationship Id="rId1528" Type="http://schemas.openxmlformats.org/officeDocument/2006/relationships/hyperlink" Target="http://www.lub.lu.se/" TargetMode="External"/><Relationship Id="rId1529" Type="http://schemas.openxmlformats.org/officeDocument/2006/relationships/hyperlink" Target="http://www.med.lu.se/intramed/nyhetsarkiv/131203_open_access" TargetMode="External"/><Relationship Id="rId1914" Type="http://schemas.openxmlformats.org/officeDocument/2006/relationships/hyperlink" Target="http://roehampton.openrepository.com/roehampton/" TargetMode="External"/><Relationship Id="rId1915" Type="http://schemas.openxmlformats.org/officeDocument/2006/relationships/hyperlink" Target="http://roarmap.eprints.org/378/" TargetMode="External"/><Relationship Id="rId1916" Type="http://schemas.openxmlformats.org/officeDocument/2006/relationships/hyperlink" Target="https://www.royalholloway.ac.uk/home.aspx" TargetMode="External"/><Relationship Id="rId1917" Type="http://schemas.openxmlformats.org/officeDocument/2006/relationships/hyperlink" Target="https://www.royalholloway.ac.uk/library/documents/policies/royalhollowayoapp.pdf" TargetMode="External"/><Relationship Id="rId1918" Type="http://schemas.openxmlformats.org/officeDocument/2006/relationships/hyperlink" Target="http://digirep.rhul.ac.uk/access/search.do?hier.topic=cf34f320-af5e-6950-c244-1dfc3a2c5315" TargetMode="External"/><Relationship Id="rId1919" Type="http://schemas.openxmlformats.org/officeDocument/2006/relationships/hyperlink" Target="https://www.royalholloway.ac.uk/library/documents/policies/rhulapcpolicy.pdf" TargetMode="External"/><Relationship Id="rId2210" Type="http://schemas.openxmlformats.org/officeDocument/2006/relationships/hyperlink" Target="https://www.lib.fsu.edu/tads/open-access-fund" TargetMode="External"/><Relationship Id="rId2211" Type="http://schemas.openxmlformats.org/officeDocument/2006/relationships/hyperlink" Target="http://roarmap.eprints.org/469/" TargetMode="External"/><Relationship Id="rId2212" Type="http://schemas.openxmlformats.org/officeDocument/2006/relationships/hyperlink" Target="http://www.gatech.edu/" TargetMode="External"/><Relationship Id="rId2213" Type="http://schemas.openxmlformats.org/officeDocument/2006/relationships/hyperlink" Target="http://www.policylibrary.gatech.edu/faculty-handbook/5.5-policy-open-access-faculty-publications" TargetMode="External"/><Relationship Id="rId2214" Type="http://schemas.openxmlformats.org/officeDocument/2006/relationships/hyperlink" Target="https://smartech.gatech.edu/" TargetMode="External"/><Relationship Id="rId2215" Type="http://schemas.openxmlformats.org/officeDocument/2006/relationships/hyperlink" Target="http://roarmap.eprints.org/470/" TargetMode="External"/><Relationship Id="rId2216" Type="http://schemas.openxmlformats.org/officeDocument/2006/relationships/hyperlink" Target="https://gustavus.edu/library/" TargetMode="External"/><Relationship Id="rId2217" Type="http://schemas.openxmlformats.org/officeDocument/2006/relationships/hyperlink" Target="https://gustavus.edu/library/Pubs/OApledge.html" TargetMode="External"/><Relationship Id="rId2218" Type="http://schemas.openxmlformats.org/officeDocument/2006/relationships/hyperlink" Target="http://archives.gac.edu/cdm/landingpage/collection/ir" TargetMode="External"/><Relationship Id="rId2219" Type="http://schemas.openxmlformats.org/officeDocument/2006/relationships/hyperlink" Target="http://roarmap.eprints.org/471/" TargetMode="External"/><Relationship Id="rId60" Type="http://schemas.openxmlformats.org/officeDocument/2006/relationships/hyperlink" Target="http://www.griffith.edu.au/" TargetMode="External"/><Relationship Id="rId61" Type="http://schemas.openxmlformats.org/officeDocument/2006/relationships/hyperlink" Target="http://roarmap.eprints.org/573/" TargetMode="External"/><Relationship Id="rId62" Type="http://schemas.openxmlformats.org/officeDocument/2006/relationships/hyperlink" Target="http://www.jcu.edu.au/" TargetMode="External"/><Relationship Id="rId63" Type="http://schemas.openxmlformats.org/officeDocument/2006/relationships/hyperlink" Target="http://www.jcu.edu.au/policy/information/allim/JCU_112859.html" TargetMode="External"/><Relationship Id="rId64" Type="http://schemas.openxmlformats.org/officeDocument/2006/relationships/hyperlink" Target="http://researchonline.jcu.edu.au/" TargetMode="External"/><Relationship Id="rId65" Type="http://schemas.openxmlformats.org/officeDocument/2006/relationships/hyperlink" Target="http://roarmap.eprints.org/574/" TargetMode="External"/><Relationship Id="rId66" Type="http://schemas.openxmlformats.org/officeDocument/2006/relationships/hyperlink" Target="http://www.mq.edu.au/" TargetMode="External"/><Relationship Id="rId67" Type="http://schemas.openxmlformats.org/officeDocument/2006/relationships/hyperlink" Target="http://www.mq.edu.au/policy/docs/open_access/policy.html" TargetMode="External"/><Relationship Id="rId68" Type="http://schemas.openxmlformats.org/officeDocument/2006/relationships/hyperlink" Target="http://www.researchonline.mq.edu.au/vital/access/manager/Index" TargetMode="External"/><Relationship Id="rId69" Type="http://schemas.openxmlformats.org/officeDocument/2006/relationships/hyperlink" Target="http://roarmap.eprints.org/575/" TargetMode="External"/><Relationship Id="rId1920" Type="http://schemas.openxmlformats.org/officeDocument/2006/relationships/hyperlink" Target="http://roarmap.eprints.org/379/" TargetMode="External"/><Relationship Id="rId1921" Type="http://schemas.openxmlformats.org/officeDocument/2006/relationships/hyperlink" Target="http://www.stfc.ac.uk/Home.aspx" TargetMode="External"/><Relationship Id="rId1922" Type="http://schemas.openxmlformats.org/officeDocument/2006/relationships/hyperlink" Target="http://www.rcuk.ac.uk/RCUK-prod/assets/documents/documents/RCUKOpenAccessPolicy.pdf" TargetMode="External"/><Relationship Id="rId1923" Type="http://schemas.openxmlformats.org/officeDocument/2006/relationships/hyperlink" Target="http://roarmap.eprints.org/380/" TargetMode="External"/><Relationship Id="rId1530" Type="http://schemas.openxmlformats.org/officeDocument/2006/relationships/hyperlink" Target="http://www.lunduniversity.lu.se/research-and-innovation/find-publications" TargetMode="External"/><Relationship Id="rId1531" Type="http://schemas.openxmlformats.org/officeDocument/2006/relationships/hyperlink" Target="http://roarmap.eprints.org/316/" TargetMode="External"/><Relationship Id="rId1532" Type="http://schemas.openxmlformats.org/officeDocument/2006/relationships/hyperlink" Target="http://www.mah.se/english" TargetMode="External"/><Relationship Id="rId1533" Type="http://schemas.openxmlformats.org/officeDocument/2006/relationships/hyperlink" Target="http://www.mah.se/bit/press/openaccess_eng" TargetMode="External"/><Relationship Id="rId1140" Type="http://schemas.openxmlformats.org/officeDocument/2006/relationships/hyperlink" Target="http://repub.eur.nl/" TargetMode="External"/><Relationship Id="rId1141" Type="http://schemas.openxmlformats.org/officeDocument/2006/relationships/hyperlink" Target="http://roarmap.eprints.org/241/" TargetMode="External"/><Relationship Id="rId1142" Type="http://schemas.openxmlformats.org/officeDocument/2006/relationships/hyperlink" Target="http://www.nwo.nl/" TargetMode="External"/><Relationship Id="rId1143" Type="http://schemas.openxmlformats.org/officeDocument/2006/relationships/hyperlink" Target="http://www.nwo.nl/en/news-and-events/dossiers/open+access" TargetMode="External"/><Relationship Id="rId1144" Type="http://schemas.openxmlformats.org/officeDocument/2006/relationships/hyperlink" Target="http://roarmap.eprints.org/244/" TargetMode="External"/><Relationship Id="rId1145" Type="http://schemas.openxmlformats.org/officeDocument/2006/relationships/hyperlink" Target="https://www.knaw.nl/en" TargetMode="External"/><Relationship Id="rId1146" Type="http://schemas.openxmlformats.org/officeDocument/2006/relationships/hyperlink" Target="https://www.knaw.nl/en/openaccess" TargetMode="External"/><Relationship Id="rId1147" Type="http://schemas.openxmlformats.org/officeDocument/2006/relationships/hyperlink" Target="https://pure.knaw.nl" TargetMode="External"/><Relationship Id="rId1148" Type="http://schemas.openxmlformats.org/officeDocument/2006/relationships/hyperlink" Target="http://roarmap.eprints.org/245/" TargetMode="External"/><Relationship Id="rId1149" Type="http://schemas.openxmlformats.org/officeDocument/2006/relationships/hyperlink" Target="http://www.uu.nl/EN/Pages/default.aspx" TargetMode="External"/><Relationship Id="rId680" Type="http://schemas.openxmlformats.org/officeDocument/2006/relationships/hyperlink" Target="http://www.ub.uni-freiburg.de/index.php?id=oapf" TargetMode="External"/><Relationship Id="rId681" Type="http://schemas.openxmlformats.org/officeDocument/2006/relationships/hyperlink" Target="http://roarmap.eprints.org/154/" TargetMode="External"/><Relationship Id="rId290" Type="http://schemas.openxmlformats.org/officeDocument/2006/relationships/hyperlink" Target="http://roarmap.eprints.org/620/" TargetMode="External"/><Relationship Id="rId291" Type="http://schemas.openxmlformats.org/officeDocument/2006/relationships/hyperlink" Target="http://www.utfpr.edu.br/londrina" TargetMode="External"/><Relationship Id="rId292" Type="http://schemas.openxmlformats.org/officeDocument/2006/relationships/hyperlink" Target="http://repositorio.utfpr.edu.br/jspui/sobre/politica_repositorio_1.pdf" TargetMode="External"/><Relationship Id="rId293" Type="http://schemas.openxmlformats.org/officeDocument/2006/relationships/hyperlink" Target="http://repositorio.utfpr.edu.br/jspui/" TargetMode="External"/><Relationship Id="rId294" Type="http://schemas.openxmlformats.org/officeDocument/2006/relationships/hyperlink" Target="http://roarmap.eprints.org/613/" TargetMode="External"/><Relationship Id="rId295" Type="http://schemas.openxmlformats.org/officeDocument/2006/relationships/hyperlink" Target="http://www.unb.br/" TargetMode="External"/><Relationship Id="rId296" Type="http://schemas.openxmlformats.org/officeDocument/2006/relationships/hyperlink" Target="http://repositorio.unb.br/termo/resolucao.pdf" TargetMode="External"/><Relationship Id="rId297" Type="http://schemas.openxmlformats.org/officeDocument/2006/relationships/hyperlink" Target="http://repositorio.unb.br/" TargetMode="External"/><Relationship Id="rId298" Type="http://schemas.openxmlformats.org/officeDocument/2006/relationships/hyperlink" Target="http://roarmap.eprints.org/614/" TargetMode="External"/><Relationship Id="rId299" Type="http://schemas.openxmlformats.org/officeDocument/2006/relationships/hyperlink" Target="http://www5.usp.br/" TargetMode="External"/><Relationship Id="rId682" Type="http://schemas.openxmlformats.org/officeDocument/2006/relationships/hyperlink" Target="http://www.fu-berlin.de/en" TargetMode="External"/><Relationship Id="rId683" Type="http://schemas.openxmlformats.org/officeDocument/2006/relationships/hyperlink" Target="http://www.fu-berlin.de/sites/open_access/" TargetMode="External"/><Relationship Id="rId684" Type="http://schemas.openxmlformats.org/officeDocument/2006/relationships/hyperlink" Target="http://edocs.fu-berlin.de/docs/content/below/index.xml" TargetMode="External"/><Relationship Id="rId685" Type="http://schemas.openxmlformats.org/officeDocument/2006/relationships/hyperlink" Target="http://www.fu-berlin.de/sites/open_access/dienstleistungen/publikationsfonds/" TargetMode="External"/><Relationship Id="rId686" Type="http://schemas.openxmlformats.org/officeDocument/2006/relationships/hyperlink" Target="http://roarmap.eprints.org/156/" TargetMode="External"/><Relationship Id="rId687" Type="http://schemas.openxmlformats.org/officeDocument/2006/relationships/hyperlink" Target="http://www.uni-goettingen.de/" TargetMode="External"/><Relationship Id="rId688" Type="http://schemas.openxmlformats.org/officeDocument/2006/relationships/hyperlink" Target="http://www.sub.uni-goettingen.de/en/electronic-publishing/open-access/" TargetMode="External"/><Relationship Id="rId689" Type="http://schemas.openxmlformats.org/officeDocument/2006/relationships/hyperlink" Target="http://www.univerlag.uni-goettingen.de/" TargetMode="External"/><Relationship Id="rId1534" Type="http://schemas.openxmlformats.org/officeDocument/2006/relationships/hyperlink" Target="http://dspace.mah.se/" TargetMode="External"/><Relationship Id="rId1535" Type="http://schemas.openxmlformats.org/officeDocument/2006/relationships/hyperlink" Target="http://roarmap.eprints.org/317/" TargetMode="External"/><Relationship Id="rId1536" Type="http://schemas.openxmlformats.org/officeDocument/2006/relationships/hyperlink" Target="http://www.su.se/" TargetMode="External"/><Relationship Id="rId1537" Type="http://schemas.openxmlformats.org/officeDocument/2006/relationships/hyperlink" Target="http://www.sub.su.se/home/publish/open-access.aspx" TargetMode="External"/><Relationship Id="rId1538" Type="http://schemas.openxmlformats.org/officeDocument/2006/relationships/hyperlink" Target="http://su.diva-portal.org/smash/search.jsf" TargetMode="External"/><Relationship Id="rId1539" Type="http://schemas.openxmlformats.org/officeDocument/2006/relationships/hyperlink" Target="http://roarmap.eprints.org/318/" TargetMode="External"/><Relationship Id="rId1924" Type="http://schemas.openxmlformats.org/officeDocument/2006/relationships/hyperlink" Target="http://www.sgul.ac.uk/" TargetMode="External"/><Relationship Id="rId1925" Type="http://schemas.openxmlformats.org/officeDocument/2006/relationships/hyperlink" Target="http://roarmap.eprints.org/910/1/Research%20Publications%20Policy%20v04.pdf" TargetMode="External"/><Relationship Id="rId1926" Type="http://schemas.openxmlformats.org/officeDocument/2006/relationships/hyperlink" Target="http://openaccess.sgul.ac.uk/" TargetMode="External"/><Relationship Id="rId1927" Type="http://schemas.openxmlformats.org/officeDocument/2006/relationships/hyperlink" Target="http://roarmap.eprints.org/381/" TargetMode="External"/><Relationship Id="rId1928" Type="http://schemas.openxmlformats.org/officeDocument/2006/relationships/hyperlink" Target="http://www.tees.ac.uk/" TargetMode="External"/><Relationship Id="rId1929" Type="http://schemas.openxmlformats.org/officeDocument/2006/relationships/hyperlink" Target="http://tees.openrepository.com/tees/bitstream/10149/278893/2/278893.pdf" TargetMode="External"/><Relationship Id="rId2220" Type="http://schemas.openxmlformats.org/officeDocument/2006/relationships/hyperlink" Target="http://www.hbs.edu/Pages/default.aspx" TargetMode="External"/><Relationship Id="rId2221" Type="http://schemas.openxmlformats.org/officeDocument/2006/relationships/hyperlink" Target="https://osc.hul.harvard.edu/hbspolicy" TargetMode="External"/><Relationship Id="rId2222" Type="http://schemas.openxmlformats.org/officeDocument/2006/relationships/hyperlink" Target="http://dash.harvard.edu/" TargetMode="External"/><Relationship Id="rId2223" Type="http://schemas.openxmlformats.org/officeDocument/2006/relationships/hyperlink" Target="https://osc.hul.harvard.edu/hope" TargetMode="External"/><Relationship Id="rId2224" Type="http://schemas.openxmlformats.org/officeDocument/2006/relationships/hyperlink" Target="http://roarmap.eprints.org/472/" TargetMode="External"/><Relationship Id="rId2225" Type="http://schemas.openxmlformats.org/officeDocument/2006/relationships/hyperlink" Target="http://hds.harvard.edu/" TargetMode="External"/><Relationship Id="rId2226" Type="http://schemas.openxmlformats.org/officeDocument/2006/relationships/hyperlink" Target="https://osc.hul.harvard.edu/hdspolicy" TargetMode="External"/><Relationship Id="rId2227" Type="http://schemas.openxmlformats.org/officeDocument/2006/relationships/hyperlink" Target="http://dash.harvard.edu/" TargetMode="External"/><Relationship Id="rId2228" Type="http://schemas.openxmlformats.org/officeDocument/2006/relationships/hyperlink" Target="https://osc.hul.harvard.edu/hope" TargetMode="External"/><Relationship Id="rId2229" Type="http://schemas.openxmlformats.org/officeDocument/2006/relationships/hyperlink" Target="http://roarmap.eprints.org/473/" TargetMode="External"/><Relationship Id="rId70" Type="http://schemas.openxmlformats.org/officeDocument/2006/relationships/hyperlink" Target="http://monash.edu/" TargetMode="External"/><Relationship Id="rId71" Type="http://schemas.openxmlformats.org/officeDocument/2006/relationships/hyperlink" Target="http://www.monash.edu.au/migr/research-degrees/handbook/chapter-seven/7-6.html" TargetMode="External"/><Relationship Id="rId72" Type="http://schemas.openxmlformats.org/officeDocument/2006/relationships/hyperlink" Target="http://arrow.monash.edu.au/vital/access/manager/Index" TargetMode="External"/><Relationship Id="rId73" Type="http://schemas.openxmlformats.org/officeDocument/2006/relationships/hyperlink" Target="http://roarmap.eprints.org/576/" TargetMode="External"/><Relationship Id="rId74" Type="http://schemas.openxmlformats.org/officeDocument/2006/relationships/hyperlink" Target="http://www.murdoch.edu.au/" TargetMode="External"/><Relationship Id="rId75" Type="http://schemas.openxmlformats.org/officeDocument/2006/relationships/hyperlink" Target="http://our.murdoch.edu.au/Research-and-Development/Resources-for-students/Thesis/Access-to-thesis/" TargetMode="External"/><Relationship Id="rId76" Type="http://schemas.openxmlformats.org/officeDocument/2006/relationships/hyperlink" Target="http://researchrepository.murdoch.edu.au/" TargetMode="External"/><Relationship Id="rId77" Type="http://schemas.openxmlformats.org/officeDocument/2006/relationships/hyperlink" Target="http://roarmap.eprints.org/577/" TargetMode="External"/><Relationship Id="rId78" Type="http://schemas.openxmlformats.org/officeDocument/2006/relationships/hyperlink" Target="http://www.nhmrc.gov.au/" TargetMode="External"/><Relationship Id="rId79" Type="http://schemas.openxmlformats.org/officeDocument/2006/relationships/hyperlink" Target="http://www.nhmrc.gov.au/grants/policy/nhmrc-open-access-policy" TargetMode="External"/><Relationship Id="rId1930" Type="http://schemas.openxmlformats.org/officeDocument/2006/relationships/hyperlink" Target="http://tees.openrepository.com/tees/" TargetMode="External"/><Relationship Id="rId1931" Type="http://schemas.openxmlformats.org/officeDocument/2006/relationships/hyperlink" Target="http://roarmap.eprints.org/382/" TargetMode="External"/><Relationship Id="rId1932" Type="http://schemas.openxmlformats.org/officeDocument/2006/relationships/hyperlink" Target="http://www.dunhillmedical.org.uk/_files/D7F0395691A12397B44F6F3E1C5A4028.pdf" TargetMode="External"/><Relationship Id="rId1933" Type="http://schemas.openxmlformats.org/officeDocument/2006/relationships/hyperlink" Target="http://roarmap.eprints.org/509/1/open_access_april11.pdf" TargetMode="External"/><Relationship Id="rId1540" Type="http://schemas.openxmlformats.org/officeDocument/2006/relationships/hyperlink" Target="http://www.kb.se/hjalp/english/" TargetMode="External"/><Relationship Id="rId1541" Type="http://schemas.openxmlformats.org/officeDocument/2006/relationships/hyperlink" Target="http://www.kb.se/OpenAccess_english/OA-News/Open-Access-policy-for-the-National-Library-of-Sweden/" TargetMode="External"/><Relationship Id="rId1542" Type="http://schemas.openxmlformats.org/officeDocument/2006/relationships/hyperlink" Target="http://www.kb.se/" TargetMode="External"/><Relationship Id="rId1543" Type="http://schemas.openxmlformats.org/officeDocument/2006/relationships/hyperlink" Target="http://roarmap.eprints.org/319/" TargetMode="External"/><Relationship Id="rId1150" Type="http://schemas.openxmlformats.org/officeDocument/2006/relationships/hyperlink" Target="http://libguides.library.uu.nl/openaccess_en" TargetMode="External"/><Relationship Id="rId1151" Type="http://schemas.openxmlformats.org/officeDocument/2006/relationships/hyperlink" Target="http://igitur-archive.library.uu.nl/search/search.php?m=simple&amp;language=en&amp;p=1" TargetMode="External"/><Relationship Id="rId1152" Type="http://schemas.openxmlformats.org/officeDocument/2006/relationships/hyperlink" Target="http://www.eur.nl/fileadmin/ASSETS/ub-instructie/Research_Matters/oa_eng.pdf" TargetMode="External"/><Relationship Id="rId1153" Type="http://schemas.openxmlformats.org/officeDocument/2006/relationships/hyperlink" Target="http://roarmap.eprints.org/246/" TargetMode="External"/><Relationship Id="rId1154" Type="http://schemas.openxmlformats.org/officeDocument/2006/relationships/hyperlink" Target="http://vu.nl/en/index.asp" TargetMode="External"/><Relationship Id="rId1155" Type="http://schemas.openxmlformats.org/officeDocument/2006/relationships/hyperlink" Target="http://ub.vu.nl/nl/hulp-advies/themasite-open-access/index.asp" TargetMode="External"/><Relationship Id="rId1156" Type="http://schemas.openxmlformats.org/officeDocument/2006/relationships/hyperlink" Target="http://dare.ubvu.vu.nl/" TargetMode="External"/><Relationship Id="rId1157" Type="http://schemas.openxmlformats.org/officeDocument/2006/relationships/hyperlink" Target="http://roarmap.eprints.org/247/" TargetMode="External"/><Relationship Id="rId1158" Type="http://schemas.openxmlformats.org/officeDocument/2006/relationships/hyperlink" Target="http://www.wageningenur.nl/en.htm" TargetMode="External"/><Relationship Id="rId1159" Type="http://schemas.openxmlformats.org/officeDocument/2006/relationships/hyperlink" Target="http://www.wageningenur.nl/en/Expertise-Services/Facilities/Library/Expertise/Write-cite/Open-Access/policy.htm" TargetMode="External"/><Relationship Id="rId690" Type="http://schemas.openxmlformats.org/officeDocument/2006/relationships/hyperlink" Target="http://www.sub.uni-goettingen.de/fileadmin/media/texte/informationsversorgung_z/epu/oa-policy_goettingen-edu_de_110211.pdf" TargetMode="External"/><Relationship Id="rId691" Type="http://schemas.openxmlformats.org/officeDocument/2006/relationships/hyperlink" Target="http://roarmap.eprints.org/157/" TargetMode="External"/><Relationship Id="rId692" Type="http://schemas.openxmlformats.org/officeDocument/2006/relationships/hyperlink" Target="http://www.tib-hannover.de/en/" TargetMode="External"/><Relationship Id="rId693" Type="http://schemas.openxmlformats.org/officeDocument/2006/relationships/hyperlink" Target="http://www.tib-hannover.de/fileadmin/dokumentlieferung/openaccess/TIB-OA-Policy-EN.pdf" TargetMode="External"/><Relationship Id="rId694" Type="http://schemas.openxmlformats.org/officeDocument/2006/relationships/hyperlink" Target="http://www.leibnizopen.de/en/home/" TargetMode="External"/><Relationship Id="rId695" Type="http://schemas.openxmlformats.org/officeDocument/2006/relationships/hyperlink" Target="http://roarmap.eprints.org/158/" TargetMode="External"/><Relationship Id="rId696" Type="http://schemas.openxmlformats.org/officeDocument/2006/relationships/hyperlink" Target="http://www.helmholtz.de/en/home/" TargetMode="External"/><Relationship Id="rId697" Type="http://schemas.openxmlformats.org/officeDocument/2006/relationships/hyperlink" Target="http://www.helmholtz.de/fileadmin/user_upload/01_forschung/2013-10-14_oa-policy-ivf_e.pdf" TargetMode="External"/><Relationship Id="rId698" Type="http://schemas.openxmlformats.org/officeDocument/2006/relationships/hyperlink" Target="http://oa.helmholtz.de/open-science-in-der-helmholtz-gemeinschaft/open-access-der-gruene-weg.html" TargetMode="External"/><Relationship Id="rId699" Type="http://schemas.openxmlformats.org/officeDocument/2006/relationships/hyperlink" Target="http://oa.helmholtz.de/open-science-in-der-helmholtz-gemeinschaft/open-access-der-goldene-weg.html" TargetMode="External"/><Relationship Id="rId1544" Type="http://schemas.openxmlformats.org/officeDocument/2006/relationships/hyperlink" Target="http://www.formas.se/en/" TargetMode="External"/><Relationship Id="rId1545" Type="http://schemas.openxmlformats.org/officeDocument/2006/relationships/hyperlink" Target="http://www.formas.se/Global/Handbook%20english/140306_Formas_Handbook_2014.pdf" TargetMode="External"/><Relationship Id="rId1546" Type="http://schemas.openxmlformats.org/officeDocument/2006/relationships/hyperlink" Target="http://www.formas.se/en/" TargetMode="External"/><Relationship Id="rId1547" Type="http://schemas.openxmlformats.org/officeDocument/2006/relationships/hyperlink" Target="http://roarmap.eprints.org/320/" TargetMode="External"/><Relationship Id="rId1548" Type="http://schemas.openxmlformats.org/officeDocument/2006/relationships/hyperlink" Target="http://www.vr.se/" TargetMode="External"/><Relationship Id="rId1549" Type="http://schemas.openxmlformats.org/officeDocument/2006/relationships/hyperlink" Target="http://bit.ly/cbc8r6" TargetMode="External"/><Relationship Id="rId1934" Type="http://schemas.openxmlformats.org/officeDocument/2006/relationships/hyperlink" Target="http://europepmc.org/" TargetMode="External"/><Relationship Id="rId1935" Type="http://schemas.openxmlformats.org/officeDocument/2006/relationships/hyperlink" Target="http://roarmap.eprints.org/694/" TargetMode="External"/><Relationship Id="rId1936" Type="http://schemas.openxmlformats.org/officeDocument/2006/relationships/hyperlink" Target="http://www.ucl.ac.uk/" TargetMode="External"/><Relationship Id="rId1937" Type="http://schemas.openxmlformats.org/officeDocument/2006/relationships/hyperlink" Target="http://www.ucl.ac.uk/library/open-access/publications-policy" TargetMode="External"/><Relationship Id="rId1938" Type="http://schemas.openxmlformats.org/officeDocument/2006/relationships/hyperlink" Target="http://discovery.ucl.ac.uk/" TargetMode="External"/><Relationship Id="rId1939" Type="http://schemas.openxmlformats.org/officeDocument/2006/relationships/hyperlink" Target="http://www.ucl.ac.uk/library/open-access/funding" TargetMode="External"/><Relationship Id="rId2230" Type="http://schemas.openxmlformats.org/officeDocument/2006/relationships/hyperlink" Target="http://www.law.harvard.edu/" TargetMode="External"/><Relationship Id="rId2231" Type="http://schemas.openxmlformats.org/officeDocument/2006/relationships/hyperlink" Target="https://osc.hul.harvard.edu/hlspolicy" TargetMode="External"/><Relationship Id="rId2232" Type="http://schemas.openxmlformats.org/officeDocument/2006/relationships/hyperlink" Target="http://dash.harvard.edu/" TargetMode="External"/><Relationship Id="rId2233" Type="http://schemas.openxmlformats.org/officeDocument/2006/relationships/hyperlink" Target="https://osc.hul.harvard.edu/hope" TargetMode="External"/><Relationship Id="rId2234" Type="http://schemas.openxmlformats.org/officeDocument/2006/relationships/hyperlink" Target="http://roarmap.eprints.org/474/" TargetMode="External"/><Relationship Id="rId2235" Type="http://schemas.openxmlformats.org/officeDocument/2006/relationships/hyperlink" Target="http://www.hsph.harvard.edu/" TargetMode="External"/><Relationship Id="rId2236" Type="http://schemas.openxmlformats.org/officeDocument/2006/relationships/hyperlink" Target="https://osc.hul.harvard.edu/hsphpolicy" TargetMode="External"/><Relationship Id="rId2237" Type="http://schemas.openxmlformats.org/officeDocument/2006/relationships/hyperlink" Target="http://dash.harvard.edu/" TargetMode="External"/><Relationship Id="rId2238" Type="http://schemas.openxmlformats.org/officeDocument/2006/relationships/hyperlink" Target="https://osc.hul.harvard.edu/hope" TargetMode="External"/><Relationship Id="rId2239" Type="http://schemas.openxmlformats.org/officeDocument/2006/relationships/hyperlink" Target="http://roarmap.eprints.org/477/" TargetMode="External"/><Relationship Id="rId80" Type="http://schemas.openxmlformats.org/officeDocument/2006/relationships/hyperlink" Target="http://www.nhmrc.gov.au/" TargetMode="External"/><Relationship Id="rId81" Type="http://schemas.openxmlformats.org/officeDocument/2006/relationships/hyperlink" Target="http://roarmap.eprints.org/578/" TargetMode="External"/><Relationship Id="rId82" Type="http://schemas.openxmlformats.org/officeDocument/2006/relationships/hyperlink" Target="http://www.nmit.edu.au/" TargetMode="External"/><Relationship Id="rId83" Type="http://schemas.openxmlformats.org/officeDocument/2006/relationships/hyperlink" Target="http://roarmap.eprints.org/579/" TargetMode="External"/><Relationship Id="rId84" Type="http://schemas.openxmlformats.org/officeDocument/2006/relationships/hyperlink" Target="http://www.qut.edu.au/" TargetMode="External"/><Relationship Id="rId85" Type="http://schemas.openxmlformats.org/officeDocument/2006/relationships/hyperlink" Target="http://www.mopp.qut.edu.au/F/F_01_03.jsp" TargetMode="External"/><Relationship Id="rId86" Type="http://schemas.openxmlformats.org/officeDocument/2006/relationships/hyperlink" Target="http://eprints.qut.edu.au/" TargetMode="External"/><Relationship Id="rId87" Type="http://schemas.openxmlformats.org/officeDocument/2006/relationships/hyperlink" Target="http://roarmap.eprints.org/580/" TargetMode="External"/><Relationship Id="rId88" Type="http://schemas.openxmlformats.org/officeDocument/2006/relationships/hyperlink" Target="http://www.rmit.edu.au/" TargetMode="External"/><Relationship Id="rId89" Type="http://schemas.openxmlformats.org/officeDocument/2006/relationships/hyperlink" Target="http://rmit.com.au/browse/Staff%2FAdministration%2FPolicies%20and%20procedures%2FAcademic%20and%20research%2FHigher%20degrees%20by%20research%2FThesis%20policy%20(Higher%20degrees%20by%20research)/" TargetMode="External"/><Relationship Id="rId1940" Type="http://schemas.openxmlformats.org/officeDocument/2006/relationships/hyperlink" Target="http://roarmap.eprints.org/384/" TargetMode="External"/><Relationship Id="rId1941" Type="http://schemas.openxmlformats.org/officeDocument/2006/relationships/hyperlink" Target="http://www.abdn.ac.uk" TargetMode="External"/><Relationship Id="rId1942" Type="http://schemas.openxmlformats.org/officeDocument/2006/relationships/hyperlink" Target="http://www.abdn.ac.uk/library/documents/Open_Access_Documents/Open_Access_Policy_Final_20130319.pdf" TargetMode="External"/><Relationship Id="rId1943" Type="http://schemas.openxmlformats.org/officeDocument/2006/relationships/hyperlink" Target="http://www.abdn.ac.uk/library/research-support/research-outputs/aura/" TargetMode="External"/><Relationship Id="rId1550" Type="http://schemas.openxmlformats.org/officeDocument/2006/relationships/hyperlink" Target="http://roarmap.eprints.org/321/" TargetMode="External"/><Relationship Id="rId1551" Type="http://schemas.openxmlformats.org/officeDocument/2006/relationships/hyperlink" Target="http://www.umu.se/" TargetMode="External"/><Relationship Id="rId1552" Type="http://schemas.openxmlformats.org/officeDocument/2006/relationships/hyperlink" Target="http://www.ub.umu.se/en/about/news/open-access-policy-umea-university" TargetMode="External"/><Relationship Id="rId1553" Type="http://schemas.openxmlformats.org/officeDocument/2006/relationships/hyperlink" Target="http://umu.diva-portal.org/smash/search.jsf" TargetMode="External"/><Relationship Id="rId1160" Type="http://schemas.openxmlformats.org/officeDocument/2006/relationships/hyperlink" Target="http://www.wageningenur.nl/en/Expertise-Services/Facilities/Library/Expertise/Find-discover/Wageningen-Yield.htm" TargetMode="External"/><Relationship Id="rId1161" Type="http://schemas.openxmlformats.org/officeDocument/2006/relationships/hyperlink" Target="http://roarmap.eprints.org/596/" TargetMode="External"/><Relationship Id="rId1162" Type="http://schemas.openxmlformats.org/officeDocument/2006/relationships/hyperlink" Target="http://www.lincoln.ac.nz/" TargetMode="External"/><Relationship Id="rId1163" Type="http://schemas.openxmlformats.org/officeDocument/2006/relationships/hyperlink" Target="http://library.lincoln.ac.nz/Global/Library/OpenAccessPolicy.pdf" TargetMode="External"/><Relationship Id="rId1164" Type="http://schemas.openxmlformats.org/officeDocument/2006/relationships/hyperlink" Target="http://researcharchive.lincoln.ac.nz/" TargetMode="External"/><Relationship Id="rId1165" Type="http://schemas.openxmlformats.org/officeDocument/2006/relationships/hyperlink" Target="http://roarmap.eprints.org/597/" TargetMode="External"/><Relationship Id="rId1166" Type="http://schemas.openxmlformats.org/officeDocument/2006/relationships/hyperlink" Target="https://www.auckland.ac.nz/en.html" TargetMode="External"/><Relationship Id="rId1167" Type="http://schemas.openxmlformats.org/officeDocument/2006/relationships/hyperlink" Target="http://www.calendar.auckland.ac.nz/regulations/doctoral/PhD.html" TargetMode="External"/><Relationship Id="rId1168" Type="http://schemas.openxmlformats.org/officeDocument/2006/relationships/hyperlink" Target="https://researchspace.auckland.ac.nz/" TargetMode="External"/><Relationship Id="rId1169" Type="http://schemas.openxmlformats.org/officeDocument/2006/relationships/hyperlink" Target="http://roarmap.eprints.org/598/" TargetMode="External"/><Relationship Id="rId1554" Type="http://schemas.openxmlformats.org/officeDocument/2006/relationships/hyperlink" Target="http://roarmap.eprints.org/322/" TargetMode="External"/><Relationship Id="rId1555" Type="http://schemas.openxmlformats.org/officeDocument/2006/relationships/hyperlink" Target="http://www.hb.se/en/" TargetMode="External"/><Relationship Id="rId1556" Type="http://schemas.openxmlformats.org/officeDocument/2006/relationships/hyperlink" Target="http://www.hb.se/en/Library/Research-support/Publish/Rectors-resolution-on-publishing/" TargetMode="External"/><Relationship Id="rId1557" Type="http://schemas.openxmlformats.org/officeDocument/2006/relationships/hyperlink" Target="http://bada.hb.se/" TargetMode="External"/><Relationship Id="rId1558" Type="http://schemas.openxmlformats.org/officeDocument/2006/relationships/hyperlink" Target="http://roarmap.eprints.org/633/" TargetMode="External"/><Relationship Id="rId1559" Type="http://schemas.openxmlformats.org/officeDocument/2006/relationships/hyperlink" Target="http://home.web.cern.ch/" TargetMode="External"/><Relationship Id="rId1944" Type="http://schemas.openxmlformats.org/officeDocument/2006/relationships/hyperlink" Target="http://roarmap.eprints.org/385/" TargetMode="External"/><Relationship Id="rId1945" Type="http://schemas.openxmlformats.org/officeDocument/2006/relationships/hyperlink" Target="http://www.abertay.ac.uk/" TargetMode="External"/><Relationship Id="rId1946" Type="http://schemas.openxmlformats.org/officeDocument/2006/relationships/hyperlink" Target="http://www.abertay.ac.uk/media/Self-Archiving-and-Research-Repository-PolicyV1-1.pdf" TargetMode="External"/><Relationship Id="rId1947" Type="http://schemas.openxmlformats.org/officeDocument/2006/relationships/hyperlink" Target="https://repository.abertay.ac.uk/jspui/" TargetMode="External"/><Relationship Id="rId1948" Type="http://schemas.openxmlformats.org/officeDocument/2006/relationships/hyperlink" Target="http://roarmap.eprints.org/386/" TargetMode="External"/><Relationship Id="rId1949" Type="http://schemas.openxmlformats.org/officeDocument/2006/relationships/hyperlink" Target="http://www.bath.ac.uk/" TargetMode="External"/><Relationship Id="rId2240" Type="http://schemas.openxmlformats.org/officeDocument/2006/relationships/hyperlink" Target="http://www.fas.harvard.edu/" TargetMode="External"/><Relationship Id="rId2241" Type="http://schemas.openxmlformats.org/officeDocument/2006/relationships/hyperlink" Target="https://osc.hul.harvard.edu/hfaspolicy" TargetMode="External"/><Relationship Id="rId2242" Type="http://schemas.openxmlformats.org/officeDocument/2006/relationships/hyperlink" Target="http://dash.harvard.edu/" TargetMode="External"/><Relationship Id="rId2243" Type="http://schemas.openxmlformats.org/officeDocument/2006/relationships/hyperlink" Target="https://osc.hul.harvard.edu/hope" TargetMode="External"/><Relationship Id="rId2244" Type="http://schemas.openxmlformats.org/officeDocument/2006/relationships/hyperlink" Target="http://roarmap.eprints.org/475/" TargetMode="External"/><Relationship Id="rId2245" Type="http://schemas.openxmlformats.org/officeDocument/2006/relationships/hyperlink" Target="http://www.gsd.harvard.edu/" TargetMode="External"/><Relationship Id="rId2246" Type="http://schemas.openxmlformats.org/officeDocument/2006/relationships/hyperlink" Target="https://osc.hul.harvard.edu/hgsdpolicy" TargetMode="External"/><Relationship Id="rId2247" Type="http://schemas.openxmlformats.org/officeDocument/2006/relationships/hyperlink" Target="http://dash.harvard.edu/" TargetMode="External"/><Relationship Id="rId2248" Type="http://schemas.openxmlformats.org/officeDocument/2006/relationships/hyperlink" Target="https://osc.hul.harvard.edu/hope" TargetMode="External"/><Relationship Id="rId2249" Type="http://schemas.openxmlformats.org/officeDocument/2006/relationships/hyperlink" Target="http://roarmap.eprints.org/476/" TargetMode="External"/><Relationship Id="rId300" Type="http://schemas.openxmlformats.org/officeDocument/2006/relationships/hyperlink" Target="http://www.producao.usp.br/page/politicaAcessoEnUS" TargetMode="External"/><Relationship Id="rId301" Type="http://schemas.openxmlformats.org/officeDocument/2006/relationships/hyperlink" Target="http://www.producao.usp.br" TargetMode="External"/><Relationship Id="rId302" Type="http://schemas.openxmlformats.org/officeDocument/2006/relationships/hyperlink" Target="http://roarmap.eprints.org/81/" TargetMode="External"/><Relationship Id="rId303" Type="http://schemas.openxmlformats.org/officeDocument/2006/relationships/hyperlink" Target="http://www.bntu.by/sclibrary.html" TargetMode="External"/><Relationship Id="rId304" Type="http://schemas.openxmlformats.org/officeDocument/2006/relationships/hyperlink" Target="http://rep.bntu.by/" TargetMode="External"/><Relationship Id="rId305" Type="http://schemas.openxmlformats.org/officeDocument/2006/relationships/hyperlink" Target="http://roarmap.eprints.org/82/" TargetMode="External"/><Relationship Id="rId306" Type="http://schemas.openxmlformats.org/officeDocument/2006/relationships/hyperlink" Target="http://www.bsu.by/" TargetMode="External"/><Relationship Id="rId307" Type="http://schemas.openxmlformats.org/officeDocument/2006/relationships/hyperlink" Target="http://roarmap.eprints.org/1001/1/%D0%9F%D0%BE%D0%BB%D0%BE%D0%B6%D0%B5%D0%BD%D0%B8%D0%B5%20%D0%BE%D0%B1%20%D0%AD%D0%91%20%D0%91%D0%93%D0%A3.pdf" TargetMode="External"/><Relationship Id="rId308" Type="http://schemas.openxmlformats.org/officeDocument/2006/relationships/hyperlink" Target="http://elib.bsu.by/" TargetMode="External"/><Relationship Id="rId309" Type="http://schemas.openxmlformats.org/officeDocument/2006/relationships/hyperlink" Target="http://roarmap.eprints.org/414/" TargetMode="External"/><Relationship Id="rId90" Type="http://schemas.openxmlformats.org/officeDocument/2006/relationships/hyperlink" Target="http://researchbank.rmit.edu.au/" TargetMode="External"/><Relationship Id="rId91" Type="http://schemas.openxmlformats.org/officeDocument/2006/relationships/hyperlink" Target="http://roarmap.eprints.org/581/" TargetMode="External"/><Relationship Id="rId92" Type="http://schemas.openxmlformats.org/officeDocument/2006/relationships/hyperlink" Target="http://www.swinburne.edu.au/" TargetMode="External"/><Relationship Id="rId93" Type="http://schemas.openxmlformats.org/officeDocument/2006/relationships/hyperlink" Target="http://www.research.swinburne.edu.au/research-students/documents/format_of_examinable_outcome.pdf" TargetMode="External"/><Relationship Id="rId94" Type="http://schemas.openxmlformats.org/officeDocument/2006/relationships/hyperlink" Target="http://researchbank.swinburne.edu.au/vital/access/manager/Index" TargetMode="External"/><Relationship Id="rId95" Type="http://schemas.openxmlformats.org/officeDocument/2006/relationships/hyperlink" Target="http://roarmap.eprints.org/582/" TargetMode="External"/><Relationship Id="rId96" Type="http://schemas.openxmlformats.org/officeDocument/2006/relationships/hyperlink" Target="http://www.adelaide.edu.au/library/" TargetMode="External"/><Relationship Id="rId97" Type="http://schemas.openxmlformats.org/officeDocument/2006/relationships/hyperlink" Target="http://www.adelaide.edu.au/graduatecentre/handbook/09-examination/09-final-form-of-thesis/" TargetMode="External"/><Relationship Id="rId98" Type="http://schemas.openxmlformats.org/officeDocument/2006/relationships/hyperlink" Target="http://digital.library.adelaide.edu.au/dspace/" TargetMode="External"/><Relationship Id="rId99" Type="http://schemas.openxmlformats.org/officeDocument/2006/relationships/hyperlink" Target="http://roarmap.eprints.org/585/" TargetMode="External"/><Relationship Id="rId1950" Type="http://schemas.openxmlformats.org/officeDocument/2006/relationships/hyperlink" Target="http://roarmap.eprints.org/466/1/University_of_Bath_Open_Access_Publications_Policy_Why_do_this_v2.1.doc" TargetMode="External"/><Relationship Id="rId1951" Type="http://schemas.openxmlformats.org/officeDocument/2006/relationships/hyperlink" Target="http://opus.bath.ac.uk/" TargetMode="External"/><Relationship Id="rId1952" Type="http://schemas.openxmlformats.org/officeDocument/2006/relationships/hyperlink" Target="http://roarmap.eprints.org/387/" TargetMode="External"/><Relationship Id="rId1953" Type="http://schemas.openxmlformats.org/officeDocument/2006/relationships/hyperlink" Target="http://www.birmingham.ac.uk/index.aspx" TargetMode="External"/><Relationship Id="rId1560" Type="http://schemas.openxmlformats.org/officeDocument/2006/relationships/hyperlink" Target="http://cdsweb.cern.ch/search.py?sc=1&amp;ln=en&amp;p=cern-open-2005-006&amp;f=reportnumber" TargetMode="External"/><Relationship Id="rId1561" Type="http://schemas.openxmlformats.org/officeDocument/2006/relationships/hyperlink" Target="http://cds.cern.ch/" TargetMode="External"/><Relationship Id="rId1562" Type="http://schemas.openxmlformats.org/officeDocument/2006/relationships/hyperlink" Target="http://roarmap.eprints.org/323/" TargetMode="External"/><Relationship Id="rId1563" Type="http://schemas.openxmlformats.org/officeDocument/2006/relationships/hyperlink" Target="https://www.ethz.ch/de.html" TargetMode="External"/><Relationship Id="rId1170" Type="http://schemas.openxmlformats.org/officeDocument/2006/relationships/hyperlink" Target="http://www.canterbury.ac.nz/" TargetMode="External"/><Relationship Id="rId1171" Type="http://schemas.openxmlformats.org/officeDocument/2006/relationships/hyperlink" Target="http://www.canterbury.ac.nz/ucpolicy/GetPolicy.aspx?file=Thesis-Availability-Policy.pdf" TargetMode="External"/><Relationship Id="rId1172" Type="http://schemas.openxmlformats.org/officeDocument/2006/relationships/hyperlink" Target="http://ir.canterbury.ac.nz/" TargetMode="External"/><Relationship Id="rId1173" Type="http://schemas.openxmlformats.org/officeDocument/2006/relationships/hyperlink" Target="http://roarmap.eprints.org/599/" TargetMode="External"/><Relationship Id="rId1174" Type="http://schemas.openxmlformats.org/officeDocument/2006/relationships/hyperlink" Target="http://www.otago.ac.nz/" TargetMode="External"/><Relationship Id="rId1175" Type="http://schemas.openxmlformats.org/officeDocument/2006/relationships/hyperlink" Target="http://www.otago.ac.nz/administration/policies/otago014455.html" TargetMode="External"/><Relationship Id="rId1176" Type="http://schemas.openxmlformats.org/officeDocument/2006/relationships/hyperlink" Target="http://otago.ourarchive.ac.nz/" TargetMode="External"/><Relationship Id="rId1177" Type="http://schemas.openxmlformats.org/officeDocument/2006/relationships/hyperlink" Target="http://roarmap.eprints.org/600/" TargetMode="External"/><Relationship Id="rId1178" Type="http://schemas.openxmlformats.org/officeDocument/2006/relationships/hyperlink" Target="http://www.waikato.ac.nz/" TargetMode="External"/><Relationship Id="rId1179" Type="http://schemas.openxmlformats.org/officeDocument/2006/relationships/hyperlink" Target="http://www.waikato.ac.nz/__data/assets/pdf_file/0007/186586/open-access-guidlines.pdf" TargetMode="External"/><Relationship Id="rId1564" Type="http://schemas.openxmlformats.org/officeDocument/2006/relationships/hyperlink" Target="http://www.open-access.ethz.ch/oazurich/policy_EN" TargetMode="External"/><Relationship Id="rId1565" Type="http://schemas.openxmlformats.org/officeDocument/2006/relationships/hyperlink" Target="http://e-collection.library.ethz.ch/" TargetMode="External"/><Relationship Id="rId1566" Type="http://schemas.openxmlformats.org/officeDocument/2006/relationships/hyperlink" Target="http://roarmap.eprints.org/324/" TargetMode="External"/><Relationship Id="rId1567" Type="http://schemas.openxmlformats.org/officeDocument/2006/relationships/hyperlink" Target="http://www.snf.ch/en/Pages/default.aspx" TargetMode="External"/><Relationship Id="rId1568" Type="http://schemas.openxmlformats.org/officeDocument/2006/relationships/hyperlink" Target="http://www.snf.ch/SiteCollectionDocuments/Dossiers/dos_OA_regelung_auf_einen_blick_e.pdf" TargetMode="External"/><Relationship Id="rId1569" Type="http://schemas.openxmlformats.org/officeDocument/2006/relationships/hyperlink" Target="http://www.snf.ch/en/Search/Pages/default.aspx?k=repository" TargetMode="External"/><Relationship Id="rId1954" Type="http://schemas.openxmlformats.org/officeDocument/2006/relationships/hyperlink" Target="http://etheses.bham.ac.uk/deposit.html" TargetMode="External"/><Relationship Id="rId1955" Type="http://schemas.openxmlformats.org/officeDocument/2006/relationships/hyperlink" Target="http://www.ubira.bham.ac.uk" TargetMode="External"/><Relationship Id="rId1956" Type="http://schemas.openxmlformats.org/officeDocument/2006/relationships/hyperlink" Target="http://intranet.birmingham.ac.uk/openaccess/publishing" TargetMode="External"/><Relationship Id="rId1957" Type="http://schemas.openxmlformats.org/officeDocument/2006/relationships/hyperlink" Target="http://roarmap.eprints.org/388/" TargetMode="External"/><Relationship Id="rId1958" Type="http://schemas.openxmlformats.org/officeDocument/2006/relationships/hyperlink" Target="http://www.bradford.ac.uk/external/" TargetMode="External"/><Relationship Id="rId1959" Type="http://schemas.openxmlformats.org/officeDocument/2006/relationships/hyperlink" Target="http://www.bradford.ac.uk/library/media/library/documents/bs_policies_document.docx" TargetMode="External"/><Relationship Id="rId2250" Type="http://schemas.openxmlformats.org/officeDocument/2006/relationships/hyperlink" Target="http://www.gse.harvard.edu/" TargetMode="External"/><Relationship Id="rId2251" Type="http://schemas.openxmlformats.org/officeDocument/2006/relationships/hyperlink" Target="https://osc.hul.harvard.edu/hgsepolicy" TargetMode="External"/><Relationship Id="rId2252" Type="http://schemas.openxmlformats.org/officeDocument/2006/relationships/hyperlink" Target="http://dash.harvard.edu/" TargetMode="External"/><Relationship Id="rId2253" Type="http://schemas.openxmlformats.org/officeDocument/2006/relationships/hyperlink" Target="https://osc.hul.harvard.edu/hope" TargetMode="External"/><Relationship Id="rId2254" Type="http://schemas.openxmlformats.org/officeDocument/2006/relationships/hyperlink" Target="http://roarmap.eprints.org/478/" TargetMode="External"/><Relationship Id="rId2255" Type="http://schemas.openxmlformats.org/officeDocument/2006/relationships/hyperlink" Target="http://www.hks.harvard.edu/" TargetMode="External"/><Relationship Id="rId2256" Type="http://schemas.openxmlformats.org/officeDocument/2006/relationships/hyperlink" Target="https://osc.hul.harvard.edu/hksgpolicy" TargetMode="External"/><Relationship Id="rId2257" Type="http://schemas.openxmlformats.org/officeDocument/2006/relationships/hyperlink" Target="http://dash.harvard.edu/" TargetMode="External"/><Relationship Id="rId2258" Type="http://schemas.openxmlformats.org/officeDocument/2006/relationships/hyperlink" Target="https://osc.hul.harvard.edu/hope" TargetMode="External"/><Relationship Id="rId2259" Type="http://schemas.openxmlformats.org/officeDocument/2006/relationships/hyperlink" Target="http://roarmap.eprints.org/479/" TargetMode="External"/><Relationship Id="rId700" Type="http://schemas.openxmlformats.org/officeDocument/2006/relationships/hyperlink" Target="http://roarmap.eprints.org/159/" TargetMode="External"/><Relationship Id="rId701" Type="http://schemas.openxmlformats.org/officeDocument/2006/relationships/hyperlink" Target="http://www.hu-berlin.de/" TargetMode="External"/><Relationship Id="rId702" Type="http://schemas.openxmlformats.org/officeDocument/2006/relationships/hyperlink" Target="http://edoc.hu-berlin.de/e_info_en/oa-declaration.php" TargetMode="External"/><Relationship Id="rId703" Type="http://schemas.openxmlformats.org/officeDocument/2006/relationships/hyperlink" Target="http://edoc.hu-berlin.de/" TargetMode="External"/><Relationship Id="rId310" Type="http://schemas.openxmlformats.org/officeDocument/2006/relationships/hyperlink" Target="http://www.athabascau.ca/" TargetMode="External"/><Relationship Id="rId311" Type="http://schemas.openxmlformats.org/officeDocument/2006/relationships/hyperlink" Target="http://auspace.athabascau.ca/" TargetMode="External"/><Relationship Id="rId312" Type="http://schemas.openxmlformats.org/officeDocument/2006/relationships/hyperlink" Target="http://roarmap.eprints.org/415/" TargetMode="External"/><Relationship Id="rId313" Type="http://schemas.openxmlformats.org/officeDocument/2006/relationships/hyperlink" Target="http://www.brocku.ca/" TargetMode="External"/><Relationship Id="rId314" Type="http://schemas.openxmlformats.org/officeDocument/2006/relationships/hyperlink" Target="http://brocku.ca/graduate-studies/current-students/thesis/e-thesis-submission" TargetMode="External"/><Relationship Id="rId315" Type="http://schemas.openxmlformats.org/officeDocument/2006/relationships/hyperlink" Target="https://dr.library.brocku.ca/" TargetMode="External"/><Relationship Id="rId316" Type="http://schemas.openxmlformats.org/officeDocument/2006/relationships/hyperlink" Target="http://www.brocku.ca/library/about-us-lib/openaccess/open-access-publishing-fund" TargetMode="External"/><Relationship Id="rId317" Type="http://schemas.openxmlformats.org/officeDocument/2006/relationships/hyperlink" Target="http://roarmap.eprints.org/417/" TargetMode="External"/><Relationship Id="rId318" Type="http://schemas.openxmlformats.org/officeDocument/2006/relationships/hyperlink" Target="http://www.cancer.ca/" TargetMode="External"/><Relationship Id="rId319" Type="http://schemas.openxmlformats.org/officeDocument/2006/relationships/hyperlink" Target="http://www.cancer.ca/en/research/policies-and-administration/policies/open-access-policy/" TargetMode="External"/><Relationship Id="rId704" Type="http://schemas.openxmlformats.org/officeDocument/2006/relationships/hyperlink" Target="http://roarmap.eprints.org/160/" TargetMode="External"/><Relationship Id="rId705" Type="http://schemas.openxmlformats.org/officeDocument/2006/relationships/hyperlink" Target="http://www.isn-oldenburg.de/en/" TargetMode="External"/><Relationship Id="rId706" Type="http://schemas.openxmlformats.org/officeDocument/2006/relationships/hyperlink" Target="http://www.isn-oldenburg.de/uploads/publications/2013/oa-doc-and-content.pdf" TargetMode="External"/><Relationship Id="rId707" Type="http://schemas.openxmlformats.org/officeDocument/2006/relationships/hyperlink" Target="http://roarmap.eprints.org/161/" TargetMode="External"/><Relationship Id="rId708" Type="http://schemas.openxmlformats.org/officeDocument/2006/relationships/hyperlink" Target="http://www.uni-giessen.de/" TargetMode="External"/><Relationship Id="rId709" Type="http://schemas.openxmlformats.org/officeDocument/2006/relationships/hyperlink" Target="http://roarmap.eprints.org/162/" TargetMode="External"/><Relationship Id="rId1960" Type="http://schemas.openxmlformats.org/officeDocument/2006/relationships/hyperlink" Target="http://bradscholars.brad.ac.uk" TargetMode="External"/><Relationship Id="rId1961" Type="http://schemas.openxmlformats.org/officeDocument/2006/relationships/hyperlink" Target="http://roarmap.eprints.org/695/" TargetMode="External"/><Relationship Id="rId1962" Type="http://schemas.openxmlformats.org/officeDocument/2006/relationships/hyperlink" Target="http://www.bris.ac.uk/" TargetMode="External"/><Relationship Id="rId1963" Type="http://schemas.openxmlformats.org/officeDocument/2006/relationships/hyperlink" Target="http://www.bristol.ac.uk/library/support/research/policy.pdf" TargetMode="External"/><Relationship Id="rId1570" Type="http://schemas.openxmlformats.org/officeDocument/2006/relationships/hyperlink" Target="http://roarmap.eprints.org/325/" TargetMode="External"/><Relationship Id="rId1571" Type="http://schemas.openxmlformats.org/officeDocument/2006/relationships/hyperlink" Target="http://www.unibas.ch/" TargetMode="External"/><Relationship Id="rId1572" Type="http://schemas.openxmlformats.org/officeDocument/2006/relationships/hyperlink" Target="http://www.ub.unibas.ch/en/ub-hauptbibliothek/dienstleistungen/publizieren/open-access/open-access-policy/" TargetMode="External"/><Relationship Id="rId1573" Type="http://schemas.openxmlformats.org/officeDocument/2006/relationships/hyperlink" Target="http://edoc.unibas.ch/" TargetMode="External"/><Relationship Id="rId1180" Type="http://schemas.openxmlformats.org/officeDocument/2006/relationships/hyperlink" Target="http://researchcommons.waikato.ac.nz/" TargetMode="External"/><Relationship Id="rId1181" Type="http://schemas.openxmlformats.org/officeDocument/2006/relationships/hyperlink" Target="http://roarmap.eprints.org/601/" TargetMode="External"/><Relationship Id="rId1182" Type="http://schemas.openxmlformats.org/officeDocument/2006/relationships/hyperlink" Target="http://www.victoria.ac.nz/home/" TargetMode="External"/><Relationship Id="rId1183" Type="http://schemas.openxmlformats.org/officeDocument/2006/relationships/hyperlink" Target="http://www.victoria.ac.nz/documents/policy/library-and-information-systems/library-statute.pdf" TargetMode="External"/><Relationship Id="rId1184" Type="http://schemas.openxmlformats.org/officeDocument/2006/relationships/hyperlink" Target="http://researcharchive.vuw.ac.nz/" TargetMode="External"/><Relationship Id="rId1185" Type="http://schemas.openxmlformats.org/officeDocument/2006/relationships/hyperlink" Target="http://roarmap.eprints.org/6/" TargetMode="External"/><Relationship Id="rId1186" Type="http://schemas.openxmlformats.org/officeDocument/2006/relationships/hyperlink" Target="http://covenantuniversity.edu.ng/" TargetMode="External"/><Relationship Id="rId1187" Type="http://schemas.openxmlformats.org/officeDocument/2006/relationships/hyperlink" Target="http://eprints.covenantuniversity.edu.ng/policies.html" TargetMode="External"/><Relationship Id="rId1188" Type="http://schemas.openxmlformats.org/officeDocument/2006/relationships/hyperlink" Target="http://eprints.covenantuniversity.edu.ng/" TargetMode="External"/><Relationship Id="rId1189" Type="http://schemas.openxmlformats.org/officeDocument/2006/relationships/hyperlink" Target="http://roarmap.eprints.org/248/" TargetMode="External"/><Relationship Id="rId1574" Type="http://schemas.openxmlformats.org/officeDocument/2006/relationships/hyperlink" Target="http://roarmap.eprints.org/326/" TargetMode="External"/><Relationship Id="rId1575" Type="http://schemas.openxmlformats.org/officeDocument/2006/relationships/hyperlink" Target="http://www.unibe.ch/" TargetMode="External"/><Relationship Id="rId1576" Type="http://schemas.openxmlformats.org/officeDocument/2006/relationships/hyperlink" Target="http://boris.unibe.ch/" TargetMode="External"/><Relationship Id="rId1577" Type="http://schemas.openxmlformats.org/officeDocument/2006/relationships/hyperlink" Target="http://roarmap.eprints.org/327/" TargetMode="External"/><Relationship Id="rId1578" Type="http://schemas.openxmlformats.org/officeDocument/2006/relationships/hyperlink" Target="http://www.unige.ch/" TargetMode="External"/><Relationship Id="rId1579" Type="http://schemas.openxmlformats.org/officeDocument/2006/relationships/hyperlink" Target="http://archive-ouverte.unige.ch/pages/copyright_open_access" TargetMode="External"/><Relationship Id="rId1964" Type="http://schemas.openxmlformats.org/officeDocument/2006/relationships/hyperlink" Target="http://research-information.bristol.ac.uk/" TargetMode="External"/><Relationship Id="rId1965" Type="http://schemas.openxmlformats.org/officeDocument/2006/relationships/hyperlink" Target="http://www.bristol.ac.uk/library/support/research/rcuk.html" TargetMode="External"/><Relationship Id="rId1966" Type="http://schemas.openxmlformats.org/officeDocument/2006/relationships/hyperlink" Target="http://roarmap.eprints.org/389/" TargetMode="External"/><Relationship Id="rId1967" Type="http://schemas.openxmlformats.org/officeDocument/2006/relationships/hyperlink" Target="http://www.cam.ac.uk/" TargetMode="External"/><Relationship Id="rId1968" Type="http://schemas.openxmlformats.org/officeDocument/2006/relationships/hyperlink" Target="https://www.openaccess.cam.ac.uk/changing" TargetMode="External"/><Relationship Id="rId1969" Type="http://schemas.openxmlformats.org/officeDocument/2006/relationships/hyperlink" Target="https://www.repository.cam.ac.uk/" TargetMode="External"/><Relationship Id="rId2260" Type="http://schemas.openxmlformats.org/officeDocument/2006/relationships/hyperlink" Target="http://hms.harvard.edu/" TargetMode="External"/><Relationship Id="rId2261" Type="http://schemas.openxmlformats.org/officeDocument/2006/relationships/hyperlink" Target="https://osc.hul.harvard.edu/hmspolicy" TargetMode="External"/><Relationship Id="rId2262" Type="http://schemas.openxmlformats.org/officeDocument/2006/relationships/hyperlink" Target="http://repository.countway.harvard.edu/" TargetMode="External"/><Relationship Id="rId2263" Type="http://schemas.openxmlformats.org/officeDocument/2006/relationships/hyperlink" Target="https://osc.hul.harvard.edu/hope" TargetMode="External"/><Relationship Id="rId2264" Type="http://schemas.openxmlformats.org/officeDocument/2006/relationships/hyperlink" Target="http://roarmap.eprints.org/652/" TargetMode="External"/><Relationship Id="rId2265" Type="http://schemas.openxmlformats.org/officeDocument/2006/relationships/hyperlink" Target="http://shorensteincenter.org/" TargetMode="External"/><Relationship Id="rId2266" Type="http://schemas.openxmlformats.org/officeDocument/2006/relationships/hyperlink" Target="https://osc.hul.harvard.edu/shorensteinpolicy" TargetMode="External"/><Relationship Id="rId2267" Type="http://schemas.openxmlformats.org/officeDocument/2006/relationships/hyperlink" Target="https://osc.hul.harvard.edu/dash/" TargetMode="External"/><Relationship Id="rId2268" Type="http://schemas.openxmlformats.org/officeDocument/2006/relationships/hyperlink" Target="https://osc.hul.harvard.edu/hope" TargetMode="External"/><Relationship Id="rId2269" Type="http://schemas.openxmlformats.org/officeDocument/2006/relationships/hyperlink" Target="http://roarmap.eprints.org/480/" TargetMode="External"/><Relationship Id="rId710" Type="http://schemas.openxmlformats.org/officeDocument/2006/relationships/hyperlink" Target="http://www.kit.edu/" TargetMode="External"/><Relationship Id="rId711" Type="http://schemas.openxmlformats.org/officeDocument/2006/relationships/hyperlink" Target="http://www.bibliothek.kit.edu/cms/english/open-access.php" TargetMode="External"/><Relationship Id="rId712" Type="http://schemas.openxmlformats.org/officeDocument/2006/relationships/hyperlink" Target="http://www.bibliothek.kit.edu/cms/english/kit-publications.php" TargetMode="External"/><Relationship Id="rId713" Type="http://schemas.openxmlformats.org/officeDocument/2006/relationships/hyperlink" Target="http://www.bibliothek.kit.edu/cms/english/kit-publication-fund.php" TargetMode="External"/><Relationship Id="rId320" Type="http://schemas.openxmlformats.org/officeDocument/2006/relationships/hyperlink" Target="http://opendepot.org/" TargetMode="External"/><Relationship Id="rId321" Type="http://schemas.openxmlformats.org/officeDocument/2006/relationships/hyperlink" Target="http://roarmap.eprints.org/418/" TargetMode="External"/><Relationship Id="rId322" Type="http://schemas.openxmlformats.org/officeDocument/2006/relationships/hyperlink" Target="http://www.cfhi-fcass.ca/" TargetMode="External"/><Relationship Id="rId323" Type="http://schemas.openxmlformats.org/officeDocument/2006/relationships/hyperlink" Target="http://www.cfhi-fcass.ca/Migrated/PDF/OpenAccesstoResearchOutputs.pdf" TargetMode="External"/><Relationship Id="rId324" Type="http://schemas.openxmlformats.org/officeDocument/2006/relationships/hyperlink" Target="http://opendepot.org/" TargetMode="External"/><Relationship Id="rId325" Type="http://schemas.openxmlformats.org/officeDocument/2006/relationships/hyperlink" Target="http://roarmap.eprints.org/419/" TargetMode="External"/><Relationship Id="rId326" Type="http://schemas.openxmlformats.org/officeDocument/2006/relationships/hyperlink" Target="http://www.cihr-irsc.gc.ca/" TargetMode="External"/><Relationship Id="rId327" Type="http://schemas.openxmlformats.org/officeDocument/2006/relationships/hyperlink" Target="http://www.cihr-irsc.gc.ca/e/46068.html" TargetMode="External"/><Relationship Id="rId328" Type="http://schemas.openxmlformats.org/officeDocument/2006/relationships/hyperlink" Target="http://opendepot.org/" TargetMode="External"/><Relationship Id="rId329" Type="http://schemas.openxmlformats.org/officeDocument/2006/relationships/hyperlink" Target="http://roarmap.eprints.org/420/" TargetMode="External"/><Relationship Id="rId714" Type="http://schemas.openxmlformats.org/officeDocument/2006/relationships/hyperlink" Target="http://roarmap.eprints.org/163/" TargetMode="External"/><Relationship Id="rId715" Type="http://schemas.openxmlformats.org/officeDocument/2006/relationships/hyperlink" Target="http://www.uni-kassel.de/" TargetMode="External"/><Relationship Id="rId716" Type="http://schemas.openxmlformats.org/officeDocument/2006/relationships/hyperlink" Target="http://www.uni-kassel.de/ub/publizieren/open-access/policy-der-universitaet-kassel.html" TargetMode="External"/><Relationship Id="rId717" Type="http://schemas.openxmlformats.org/officeDocument/2006/relationships/hyperlink" Target="https://kobra.bibliothek.uni-kassel.de/" TargetMode="External"/><Relationship Id="rId718" Type="http://schemas.openxmlformats.org/officeDocument/2006/relationships/hyperlink" Target="http://www.uni-kassel.de/ub/publizieren/open-access/publikationsfonds.html" TargetMode="External"/><Relationship Id="rId719" Type="http://schemas.openxmlformats.org/officeDocument/2006/relationships/hyperlink" Target="http://roarmap.eprints.org/164/" TargetMode="External"/><Relationship Id="rId1970" Type="http://schemas.openxmlformats.org/officeDocument/2006/relationships/hyperlink" Target="http://roarmap.eprints.org/390/" TargetMode="External"/><Relationship Id="rId1971" Type="http://schemas.openxmlformats.org/officeDocument/2006/relationships/hyperlink" Target="http://www.uclan.ac.uk/" TargetMode="External"/><Relationship Id="rId1972" Type="http://schemas.openxmlformats.org/officeDocument/2006/relationships/hyperlink" Target="http://clok.uclan.ac.uk/policies.html" TargetMode="External"/><Relationship Id="rId1973" Type="http://schemas.openxmlformats.org/officeDocument/2006/relationships/hyperlink" Target="http://clok.uclan.ac.uk/" TargetMode="External"/><Relationship Id="rId1580" Type="http://schemas.openxmlformats.org/officeDocument/2006/relationships/hyperlink" Target="http://archive-ouverte.unige.ch/" TargetMode="External"/><Relationship Id="rId1581" Type="http://schemas.openxmlformats.org/officeDocument/2006/relationships/hyperlink" Target="http://roarmap.eprints.org/328/" TargetMode="External"/><Relationship Id="rId1582" Type="http://schemas.openxmlformats.org/officeDocument/2006/relationships/hyperlink" Target="http://www.unisg.ch/" TargetMode="External"/><Relationship Id="rId1583" Type="http://schemas.openxmlformats.org/officeDocument/2006/relationships/hyperlink" Target="https://www.alexandria.unisg.ch/Open-Access-at-the-University-of-St-Gallen" TargetMode="External"/><Relationship Id="rId1190" Type="http://schemas.openxmlformats.org/officeDocument/2006/relationships/hyperlink" Target="http://www.kunnskapssenteret.no/" TargetMode="External"/><Relationship Id="rId1191" Type="http://schemas.openxmlformats.org/officeDocument/2006/relationships/hyperlink" Target="http://hera.openrepository.com/hera/bitstream/10143/41633/7/OApolicy_NOKC_251108.pdf" TargetMode="External"/><Relationship Id="rId1192" Type="http://schemas.openxmlformats.org/officeDocument/2006/relationships/hyperlink" Target="http://hera.helsebiblioteket.no/" TargetMode="External"/><Relationship Id="rId1193" Type="http://schemas.openxmlformats.org/officeDocument/2006/relationships/hyperlink" Target="http://roarmap.eprints.org/249/" TargetMode="External"/><Relationship Id="rId1194" Type="http://schemas.openxmlformats.org/officeDocument/2006/relationships/hyperlink" Target="http://www.regjeringen.no/nb.html?id=4" TargetMode="External"/><Relationship Id="rId1195" Type="http://schemas.openxmlformats.org/officeDocument/2006/relationships/hyperlink" Target="http://www.uhr.no/documents/fra_KD_om_OA.pdf" TargetMode="External"/><Relationship Id="rId1196" Type="http://schemas.openxmlformats.org/officeDocument/2006/relationships/hyperlink" Target="http://utdanning.no/" TargetMode="External"/><Relationship Id="rId1197" Type="http://schemas.openxmlformats.org/officeDocument/2006/relationships/hyperlink" Target="http://roarmap.eprints.org/250/" TargetMode="External"/><Relationship Id="rId1198" Type="http://schemas.openxmlformats.org/officeDocument/2006/relationships/hyperlink" Target="http://www.forskningsradet.no/no/Forsiden/1173185591033" TargetMode="External"/><Relationship Id="rId1199" Type="http://schemas.openxmlformats.org/officeDocument/2006/relationships/hyperlink" Target="http://www.forskningsradet.no/en/Article/The_Research_Councils_Principles_for_Open_Access_to_Scientific_Publications/1240958527698?lang=en" TargetMode="External"/><Relationship Id="rId1584" Type="http://schemas.openxmlformats.org/officeDocument/2006/relationships/hyperlink" Target="http://www.unisg.ch/en/forschung/forschungsplattformalexandria" TargetMode="External"/><Relationship Id="rId1585" Type="http://schemas.openxmlformats.org/officeDocument/2006/relationships/hyperlink" Target="http://roarmap.eprints.org/329/" TargetMode="External"/><Relationship Id="rId1586" Type="http://schemas.openxmlformats.org/officeDocument/2006/relationships/hyperlink" Target="http://www.uzh.ch/index.html" TargetMode="External"/><Relationship Id="rId1587" Type="http://schemas.openxmlformats.org/officeDocument/2006/relationships/hyperlink" Target="http://www.oai.uzh.ch/en/working-with-zora/regulations/guidelines" TargetMode="External"/><Relationship Id="rId1588" Type="http://schemas.openxmlformats.org/officeDocument/2006/relationships/hyperlink" Target="http://www.zora.unizh.ch/" TargetMode="External"/><Relationship Id="rId1589" Type="http://schemas.openxmlformats.org/officeDocument/2006/relationships/hyperlink" Target="http://www.oai.uzh.ch/en/at-the-uzh/funding" TargetMode="External"/><Relationship Id="rId1974" Type="http://schemas.openxmlformats.org/officeDocument/2006/relationships/hyperlink" Target="http://roarmap.eprints.org/391/" TargetMode="External"/><Relationship Id="rId1975" Type="http://schemas.openxmlformats.org/officeDocument/2006/relationships/hyperlink" Target="http://www.dundee.ac.uk/" TargetMode="External"/><Relationship Id="rId1976" Type="http://schemas.openxmlformats.org/officeDocument/2006/relationships/hyperlink" Target="http://roarmap.eprints.org/1047/1/Open_Access_Policy_V1_Final_November_2012%283%29.pdf" TargetMode="External"/><Relationship Id="rId1977" Type="http://schemas.openxmlformats.org/officeDocument/2006/relationships/hyperlink" Target="http://discovery.dundee.ac.uk/portal/" TargetMode="External"/><Relationship Id="rId1978" Type="http://schemas.openxmlformats.org/officeDocument/2006/relationships/hyperlink" Target="http://roarmap.eprints.org/392/" TargetMode="External"/><Relationship Id="rId1979" Type="http://schemas.openxmlformats.org/officeDocument/2006/relationships/hyperlink" Target="http://www.uea.ac.uk/" TargetMode="External"/><Relationship Id="rId2270" Type="http://schemas.openxmlformats.org/officeDocument/2006/relationships/hyperlink" Target="http://www.hhmi.org/" TargetMode="External"/><Relationship Id="rId2271" Type="http://schemas.openxmlformats.org/officeDocument/2006/relationships/hyperlink" Target="http://www.hhmi.org/sites/default/files/About/Policies/sc320-public-access-to-publications.pdf" TargetMode="External"/><Relationship Id="rId2272" Type="http://schemas.openxmlformats.org/officeDocument/2006/relationships/hyperlink" Target="http://www.ncbi.nlm.nih.gov/pmc/" TargetMode="External"/><Relationship Id="rId2273" Type="http://schemas.openxmlformats.org/officeDocument/2006/relationships/hyperlink" Target="http://roarmap.eprints.org/756/" TargetMode="External"/><Relationship Id="rId2274" Type="http://schemas.openxmlformats.org/officeDocument/2006/relationships/hyperlink" Target="http://library.ipfw.edu/" TargetMode="External"/><Relationship Id="rId2275" Type="http://schemas.openxmlformats.org/officeDocument/2006/relationships/hyperlink" Target="http://opus.ipfw.edu/" TargetMode="External"/><Relationship Id="rId2276" Type="http://schemas.openxmlformats.org/officeDocument/2006/relationships/hyperlink" Target="http://roarmap.eprints.org/481/" TargetMode="External"/><Relationship Id="rId2277" Type="http://schemas.openxmlformats.org/officeDocument/2006/relationships/hyperlink" Target="http://www.ulib.iupui.edu/" TargetMode="External"/><Relationship Id="rId2278" Type="http://schemas.openxmlformats.org/officeDocument/2006/relationships/hyperlink" Target="http://www.ulib.iupui.edu/OAMandate" TargetMode="External"/><Relationship Id="rId2279" Type="http://schemas.openxmlformats.org/officeDocument/2006/relationships/hyperlink" Target="https://scholarworks.iupui.edu/" TargetMode="External"/><Relationship Id="rId720" Type="http://schemas.openxmlformats.org/officeDocument/2006/relationships/hyperlink" Target="http://www.leibniz-gemeinschaft.de/en/home/" TargetMode="External"/><Relationship Id="rId721" Type="http://schemas.openxmlformats.org/officeDocument/2006/relationships/hyperlink" Target="http://www.leibniz-gemeinschaft.de/fileadmin/user_upload/downloads/Infrastruktur/Leibniz_OpenAccess-Leitlinie_-_ENGLISH.pdf" TargetMode="External"/><Relationship Id="rId722" Type="http://schemas.openxmlformats.org/officeDocument/2006/relationships/hyperlink" Target="http://www.leibnizopen.de/en/home/" TargetMode="External"/><Relationship Id="rId723" Type="http://schemas.openxmlformats.org/officeDocument/2006/relationships/hyperlink" Target="http://roarmap.eprints.org/165/" TargetMode="External"/><Relationship Id="rId330" Type="http://schemas.openxmlformats.org/officeDocument/2006/relationships/hyperlink" Target="http://www.concordia.ca/" TargetMode="External"/><Relationship Id="rId331" Type="http://schemas.openxmlformats.org/officeDocument/2006/relationships/hyperlink" Target="http://library.concordia.ca/research/openaccess/SenateResolutiononOpenAccess.pdf" TargetMode="External"/><Relationship Id="rId332" Type="http://schemas.openxmlformats.org/officeDocument/2006/relationships/hyperlink" Target="http://spectrum.library.concordia.ca/" TargetMode="External"/><Relationship Id="rId333" Type="http://schemas.openxmlformats.org/officeDocument/2006/relationships/hyperlink" Target="http://library.concordia.ca/research/openaccess/OAauthorfund.php" TargetMode="External"/><Relationship Id="rId334" Type="http://schemas.openxmlformats.org/officeDocument/2006/relationships/hyperlink" Target="http://roarmap.eprints.org/421/" TargetMode="External"/><Relationship Id="rId335" Type="http://schemas.openxmlformats.org/officeDocument/2006/relationships/hyperlink" Target="http://www.frqs.gouv.qc.ca/" TargetMode="External"/><Relationship Id="rId336" Type="http://schemas.openxmlformats.org/officeDocument/2006/relationships/hyperlink" Target="http://www.frsq.gouv.qc.ca/en/financement/politiques/libre_acces_resultats_recherche.shtml" TargetMode="External"/><Relationship Id="rId337" Type="http://schemas.openxmlformats.org/officeDocument/2006/relationships/hyperlink" Target="http://opendepot.org/" TargetMode="External"/><Relationship Id="rId338" Type="http://schemas.openxmlformats.org/officeDocument/2006/relationships/hyperlink" Target="http://roarmap.eprints.org/422/" TargetMode="External"/><Relationship Id="rId339" Type="http://schemas.openxmlformats.org/officeDocument/2006/relationships/hyperlink" Target="http://www.genomecanada.ca/en/" TargetMode="External"/><Relationship Id="rId724" Type="http://schemas.openxmlformats.org/officeDocument/2006/relationships/hyperlink" Target="http://www.mpg.de/en" TargetMode="External"/><Relationship Id="rId725" Type="http://schemas.openxmlformats.org/officeDocument/2006/relationships/hyperlink" Target="http://openaccess.mpg.de/1085472/Mission-Statement-final-en.pdf" TargetMode="External"/><Relationship Id="rId726" Type="http://schemas.openxmlformats.org/officeDocument/2006/relationships/hyperlink" Target="http://pubman.mpdl.mpg.de" TargetMode="External"/><Relationship Id="rId727" Type="http://schemas.openxmlformats.org/officeDocument/2006/relationships/hyperlink" Target="http://www.mpdl.mpg.de/services/oa_policy_de.htm" TargetMode="External"/><Relationship Id="rId728" Type="http://schemas.openxmlformats.org/officeDocument/2006/relationships/hyperlink" Target="http://roarmap.eprints.org/166/" TargetMode="External"/><Relationship Id="rId729" Type="http://schemas.openxmlformats.org/officeDocument/2006/relationships/hyperlink" Target="http://www.maxweberstiftung.de/en/startseite.html" TargetMode="External"/><Relationship Id="rId1980" Type="http://schemas.openxmlformats.org/officeDocument/2006/relationships/hyperlink" Target="https://ueaeprints.uea.ac.uk/policies.html" TargetMode="External"/><Relationship Id="rId1981" Type="http://schemas.openxmlformats.org/officeDocument/2006/relationships/hyperlink" Target="http://ueaeprints.uea.ac.uk/" TargetMode="External"/><Relationship Id="rId1982" Type="http://schemas.openxmlformats.org/officeDocument/2006/relationships/hyperlink" Target="http://roarmap.eprints.org/393/" TargetMode="External"/><Relationship Id="rId1983" Type="http://schemas.openxmlformats.org/officeDocument/2006/relationships/hyperlink" Target="http://www.uel.ac.uk/" TargetMode="External"/><Relationship Id="rId1590" Type="http://schemas.openxmlformats.org/officeDocument/2006/relationships/hyperlink" Target="http://roarmap.eprints.org/64/" TargetMode="External"/><Relationship Id="rId1591" Type="http://schemas.openxmlformats.org/officeDocument/2006/relationships/hyperlink" Target="http://www.ibu.edu.tr/index.php/en/" TargetMode="External"/><Relationship Id="rId1592" Type="http://schemas.openxmlformats.org/officeDocument/2006/relationships/hyperlink" Target="http://roarmap.eprints.org/63/" TargetMode="External"/><Relationship Id="rId1593" Type="http://schemas.openxmlformats.org/officeDocument/2006/relationships/hyperlink" Target="http://en.bingol.edu.tr/" TargetMode="External"/><Relationship Id="rId1594" Type="http://schemas.openxmlformats.org/officeDocument/2006/relationships/hyperlink" Target="http://www.bingol.edu.tr/media/163822/BiNGoL-uNiVERSiTESi-AciK-ERisiM-POLiTiKASi.pdf" TargetMode="External"/><Relationship Id="rId1595" Type="http://schemas.openxmlformats.org/officeDocument/2006/relationships/hyperlink" Target="http://acikerisim.bingol.edu.tr:8080/xmlui" TargetMode="External"/><Relationship Id="rId1596" Type="http://schemas.openxmlformats.org/officeDocument/2006/relationships/hyperlink" Target="http://roarmap.eprints.org/73/" TargetMode="External"/><Relationship Id="rId1597" Type="http://schemas.openxmlformats.org/officeDocument/2006/relationships/hyperlink" Target="http://www.cbu.edu.tr/eng/" TargetMode="External"/><Relationship Id="rId1598" Type="http://schemas.openxmlformats.org/officeDocument/2006/relationships/hyperlink" Target="http://roarmap.eprints.org/51/" TargetMode="External"/><Relationship Id="rId1599" Type="http://schemas.openxmlformats.org/officeDocument/2006/relationships/hyperlink" Target="http://www.dogus.edu.tr/en/" TargetMode="External"/><Relationship Id="rId1984" Type="http://schemas.openxmlformats.org/officeDocument/2006/relationships/hyperlink" Target="http://dx.doi.org/10.15123/PUB.4048" TargetMode="External"/><Relationship Id="rId1985" Type="http://schemas.openxmlformats.org/officeDocument/2006/relationships/hyperlink" Target="http://roar.uel.ac.uk/" TargetMode="External"/><Relationship Id="rId1986" Type="http://schemas.openxmlformats.org/officeDocument/2006/relationships/hyperlink" Target="http://roarmap.eprints.org/394/" TargetMode="External"/><Relationship Id="rId1987" Type="http://schemas.openxmlformats.org/officeDocument/2006/relationships/hyperlink" Target="http://www.ed.ac.uk/home" TargetMode="External"/><Relationship Id="rId1988" Type="http://schemas.openxmlformats.org/officeDocument/2006/relationships/hyperlink" Target="http://www.ed.ac.uk/polopoly_fs/1.14203!/fileManager/research-publications-policy.pdf" TargetMode="External"/><Relationship Id="rId1989" Type="http://schemas.openxmlformats.org/officeDocument/2006/relationships/hyperlink" Target="https://www.era.lib.ed.ac.uk/" TargetMode="External"/><Relationship Id="rId2280" Type="http://schemas.openxmlformats.org/officeDocument/2006/relationships/hyperlink" Target="http://ulib.iupui.edu/digitalscholarship/oafund" TargetMode="External"/><Relationship Id="rId2281" Type="http://schemas.openxmlformats.org/officeDocument/2006/relationships/hyperlink" Target="http://roarmap.eprints.org/482/" TargetMode="External"/><Relationship Id="rId2282" Type="http://schemas.openxmlformats.org/officeDocument/2006/relationships/hyperlink" Target="http://ies.ed.gov/" TargetMode="External"/><Relationship Id="rId2283" Type="http://schemas.openxmlformats.org/officeDocument/2006/relationships/hyperlink" Target="http://ies.ed.gov/funding/researchaccess.asp" TargetMode="External"/><Relationship Id="rId2284" Type="http://schemas.openxmlformats.org/officeDocument/2006/relationships/hyperlink" Target="http://eric.ed.gov/" TargetMode="External"/><Relationship Id="rId2285" Type="http://schemas.openxmlformats.org/officeDocument/2006/relationships/hyperlink" Target="http://roarmap.eprints.org/483/" TargetMode="External"/><Relationship Id="rId2286" Type="http://schemas.openxmlformats.org/officeDocument/2006/relationships/hyperlink" Target="http://www.k-state.edu/" TargetMode="External"/><Relationship Id="rId2287" Type="http://schemas.openxmlformats.org/officeDocument/2006/relationships/hyperlink" Target="http://krex.k-state.edu/dspace/" TargetMode="External"/><Relationship Id="rId2288" Type="http://schemas.openxmlformats.org/officeDocument/2006/relationships/hyperlink" Target="http://www.lib.k-state.edu/publishing-fund" TargetMode="External"/><Relationship Id="rId2289" Type="http://schemas.openxmlformats.org/officeDocument/2006/relationships/hyperlink" Target="http://roarmap.eprints.org/484/" TargetMode="External"/><Relationship Id="rId730" Type="http://schemas.openxmlformats.org/officeDocument/2006/relationships/hyperlink" Target="http://www.maxweberstiftung.de/en/ueber-uns.html" TargetMode="External"/><Relationship Id="rId731" Type="http://schemas.openxmlformats.org/officeDocument/2006/relationships/hyperlink" Target="http://www.perspectivia.net/" TargetMode="External"/><Relationship Id="rId732" Type="http://schemas.openxmlformats.org/officeDocument/2006/relationships/hyperlink" Target="http://roarmap.eprints.org/167/" TargetMode="External"/><Relationship Id="rId733" Type="http://schemas.openxmlformats.org/officeDocument/2006/relationships/hyperlink" Target="http://www.uni-potsdam.de/" TargetMode="External"/><Relationship Id="rId734" Type="http://schemas.openxmlformats.org/officeDocument/2006/relationships/hyperlink" Target="http://opus.kobv.de/ubp/doku/openacc.php" TargetMode="External"/><Relationship Id="rId735" Type="http://schemas.openxmlformats.org/officeDocument/2006/relationships/hyperlink" Target="http://opus.kobv.de/ubp/" TargetMode="External"/><Relationship Id="rId736" Type="http://schemas.openxmlformats.org/officeDocument/2006/relationships/hyperlink" Target="http://roarmap.eprints.org/168/" TargetMode="External"/><Relationship Id="rId737" Type="http://schemas.openxmlformats.org/officeDocument/2006/relationships/hyperlink" Target="https://www.uni-tuebingen.de" TargetMode="External"/><Relationship Id="rId738" Type="http://schemas.openxmlformats.org/officeDocument/2006/relationships/hyperlink" Target="http://www.uni-tuebingen.de/en/facilities/university-library/students-lecturers-researchers/open-access-policy.html" TargetMode="External"/><Relationship Id="rId739" Type="http://schemas.openxmlformats.org/officeDocument/2006/relationships/hyperlink" Target="http://www.clarin.eu/" TargetMode="External"/><Relationship Id="rId340" Type="http://schemas.openxmlformats.org/officeDocument/2006/relationships/hyperlink" Target="http://www.genomecanada.ca/medias/PDF/EN/AccessResearchPublicationsPolicy.pdf" TargetMode="External"/><Relationship Id="rId341" Type="http://schemas.openxmlformats.org/officeDocument/2006/relationships/hyperlink" Target="http://opendepot.org/" TargetMode="External"/><Relationship Id="rId342" Type="http://schemas.openxmlformats.org/officeDocument/2006/relationships/hyperlink" Target="http://roarmap.eprints.org/423/" TargetMode="External"/><Relationship Id="rId343" Type="http://schemas.openxmlformats.org/officeDocument/2006/relationships/hyperlink" Target="http://www.heartandstroke.com/" TargetMode="External"/><Relationship Id="rId344" Type="http://schemas.openxmlformats.org/officeDocument/2006/relationships/hyperlink" Target="http://hsf.ca/research/en/hsf-open-access-research-outputs-policy-guidelines" TargetMode="External"/><Relationship Id="rId345" Type="http://schemas.openxmlformats.org/officeDocument/2006/relationships/hyperlink" Target="http://opendepot.org/" TargetMode="External"/><Relationship Id="rId346" Type="http://schemas.openxmlformats.org/officeDocument/2006/relationships/hyperlink" Target="http://roarmap.eprints.org/424/" TargetMode="External"/><Relationship Id="rId347" Type="http://schemas.openxmlformats.org/officeDocument/2006/relationships/hyperlink" Target="http://www.idrc.ca/" TargetMode="External"/><Relationship Id="rId348" Type="http://schemas.openxmlformats.org/officeDocument/2006/relationships/hyperlink" Target="http://idl-bnc.idrc.ca/dspace/" TargetMode="External"/><Relationship Id="rId349" Type="http://schemas.openxmlformats.org/officeDocument/2006/relationships/hyperlink" Target="http://roarmap.eprints.org/425/" TargetMode="External"/><Relationship Id="rId1990" Type="http://schemas.openxmlformats.org/officeDocument/2006/relationships/hyperlink" Target="http://roarmap.eprints.org/395/" TargetMode="External"/><Relationship Id="rId1991" Type="http://schemas.openxmlformats.org/officeDocument/2006/relationships/hyperlink" Target="http://www.exeter.ac.uk/" TargetMode="External"/><Relationship Id="rId1992" Type="http://schemas.openxmlformats.org/officeDocument/2006/relationships/hyperlink" Target="https://ore.exeter.ac.uk/repository/bitstream/handle/10036/4280/OA_RDM_Policy_Final.pdf?sequence=4" TargetMode="External"/><Relationship Id="rId1993" Type="http://schemas.openxmlformats.org/officeDocument/2006/relationships/hyperlink" Target="https://ore.exeter.ac.uk/repository/" TargetMode="External"/><Relationship Id="rId1994" Type="http://schemas.openxmlformats.org/officeDocument/2006/relationships/hyperlink" Target="http://roarmap.eprints.org/396/" TargetMode="External"/><Relationship Id="rId1995" Type="http://schemas.openxmlformats.org/officeDocument/2006/relationships/hyperlink" Target="http://www.gla.ac.uk/" TargetMode="External"/><Relationship Id="rId1996" Type="http://schemas.openxmlformats.org/officeDocument/2006/relationships/hyperlink" Target="http://www.lib.gla.ac.uk/enlighten/publicationspolicy/index.html" TargetMode="External"/><Relationship Id="rId1997" Type="http://schemas.openxmlformats.org/officeDocument/2006/relationships/hyperlink" Target="http://www.lib.gla.ac.uk/enlighten/" TargetMode="External"/><Relationship Id="rId1998" Type="http://schemas.openxmlformats.org/officeDocument/2006/relationships/hyperlink" Target="http://roarmap.eprints.org/696/" TargetMode="External"/><Relationship Id="rId1999" Type="http://schemas.openxmlformats.org/officeDocument/2006/relationships/hyperlink" Target="http://www2.hull.ac.uk/" TargetMode="External"/><Relationship Id="rId2290" Type="http://schemas.openxmlformats.org/officeDocument/2006/relationships/hyperlink" Target="http://www.lafayette.edu/" TargetMode="External"/><Relationship Id="rId2291" Type="http://schemas.openxmlformats.org/officeDocument/2006/relationships/hyperlink" Target="http://library.lafayette.edu/oaresolution" TargetMode="External"/><Relationship Id="rId2292" Type="http://schemas.openxmlformats.org/officeDocument/2006/relationships/hyperlink" Target="http://dspace.lafayette.edu/" TargetMode="External"/><Relationship Id="rId2293" Type="http://schemas.openxmlformats.org/officeDocument/2006/relationships/hyperlink" Target="http://roarmap.eprints.org/485/" TargetMode="External"/><Relationship Id="rId2294" Type="http://schemas.openxmlformats.org/officeDocument/2006/relationships/hyperlink" Target="http://www.macfound.org/" TargetMode="External"/><Relationship Id="rId2295" Type="http://schemas.openxmlformats.org/officeDocument/2006/relationships/hyperlink" Target="http://roarmap.eprints.org/486/" TargetMode="External"/><Relationship Id="rId2296" Type="http://schemas.openxmlformats.org/officeDocument/2006/relationships/hyperlink" Target="http://web.mit.edu/" TargetMode="External"/><Relationship Id="rId2297" Type="http://schemas.openxmlformats.org/officeDocument/2006/relationships/hyperlink" Target="http://libraries.mit.edu/scholarly/mit-open-access/open-access-at-mit/mit-open-access-policy/" TargetMode="External"/><Relationship Id="rId2298" Type="http://schemas.openxmlformats.org/officeDocument/2006/relationships/hyperlink" Target="http://dspace.mit.edu/" TargetMode="External"/><Relationship Id="rId2299" Type="http://schemas.openxmlformats.org/officeDocument/2006/relationships/hyperlink" Target="http://libraries.mit.edu/scholarly/mit-open-access/open-access-at-mit/mit-open-access-publishing-fund/" TargetMode="External"/><Relationship Id="rId1200" Type="http://schemas.openxmlformats.org/officeDocument/2006/relationships/hyperlink" Target="http://opendepot.org" TargetMode="External"/><Relationship Id="rId1201" Type="http://schemas.openxmlformats.org/officeDocument/2006/relationships/hyperlink" Target="http://roarmap.eprints.org/251/" TargetMode="External"/><Relationship Id="rId1202" Type="http://schemas.openxmlformats.org/officeDocument/2006/relationships/hyperlink" Target="http://www.hioa.no/eng/" TargetMode="External"/><Relationship Id="rId1203" Type="http://schemas.openxmlformats.org/officeDocument/2006/relationships/hyperlink" Target="http://www.hioa.no/LSB/Synliggjoer-din-forskning/Open-Access/Open-Access-Policy-ved-HiOA" TargetMode="External"/><Relationship Id="rId1204" Type="http://schemas.openxmlformats.org/officeDocument/2006/relationships/hyperlink" Target="https://oda.hio.no/jspui/" TargetMode="External"/><Relationship Id="rId1205" Type="http://schemas.openxmlformats.org/officeDocument/2006/relationships/hyperlink" Target="http://roarmap.eprints.org/731/" TargetMode="External"/><Relationship Id="rId1206" Type="http://schemas.openxmlformats.org/officeDocument/2006/relationships/hyperlink" Target="http://www.uia.no/en" TargetMode="External"/><Relationship Id="rId1207" Type="http://schemas.openxmlformats.org/officeDocument/2006/relationships/hyperlink" Target="http://old.uia.no/no/content/download/51170/722280/file/SFU0608-vedlegg1-ferdig.pdf" TargetMode="External"/><Relationship Id="rId740" Type="http://schemas.openxmlformats.org/officeDocument/2006/relationships/hyperlink" Target="http://www.uni-tuebingen.de/en/facilities/university-library/students-lecturers-researchers/open-access-publikationsfonds.html" TargetMode="External"/><Relationship Id="rId741" Type="http://schemas.openxmlformats.org/officeDocument/2006/relationships/hyperlink" Target="http://roarmap.eprints.org/169/" TargetMode="External"/><Relationship Id="rId742" Type="http://schemas.openxmlformats.org/officeDocument/2006/relationships/hyperlink" Target="http://www.uni-bremen.de" TargetMode="External"/><Relationship Id="rId743" Type="http://schemas.openxmlformats.org/officeDocument/2006/relationships/hyperlink" Target="http://www.uni-bremen.de/aktuelle-meldungen/einzelanzeige/article/universitaet-foerdert-open-access-publikationen.html?cHash=ef1c94248d51c169573e86edf3b1c4ef&amp;sword_list%5b%5d=open&amp;sword_list%5b%5d=access&amp;no_cache=1" TargetMode="External"/><Relationship Id="rId744" Type="http://schemas.openxmlformats.org/officeDocument/2006/relationships/hyperlink" Target="http://elib.suub.uni-bremen.de/" TargetMode="External"/><Relationship Id="rId745" Type="http://schemas.openxmlformats.org/officeDocument/2006/relationships/hyperlink" Target="http://roarmap.eprints.org/170/" TargetMode="External"/><Relationship Id="rId746" Type="http://schemas.openxmlformats.org/officeDocument/2006/relationships/hyperlink" Target="http://www.uni-hamburg.de/" TargetMode="External"/><Relationship Id="rId747" Type="http://schemas.openxmlformats.org/officeDocument/2006/relationships/hyperlink" Target="http://roarmap.eprints.org/171/" TargetMode="External"/><Relationship Id="rId748" Type="http://schemas.openxmlformats.org/officeDocument/2006/relationships/hyperlink" Target="http://www.uni-heidelberg.de/" TargetMode="External"/><Relationship Id="rId749" Type="http://schemas.openxmlformats.org/officeDocument/2006/relationships/hyperlink" Target="http://www.uni-heidelberg.de/university/profile/openaccess/index.html" TargetMode="External"/><Relationship Id="rId350" Type="http://schemas.openxmlformats.org/officeDocument/2006/relationships/hyperlink" Target="http://www.mcgill.ca/library/" TargetMode="External"/><Relationship Id="rId351" Type="http://schemas.openxmlformats.org/officeDocument/2006/relationships/hyperlink" Target="http://roarmap.eprints.org/806/1/McGillLibraryOAStatement.pdf" TargetMode="External"/><Relationship Id="rId352" Type="http://schemas.openxmlformats.org/officeDocument/2006/relationships/hyperlink" Target="http://digitool.library.mcgill.ca/R/" TargetMode="External"/><Relationship Id="rId353" Type="http://schemas.openxmlformats.org/officeDocument/2006/relationships/hyperlink" Target="http://roarmap.eprints.org/426/" TargetMode="External"/><Relationship Id="rId354" Type="http://schemas.openxmlformats.org/officeDocument/2006/relationships/hyperlink" Target="http://www.msfhr.org/" TargetMode="External"/><Relationship Id="rId355" Type="http://schemas.openxmlformats.org/officeDocument/2006/relationships/hyperlink" Target="http://roarmap.eprints.org/427/" TargetMode="External"/><Relationship Id="rId356" Type="http://schemas.openxmlformats.org/officeDocument/2006/relationships/hyperlink" Target="http://www.msvu.ca/" TargetMode="External"/><Relationship Id="rId357" Type="http://schemas.openxmlformats.org/officeDocument/2006/relationships/hyperlink" Target="http://dc.msvu.ca:8080/xmlui/themes/msvu_ir/static/MSVU-OA-policy.pdf" TargetMode="External"/><Relationship Id="rId358" Type="http://schemas.openxmlformats.org/officeDocument/2006/relationships/hyperlink" Target="http://ec.msvu.ca:8080/xmlui/" TargetMode="External"/><Relationship Id="rId359" Type="http://schemas.openxmlformats.org/officeDocument/2006/relationships/hyperlink" Target="http://roarmap.eprints.org/428/" TargetMode="External"/><Relationship Id="rId1208" Type="http://schemas.openxmlformats.org/officeDocument/2006/relationships/hyperlink" Target="http://www.uia.no/aura" TargetMode="External"/><Relationship Id="rId1209" Type="http://schemas.openxmlformats.org/officeDocument/2006/relationships/hyperlink" Target="http://www.uia.no/en/library/lenkeblokksamling/forskning-og-publisering/open-access-publishing" TargetMode="External"/><Relationship Id="rId1600" Type="http://schemas.openxmlformats.org/officeDocument/2006/relationships/hyperlink" Target="http://openaccess.dogus.edu.tr:8080/dokumanlar/oa_politika.html" TargetMode="External"/><Relationship Id="rId1601" Type="http://schemas.openxmlformats.org/officeDocument/2006/relationships/hyperlink" Target="http://openaccess.dogus.edu.tr:8080/xmlui/" TargetMode="External"/><Relationship Id="rId1602" Type="http://schemas.openxmlformats.org/officeDocument/2006/relationships/hyperlink" Target="http://roarmap.eprints.org/62/" TargetMode="External"/><Relationship Id="rId1603" Type="http://schemas.openxmlformats.org/officeDocument/2006/relationships/hyperlink" Target="http://www.eng.duzce.edu.tr/" TargetMode="External"/><Relationship Id="rId1604" Type="http://schemas.openxmlformats.org/officeDocument/2006/relationships/hyperlink" Target="http://roarmap.eprints.org/59/" TargetMode="External"/><Relationship Id="rId1605" Type="http://schemas.openxmlformats.org/officeDocument/2006/relationships/hyperlink" Target="http://www.ege.edu.tr/index.php?lid=2" TargetMode="External"/><Relationship Id="rId1606" Type="http://schemas.openxmlformats.org/officeDocument/2006/relationships/hyperlink" Target="http://acikerisim.ege.edu.tr:8081/xmlui/?locale-attribute=en" TargetMode="External"/><Relationship Id="rId1607" Type="http://schemas.openxmlformats.org/officeDocument/2006/relationships/hyperlink" Target="http://roarmap.eprints.org/72/" TargetMode="External"/><Relationship Id="rId1608" Type="http://schemas.openxmlformats.org/officeDocument/2006/relationships/hyperlink" Target="http://www.gantep.edu.tr/en/" TargetMode="External"/><Relationship Id="rId1609" Type="http://schemas.openxmlformats.org/officeDocument/2006/relationships/hyperlink" Target="http://roarmap.eprints.org/66/" TargetMode="External"/><Relationship Id="rId1210" Type="http://schemas.openxmlformats.org/officeDocument/2006/relationships/hyperlink" Target="http://roarmap.eprints.org/253/" TargetMode="External"/><Relationship Id="rId1211" Type="http://schemas.openxmlformats.org/officeDocument/2006/relationships/hyperlink" Target="http://www.uib.no/en" TargetMode="External"/><Relationship Id="rId750" Type="http://schemas.openxmlformats.org/officeDocument/2006/relationships/hyperlink" Target="http://archiv.ub.uni-heidelberg.de/volltextserver/" TargetMode="External"/><Relationship Id="rId751" Type="http://schemas.openxmlformats.org/officeDocument/2006/relationships/hyperlink" Target="http://www.ub.uni-heidelberg.de/Englisch/service/openaccess/publikationsfonds.html" TargetMode="External"/><Relationship Id="rId752" Type="http://schemas.openxmlformats.org/officeDocument/2006/relationships/hyperlink" Target="http://roarmap.eprints.org/172/" TargetMode="External"/><Relationship Id="rId753" Type="http://schemas.openxmlformats.org/officeDocument/2006/relationships/hyperlink" Target="http://www.uni-regensburg.de/" TargetMode="External"/><Relationship Id="rId754" Type="http://schemas.openxmlformats.org/officeDocument/2006/relationships/hyperlink" Target="http://www.uni-regensburg.de/publikationen/medien/open-access-policy.pdf" TargetMode="External"/><Relationship Id="rId755" Type="http://schemas.openxmlformats.org/officeDocument/2006/relationships/hyperlink" Target="http://epub.uni-regensburg.de/" TargetMode="External"/><Relationship Id="rId756" Type="http://schemas.openxmlformats.org/officeDocument/2006/relationships/hyperlink" Target="http://roarmap.eprints.org/1/" TargetMode="External"/><Relationship Id="rId757" Type="http://schemas.openxmlformats.org/officeDocument/2006/relationships/hyperlink" Target="http://www.knust.edu.gh" TargetMode="External"/><Relationship Id="rId758" Type="http://schemas.openxmlformats.org/officeDocument/2006/relationships/hyperlink" Target="http://roarmap.eprints.org/484/1/KNUSTSpace_Policy_Document.pdf" TargetMode="External"/><Relationship Id="rId759" Type="http://schemas.openxmlformats.org/officeDocument/2006/relationships/hyperlink" Target="http://roarmap.eprints.org/173/" TargetMode="External"/><Relationship Id="rId360" Type="http://schemas.openxmlformats.org/officeDocument/2006/relationships/hyperlink" Target="http://www.nrc-cnrc.gc.ca/eng/" TargetMode="External"/><Relationship Id="rId361" Type="http://schemas.openxmlformats.org/officeDocument/2006/relationships/hyperlink" Target="http://cisti-icist.nrc-cnrc.gc.ca/obj/cisti-icist/doc/nparc/NPArC-Statement-of-Responsibilities_e.pdf" TargetMode="External"/><Relationship Id="rId362" Type="http://schemas.openxmlformats.org/officeDocument/2006/relationships/hyperlink" Target="http://nparc.cisti-icist.nrc-cnrc.gc.ca/npsi/ctrl" TargetMode="External"/><Relationship Id="rId363" Type="http://schemas.openxmlformats.org/officeDocument/2006/relationships/hyperlink" Target="http://roarmap.eprints.org/429/" TargetMode="External"/><Relationship Id="rId364" Type="http://schemas.openxmlformats.org/officeDocument/2006/relationships/hyperlink" Target="http://www.nserc-crsng.gc.ca/" TargetMode="External"/><Relationship Id="rId365" Type="http://schemas.openxmlformats.org/officeDocument/2006/relationships/hyperlink" Target="http://www.science.gc.ca/default.asp?lang=En&amp;n=F6765465-1" TargetMode="External"/><Relationship Id="rId366" Type="http://schemas.openxmlformats.org/officeDocument/2006/relationships/hyperlink" Target="http://opendepot.org/" TargetMode="External"/><Relationship Id="rId367" Type="http://schemas.openxmlformats.org/officeDocument/2006/relationships/hyperlink" Target="http://roarmap.eprints.org/430/" TargetMode="External"/><Relationship Id="rId368" Type="http://schemas.openxmlformats.org/officeDocument/2006/relationships/hyperlink" Target="http://oicr.on.ca/" TargetMode="External"/><Relationship Id="rId369" Type="http://schemas.openxmlformats.org/officeDocument/2006/relationships/hyperlink" Target="http://oicr.on.ca/files/public/november2009cancerresearchfundpolicies.pdf" TargetMode="External"/><Relationship Id="rId1212" Type="http://schemas.openxmlformats.org/officeDocument/2006/relationships/hyperlink" Target="http://www.uib.no/filearchive/2012-088.pdf" TargetMode="External"/><Relationship Id="rId1213" Type="http://schemas.openxmlformats.org/officeDocument/2006/relationships/hyperlink" Target="https://bora.uib.no/" TargetMode="External"/><Relationship Id="rId1214" Type="http://schemas.openxmlformats.org/officeDocument/2006/relationships/hyperlink" Target="http://www.uib.no/en/ub/79537/budget-posting-open-publication-university-bergen" TargetMode="External"/><Relationship Id="rId1215" Type="http://schemas.openxmlformats.org/officeDocument/2006/relationships/hyperlink" Target="http://roarmap.eprints.org/254/" TargetMode="External"/><Relationship Id="rId1216" Type="http://schemas.openxmlformats.org/officeDocument/2006/relationships/hyperlink" Target="http://www.uio.no/english/" TargetMode="External"/><Relationship Id="rId1217" Type="http://schemas.openxmlformats.org/officeDocument/2006/relationships/hyperlink" Target="http://roarmap.eprints.org/574/1/5334-15147-1-SM.pdf" TargetMode="External"/><Relationship Id="rId1218" Type="http://schemas.openxmlformats.org/officeDocument/2006/relationships/hyperlink" Target="http://www.ub.uio.no/publisere/forskere/publiseringsfond/index.html" TargetMode="External"/><Relationship Id="rId1219" Type="http://schemas.openxmlformats.org/officeDocument/2006/relationships/hyperlink" Target="http://roarmap.eprints.org/255/" TargetMode="External"/><Relationship Id="rId1610" Type="http://schemas.openxmlformats.org/officeDocument/2006/relationships/hyperlink" Target="http://www.gop.edu.tr/eng/" TargetMode="External"/><Relationship Id="rId1611" Type="http://schemas.openxmlformats.org/officeDocument/2006/relationships/hyperlink" Target="http://earsiv.gop.edu.tr/xmlui/?locale-attribute=en" TargetMode="External"/><Relationship Id="rId1612" Type="http://schemas.openxmlformats.org/officeDocument/2006/relationships/hyperlink" Target="http://roarmap.eprints.org/48/" TargetMode="External"/><Relationship Id="rId1613" Type="http://schemas.openxmlformats.org/officeDocument/2006/relationships/hyperlink" Target="http://www.bby.hacettepe.edu.tr/english/" TargetMode="External"/><Relationship Id="rId1614" Type="http://schemas.openxmlformats.org/officeDocument/2006/relationships/hyperlink" Target="http://bbyeprints.hacettepe.edu.tr/" TargetMode="External"/><Relationship Id="rId1615" Type="http://schemas.openxmlformats.org/officeDocument/2006/relationships/hyperlink" Target="http://roarmap.eprints.org/60/" TargetMode="External"/><Relationship Id="rId1616" Type="http://schemas.openxmlformats.org/officeDocument/2006/relationships/hyperlink" Target="http://www.hitit.edu.tr/eng/index.php" TargetMode="External"/><Relationship Id="rId1617" Type="http://schemas.openxmlformats.org/officeDocument/2006/relationships/hyperlink" Target="http://earsiv.hitit.edu.tr:8080/jspui/?locale=en" TargetMode="External"/><Relationship Id="rId1618" Type="http://schemas.openxmlformats.org/officeDocument/2006/relationships/hyperlink" Target="http://roarmap.eprints.org/67/" TargetMode="External"/><Relationship Id="rId1619" Type="http://schemas.openxmlformats.org/officeDocument/2006/relationships/hyperlink" Target="http://www.igdir.edu.tr/en/default.aspx" TargetMode="External"/><Relationship Id="rId1220" Type="http://schemas.openxmlformats.org/officeDocument/2006/relationships/hyperlink" Target="http://www.uis.no/frontpage/" TargetMode="External"/><Relationship Id="rId1221" Type="http://schemas.openxmlformats.org/officeDocument/2006/relationships/hyperlink" Target="https://www.uis.no/bibliotek/forskningshjelp/open-access/hva-er-open-access/?s=11383" TargetMode="External"/><Relationship Id="rId760" Type="http://schemas.openxmlformats.org/officeDocument/2006/relationships/hyperlink" Target="http://www.acmac.uoc.gr/index.php" TargetMode="External"/><Relationship Id="rId761" Type="http://schemas.openxmlformats.org/officeDocument/2006/relationships/hyperlink" Target="http://preprints.acmac.uoc.gr/" TargetMode="External"/><Relationship Id="rId762" Type="http://schemas.openxmlformats.org/officeDocument/2006/relationships/hyperlink" Target="http://roarmap.eprints.org/174/" TargetMode="External"/><Relationship Id="rId763" Type="http://schemas.openxmlformats.org/officeDocument/2006/relationships/hyperlink" Target="http://www.panteion.gr/" TargetMode="External"/><Relationship Id="rId764" Type="http://schemas.openxmlformats.org/officeDocument/2006/relationships/hyperlink" Target="http://roarmap.eprints.org/17/" TargetMode="External"/><Relationship Id="rId765" Type="http://schemas.openxmlformats.org/officeDocument/2006/relationships/hyperlink" Target="http://www.polyu.edu.hk/cpa/polyu/index.php" TargetMode="External"/><Relationship Id="rId766" Type="http://schemas.openxmlformats.org/officeDocument/2006/relationships/hyperlink" Target="http://www.polyu.edu.hk/ro/newRO415.html" TargetMode="External"/><Relationship Id="rId767" Type="http://schemas.openxmlformats.org/officeDocument/2006/relationships/hyperlink" Target="http://repository.lib.polyu.edu.hk/jspui/" TargetMode="External"/><Relationship Id="rId768" Type="http://schemas.openxmlformats.org/officeDocument/2006/relationships/hyperlink" Target="http://roarmap.eprints.org/18/" TargetMode="External"/><Relationship Id="rId769" Type="http://schemas.openxmlformats.org/officeDocument/2006/relationships/hyperlink" Target="http://www.hku.hk/" TargetMode="External"/><Relationship Id="rId370" Type="http://schemas.openxmlformats.org/officeDocument/2006/relationships/hyperlink" Target="http://opendepot.org/" TargetMode="External"/><Relationship Id="rId371" Type="http://schemas.openxmlformats.org/officeDocument/2006/relationships/hyperlink" Target="http://roarmap.eprints.org/431/" TargetMode="External"/><Relationship Id="rId372" Type="http://schemas.openxmlformats.org/officeDocument/2006/relationships/hyperlink" Target="http://library.queensu.ca/" TargetMode="External"/><Relationship Id="rId373" Type="http://schemas.openxmlformats.org/officeDocument/2006/relationships/hyperlink" Target="http://post.queensu.ca/~qula/documents/QULA-OpenAccessPolicy.docx" TargetMode="External"/><Relationship Id="rId374" Type="http://schemas.openxmlformats.org/officeDocument/2006/relationships/hyperlink" Target="https://qspace.library.queensu.ca/" TargetMode="External"/><Relationship Id="rId375" Type="http://schemas.openxmlformats.org/officeDocument/2006/relationships/hyperlink" Target="http://roarmap.eprints.org/682/" TargetMode="External"/><Relationship Id="rId376" Type="http://schemas.openxmlformats.org/officeDocument/2006/relationships/hyperlink" Target="http://www.sshrc-crsh.gc.ca/" TargetMode="External"/><Relationship Id="rId377" Type="http://schemas.openxmlformats.org/officeDocument/2006/relationships/hyperlink" Target="http://www.science.gc.ca/default.asp?lang=En&amp;n=F6765465-1" TargetMode="External"/><Relationship Id="rId378" Type="http://schemas.openxmlformats.org/officeDocument/2006/relationships/hyperlink" Target="http://opendepot.org/" TargetMode="External"/><Relationship Id="rId379" Type="http://schemas.openxmlformats.org/officeDocument/2006/relationships/hyperlink" Target="http://roarmap.eprints.org/432/" TargetMode="External"/><Relationship Id="rId1222" Type="http://schemas.openxmlformats.org/officeDocument/2006/relationships/hyperlink" Target="http://brage.bibsys.no/xmlui/handle/11250/92958" TargetMode="External"/><Relationship Id="rId1223" Type="http://schemas.openxmlformats.org/officeDocument/2006/relationships/hyperlink" Target="http://roarmap.eprints.org/252/" TargetMode="External"/><Relationship Id="rId1224" Type="http://schemas.openxmlformats.org/officeDocument/2006/relationships/hyperlink" Target="http://en.uit.no/inenglish" TargetMode="External"/><Relationship Id="rId1225" Type="http://schemas.openxmlformats.org/officeDocument/2006/relationships/hyperlink" Target="http://uit.no/Content/375533/OA%20policy%20UiT%20141010.pdf" TargetMode="External"/><Relationship Id="rId1226" Type="http://schemas.openxmlformats.org/officeDocument/2006/relationships/hyperlink" Target="http://munin.uit.no/" TargetMode="External"/><Relationship Id="rId1227" Type="http://schemas.openxmlformats.org/officeDocument/2006/relationships/hyperlink" Target="http://uit.no/ub/publisering/art?p_document_id=225287" TargetMode="External"/><Relationship Id="rId1228" Type="http://schemas.openxmlformats.org/officeDocument/2006/relationships/hyperlink" Target="http://roarmap.eprints.org/710/" TargetMode="External"/><Relationship Id="rId1229" Type="http://schemas.openxmlformats.org/officeDocument/2006/relationships/hyperlink" Target="http://genesandcells.com/" TargetMode="External"/><Relationship Id="rId2300" Type="http://schemas.openxmlformats.org/officeDocument/2006/relationships/hyperlink" Target="http://roarmap.eprints.org/487/" TargetMode="External"/><Relationship Id="rId2301" Type="http://schemas.openxmlformats.org/officeDocument/2006/relationships/hyperlink" Target="http://www.lib.miamioh.edu/" TargetMode="External"/><Relationship Id="rId2302" Type="http://schemas.openxmlformats.org/officeDocument/2006/relationships/hyperlink" Target="http://www.lib.miamioh.edu/policies/others/open_access_policy" TargetMode="External"/><Relationship Id="rId2303" Type="http://schemas.openxmlformats.org/officeDocument/2006/relationships/hyperlink" Target="http://sc.lib.miamioh.edu/" TargetMode="External"/><Relationship Id="rId2304" Type="http://schemas.openxmlformats.org/officeDocument/2006/relationships/hyperlink" Target="http://roarmap.eprints.org/488/" TargetMode="External"/><Relationship Id="rId2305" Type="http://schemas.openxmlformats.org/officeDocument/2006/relationships/hyperlink" Target="http://research.microsoft.com/en-us/" TargetMode="External"/><Relationship Id="rId2306" Type="http://schemas.openxmlformats.org/officeDocument/2006/relationships/hyperlink" Target="http://research.microsoft.com/en-us/help/openaccess.aspx" TargetMode="External"/><Relationship Id="rId2307" Type="http://schemas.openxmlformats.org/officeDocument/2006/relationships/hyperlink" Target="http://roarmap.eprints.org/489/" TargetMode="External"/><Relationship Id="rId2308" Type="http://schemas.openxmlformats.org/officeDocument/2006/relationships/hyperlink" Target="http://www.montana.edu/" TargetMode="External"/><Relationship Id="rId2309" Type="http://schemas.openxmlformats.org/officeDocument/2006/relationships/hyperlink" Target="http://scholarworks.montana.edu/xmlui/" TargetMode="External"/><Relationship Id="rId1620" Type="http://schemas.openxmlformats.org/officeDocument/2006/relationships/hyperlink" Target="http://roarmap.eprints.org/71/" TargetMode="External"/><Relationship Id="rId1621" Type="http://schemas.openxmlformats.org/officeDocument/2006/relationships/hyperlink" Target="http://www.istanbulbilim.edu.tr/?sc=d&amp;W=1366" TargetMode="External"/><Relationship Id="rId1622" Type="http://schemas.openxmlformats.org/officeDocument/2006/relationships/hyperlink" Target="http://roarmap.eprints.org/771/" TargetMode="External"/><Relationship Id="rId1623" Type="http://schemas.openxmlformats.org/officeDocument/2006/relationships/hyperlink" Target="http://sehir.edu.tr/Pages/anasayfa.aspx" TargetMode="External"/><Relationship Id="rId1624" Type="http://schemas.openxmlformats.org/officeDocument/2006/relationships/hyperlink" Target="http://www.sehir.edu.tr/en/Pages/Library/Sehir_Repository_Policy.aspx" TargetMode="External"/><Relationship Id="rId1625" Type="http://schemas.openxmlformats.org/officeDocument/2006/relationships/hyperlink" Target="http://earsiv.sehir.edu.tr:8080/xmlui/" TargetMode="External"/><Relationship Id="rId1626" Type="http://schemas.openxmlformats.org/officeDocument/2006/relationships/hyperlink" Target="http://roarmap.eprints.org/49/" TargetMode="External"/><Relationship Id="rId1627" Type="http://schemas.openxmlformats.org/officeDocument/2006/relationships/hyperlink" Target="http://www.iyte.edu.tr/" TargetMode="External"/><Relationship Id="rId1628" Type="http://schemas.openxmlformats.org/officeDocument/2006/relationships/hyperlink" Target="http://library.iyte.edu.tr/dosya/AcikErisim.pdf" TargetMode="External"/><Relationship Id="rId1629" Type="http://schemas.openxmlformats.org/officeDocument/2006/relationships/hyperlink" Target="http://openaccess.iyte.edu.tr:8080/xmlui/" TargetMode="External"/><Relationship Id="rId1230" Type="http://schemas.openxmlformats.org/officeDocument/2006/relationships/hyperlink" Target="http://genesandcells.com/" TargetMode="External"/><Relationship Id="rId1231" Type="http://schemas.openxmlformats.org/officeDocument/2006/relationships/hyperlink" Target="http://genesandcells.com/index.php/gnc/oai" TargetMode="External"/><Relationship Id="rId770" Type="http://schemas.openxmlformats.org/officeDocument/2006/relationships/hyperlink" Target="http://www.eprints.org/openaccess/policysignup/fullinfo.php?inst=The%20University%20of%20Hong%20Kong" TargetMode="External"/><Relationship Id="rId771" Type="http://schemas.openxmlformats.org/officeDocument/2006/relationships/hyperlink" Target="http://hub.hku.hk/" TargetMode="External"/><Relationship Id="rId772" Type="http://schemas.openxmlformats.org/officeDocument/2006/relationships/hyperlink" Target="http://hub.hku.hk/local/oaPub.jsp" TargetMode="External"/><Relationship Id="rId773" Type="http://schemas.openxmlformats.org/officeDocument/2006/relationships/hyperlink" Target="http://roarmap.eprints.org/19/" TargetMode="External"/><Relationship Id="rId774" Type="http://schemas.openxmlformats.org/officeDocument/2006/relationships/hyperlink" Target="http://lib.hku.hk/" TargetMode="External"/><Relationship Id="rId775" Type="http://schemas.openxmlformats.org/officeDocument/2006/relationships/hyperlink" Target="http://hub.hku.hk/local/oaPolicy.jsp" TargetMode="External"/><Relationship Id="rId776" Type="http://schemas.openxmlformats.org/officeDocument/2006/relationships/hyperlink" Target="http://hub.hku.hk/" TargetMode="External"/><Relationship Id="rId777" Type="http://schemas.openxmlformats.org/officeDocument/2006/relationships/hyperlink" Target="http://roarmap.eprints.org/178/" TargetMode="External"/><Relationship Id="rId778" Type="http://schemas.openxmlformats.org/officeDocument/2006/relationships/hyperlink" Target="http://www.kormany.hu/en" TargetMode="External"/><Relationship Id="rId779" Type="http://schemas.openxmlformats.org/officeDocument/2006/relationships/hyperlink" Target="http://roarmap.eprints.org/179/" TargetMode="External"/><Relationship Id="rId380" Type="http://schemas.openxmlformats.org/officeDocument/2006/relationships/hyperlink" Target="http://www.teluq.ca/" TargetMode="External"/><Relationship Id="rId381" Type="http://schemas.openxmlformats.org/officeDocument/2006/relationships/hyperlink" Target="http://benhur.teluq.uquebec.ca/~mcouture/oa/accesLibreResol-UERST.htm" TargetMode="External"/><Relationship Id="rId382" Type="http://schemas.openxmlformats.org/officeDocument/2006/relationships/hyperlink" Target="http://roarmap.eprints.org/433/" TargetMode="External"/><Relationship Id="rId383" Type="http://schemas.openxmlformats.org/officeDocument/2006/relationships/hyperlink" Target="http://lcr.ucalgary.ca/" TargetMode="External"/><Relationship Id="rId384" Type="http://schemas.openxmlformats.org/officeDocument/2006/relationships/hyperlink" Target="http://library.ucalgary.ca/oa-mandate" TargetMode="External"/><Relationship Id="rId385" Type="http://schemas.openxmlformats.org/officeDocument/2006/relationships/hyperlink" Target="http://dspace.ucalgary.ca/" TargetMode="External"/><Relationship Id="rId386" Type="http://schemas.openxmlformats.org/officeDocument/2006/relationships/hyperlink" Target="http://library.ucalgary.ca/open-access-authors-fund" TargetMode="External"/><Relationship Id="rId387" Type="http://schemas.openxmlformats.org/officeDocument/2006/relationships/hyperlink" Target="http://roarmap.eprints.org/434/" TargetMode="External"/><Relationship Id="rId388" Type="http://schemas.openxmlformats.org/officeDocument/2006/relationships/hyperlink" Target="http://www.uoguelph.ca/" TargetMode="External"/><Relationship Id="rId389" Type="http://schemas.openxmlformats.org/officeDocument/2006/relationships/hyperlink" Target="http://atrium.lib.uoguelph.ca/" TargetMode="External"/><Relationship Id="rId1232" Type="http://schemas.openxmlformats.org/officeDocument/2006/relationships/hyperlink" Target="http://roarmap.eprints.org/627/" TargetMode="External"/><Relationship Id="rId1233" Type="http://schemas.openxmlformats.org/officeDocument/2006/relationships/hyperlink" Target="http://www.congreso.gob.pe/" TargetMode="External"/><Relationship Id="rId1234" Type="http://schemas.openxmlformats.org/officeDocument/2006/relationships/hyperlink" Target="http://roarmap.eprints.org/984/1/1188_Sustitutoria_27MAR2013.pdf" TargetMode="External"/><Relationship Id="rId1235" Type="http://schemas.openxmlformats.org/officeDocument/2006/relationships/hyperlink" Target="http://roarmap.eprints.org/628/" TargetMode="External"/><Relationship Id="rId1236" Type="http://schemas.openxmlformats.org/officeDocument/2006/relationships/hyperlink" Target="http://www.minam.gob.pe/" TargetMode="External"/><Relationship Id="rId1237" Type="http://schemas.openxmlformats.org/officeDocument/2006/relationships/hyperlink" Target="http://cdam.minam.gob.pe/index.php?lang=en" TargetMode="External"/><Relationship Id="rId1238" Type="http://schemas.openxmlformats.org/officeDocument/2006/relationships/hyperlink" Target="http://roarmap.eprints.org/629/" TargetMode="External"/><Relationship Id="rId1239" Type="http://schemas.openxmlformats.org/officeDocument/2006/relationships/hyperlink" Target="http://www.pucp.edu.pe/" TargetMode="External"/><Relationship Id="rId2310" Type="http://schemas.openxmlformats.org/officeDocument/2006/relationships/hyperlink" Target="http://roarmap.eprints.org/490/" TargetMode="External"/><Relationship Id="rId2311" Type="http://schemas.openxmlformats.org/officeDocument/2006/relationships/hyperlink" Target="http://ncar.ucar.edu/" TargetMode="External"/><Relationship Id="rId2312" Type="http://schemas.openxmlformats.org/officeDocument/2006/relationships/hyperlink" Target="https://www.fin.ucar.edu/polpro/section3/3-2.html" TargetMode="External"/><Relationship Id="rId2313" Type="http://schemas.openxmlformats.org/officeDocument/2006/relationships/hyperlink" Target="http://opensky.library.ucar.edu/" TargetMode="External"/><Relationship Id="rId2314" Type="http://schemas.openxmlformats.org/officeDocument/2006/relationships/hyperlink" Target="http://roarmap.eprints.org/491/" TargetMode="External"/><Relationship Id="rId2315" Type="http://schemas.openxmlformats.org/officeDocument/2006/relationships/hyperlink" Target="http://publicaccess.nih.gov/policy.htm" TargetMode="External"/><Relationship Id="rId2316" Type="http://schemas.openxmlformats.org/officeDocument/2006/relationships/hyperlink" Target="http://publicaccess.nih.gov/" TargetMode="External"/><Relationship Id="rId2317" Type="http://schemas.openxmlformats.org/officeDocument/2006/relationships/hyperlink" Target="http://www.ncbi.nlm.nih.gov/pmc/" TargetMode="External"/><Relationship Id="rId2318" Type="http://schemas.openxmlformats.org/officeDocument/2006/relationships/hyperlink" Target="http://roarmap.eprints.org/492/" TargetMode="External"/><Relationship Id="rId2319" Type="http://schemas.openxmlformats.org/officeDocument/2006/relationships/hyperlink" Target="https://home.oberlin.edu/" TargetMode="External"/><Relationship Id="rId1630" Type="http://schemas.openxmlformats.org/officeDocument/2006/relationships/hyperlink" Target="http://roarmap.eprints.org/54/" TargetMode="External"/><Relationship Id="rId1631" Type="http://schemas.openxmlformats.org/officeDocument/2006/relationships/hyperlink" Target="http://ikc.edu.tr/en/" TargetMode="External"/><Relationship Id="rId1632" Type="http://schemas.openxmlformats.org/officeDocument/2006/relationships/hyperlink" Target="http://lib.ikc.edu.tr/sayfa/acik-erisim-ve-kurumsal-arsiv-politikasi" TargetMode="External"/><Relationship Id="rId1633" Type="http://schemas.openxmlformats.org/officeDocument/2006/relationships/hyperlink" Target="http://roarmap.eprints.org/68/" TargetMode="External"/><Relationship Id="rId1634" Type="http://schemas.openxmlformats.org/officeDocument/2006/relationships/hyperlink" Target="http://www.karatay.edu.tr/" TargetMode="External"/><Relationship Id="rId1635" Type="http://schemas.openxmlformats.org/officeDocument/2006/relationships/hyperlink" Target="http://acikerisim.karatay.edu.tr/xmlui/?locale-attribute=en" TargetMode="External"/><Relationship Id="rId1636" Type="http://schemas.openxmlformats.org/officeDocument/2006/relationships/hyperlink" Target="http://roarmap.eprints.org/50/" TargetMode="External"/><Relationship Id="rId1637" Type="http://schemas.openxmlformats.org/officeDocument/2006/relationships/hyperlink" Target="http://www.metu.edu.tr/" TargetMode="External"/><Relationship Id="rId1638" Type="http://schemas.openxmlformats.org/officeDocument/2006/relationships/hyperlink" Target="http://etd.lib.metu.edu.tr/oai" TargetMode="External"/><Relationship Id="rId1639" Type="http://schemas.openxmlformats.org/officeDocument/2006/relationships/hyperlink" Target="http://roarmap.eprints.org/61/" TargetMode="External"/><Relationship Id="rId1240" Type="http://schemas.openxmlformats.org/officeDocument/2006/relationships/hyperlink" Target="http://tesis.pucp.edu.pe/repositorio/" TargetMode="External"/><Relationship Id="rId1241" Type="http://schemas.openxmlformats.org/officeDocument/2006/relationships/hyperlink" Target="http://roarmap.eprints.org/630/" TargetMode="External"/><Relationship Id="rId780" Type="http://schemas.openxmlformats.org/officeDocument/2006/relationships/hyperlink" Target="http://www.otka.hu" TargetMode="External"/><Relationship Id="rId781" Type="http://schemas.openxmlformats.org/officeDocument/2006/relationships/hyperlink" Target="http://www.otka.hu/open-access" TargetMode="External"/><Relationship Id="rId782" Type="http://schemas.openxmlformats.org/officeDocument/2006/relationships/hyperlink" Target="http://real.mtak.hu" TargetMode="External"/><Relationship Id="rId783" Type="http://schemas.openxmlformats.org/officeDocument/2006/relationships/hyperlink" Target="http://roarmap.eprints.org/180/" TargetMode="External"/><Relationship Id="rId784" Type="http://schemas.openxmlformats.org/officeDocument/2006/relationships/hyperlink" Target="http://mta.hu/english/" TargetMode="External"/><Relationship Id="rId785" Type="http://schemas.openxmlformats.org/officeDocument/2006/relationships/hyperlink" Target="http://real.mtak.hu/eprints/mandate.html" TargetMode="External"/><Relationship Id="rId786" Type="http://schemas.openxmlformats.org/officeDocument/2006/relationships/hyperlink" Target="http://real.mtak.hu" TargetMode="External"/><Relationship Id="rId787" Type="http://schemas.openxmlformats.org/officeDocument/2006/relationships/hyperlink" Target="http://roarmap.eprints.org/181/" TargetMode="External"/><Relationship Id="rId788" Type="http://schemas.openxmlformats.org/officeDocument/2006/relationships/hyperlink" Target="http://www.bifrost.is/" TargetMode="External"/><Relationship Id="rId789" Type="http://schemas.openxmlformats.org/officeDocument/2006/relationships/hyperlink" Target="http://roarmap.eprints.org/606/1/bifrostmand.pdf" TargetMode="External"/><Relationship Id="rId390" Type="http://schemas.openxmlformats.org/officeDocument/2006/relationships/hyperlink" Target="http://roarmap.eprints.org/435/" TargetMode="External"/><Relationship Id="rId391" Type="http://schemas.openxmlformats.org/officeDocument/2006/relationships/hyperlink" Target="http://www.uoguelph.ca/ses/" TargetMode="External"/><Relationship Id="rId392" Type="http://schemas.openxmlformats.org/officeDocument/2006/relationships/hyperlink" Target="https://atrium.lib.uoguelph.ca/xmlui/handle/10214/1995" TargetMode="External"/><Relationship Id="rId393" Type="http://schemas.openxmlformats.org/officeDocument/2006/relationships/hyperlink" Target="http://atrium.lib.uoguelph.ca/" TargetMode="External"/><Relationship Id="rId394" Type="http://schemas.openxmlformats.org/officeDocument/2006/relationships/hyperlink" Target="http://roarmap.eprints.org/436/" TargetMode="External"/><Relationship Id="rId395" Type="http://schemas.openxmlformats.org/officeDocument/2006/relationships/hyperlink" Target="http://www.uottawa.ca/en" TargetMode="External"/><Relationship Id="rId396" Type="http://schemas.openxmlformats.org/officeDocument/2006/relationships/hyperlink" Target="http://www.ruor.uottawa.ca/en/static/help-thesis-submission.htm" TargetMode="External"/><Relationship Id="rId397" Type="http://schemas.openxmlformats.org/officeDocument/2006/relationships/hyperlink" Target="http://www.ruor.uottawa.ca/en/" TargetMode="External"/><Relationship Id="rId398" Type="http://schemas.openxmlformats.org/officeDocument/2006/relationships/hyperlink" Target="http://scholarlycommunication.uottawa.ca/uottawa-initiatives/author-fund" TargetMode="External"/><Relationship Id="rId399" Type="http://schemas.openxmlformats.org/officeDocument/2006/relationships/hyperlink" Target="http://roarmap.eprints.org/437/" TargetMode="External"/><Relationship Id="rId1242" Type="http://schemas.openxmlformats.org/officeDocument/2006/relationships/hyperlink" Target="http://www.unmsm.edu.pe/" TargetMode="External"/><Relationship Id="rId1243" Type="http://schemas.openxmlformats.org/officeDocument/2006/relationships/hyperlink" Target="http://ateneo.unmsm.edu.pe/ateneo/index.jsp" TargetMode="External"/><Relationship Id="rId1244" Type="http://schemas.openxmlformats.org/officeDocument/2006/relationships/hyperlink" Target="http://roarmap.eprints.org/734/" TargetMode="External"/><Relationship Id="rId1245" Type="http://schemas.openxmlformats.org/officeDocument/2006/relationships/hyperlink" Target="http://www.upc.edu.pe" TargetMode="External"/><Relationship Id="rId1246" Type="http://schemas.openxmlformats.org/officeDocument/2006/relationships/hyperlink" Target="http://repositorioacademico.upc.edu.pe/upc/PoliticaRAUPC.pdf" TargetMode="External"/><Relationship Id="rId1247" Type="http://schemas.openxmlformats.org/officeDocument/2006/relationships/hyperlink" Target="http://repositorioacademico.upc.edu.pe" TargetMode="External"/><Relationship Id="rId1248" Type="http://schemas.openxmlformats.org/officeDocument/2006/relationships/hyperlink" Target="http://roarmap.eprints.org/675/" TargetMode="External"/><Relationship Id="rId1249" Type="http://schemas.openxmlformats.org/officeDocument/2006/relationships/hyperlink" Target="http://udep.edu.pe" TargetMode="External"/><Relationship Id="rId2320" Type="http://schemas.openxmlformats.org/officeDocument/2006/relationships/hyperlink" Target="http://oberlin.edu/library/programs/openaccess/resolution.html" TargetMode="External"/><Relationship Id="rId2321" Type="http://schemas.openxmlformats.org/officeDocument/2006/relationships/hyperlink" Target="http://ohio5.openrepository.com/ohio5/handle/11282/293015" TargetMode="External"/><Relationship Id="rId2322" Type="http://schemas.openxmlformats.org/officeDocument/2006/relationships/hyperlink" Target="http://roarmap.eprints.org/493/" TargetMode="External"/><Relationship Id="rId2323" Type="http://schemas.openxmlformats.org/officeDocument/2006/relationships/hyperlink" Target="http://oregonstate.edu/" TargetMode="External"/><Relationship Id="rId2324" Type="http://schemas.openxmlformats.org/officeDocument/2006/relationships/hyperlink" Target="http://cdss.library.oregonstate.edu/sites/default/files/osu_openacesspolicy_final_single_page.pdf" TargetMode="External"/><Relationship Id="rId2325" Type="http://schemas.openxmlformats.org/officeDocument/2006/relationships/hyperlink" Target="http://ir.library.oregonstate.edu" TargetMode="External"/><Relationship Id="rId2326" Type="http://schemas.openxmlformats.org/officeDocument/2006/relationships/hyperlink" Target="http://roarmap.eprints.org/494/" TargetMode="External"/><Relationship Id="rId2327" Type="http://schemas.openxmlformats.org/officeDocument/2006/relationships/hyperlink" Target="http://ceoas.oregonstate.edu/" TargetMode="External"/><Relationship Id="rId2328" Type="http://schemas.openxmlformats.org/officeDocument/2006/relationships/hyperlink" Target="http://ceoas.oregonstate.edu/facultystaff/files/Open_Access_Policy.pdf" TargetMode="External"/><Relationship Id="rId2329" Type="http://schemas.openxmlformats.org/officeDocument/2006/relationships/hyperlink" Target="http://ir.library.oregonstate.edu/xmlui/handle/1957/1309" TargetMode="External"/><Relationship Id="rId1640" Type="http://schemas.openxmlformats.org/officeDocument/2006/relationships/hyperlink" Target="http://www.pirireis.edu.tr/en/" TargetMode="External"/><Relationship Id="rId1641" Type="http://schemas.openxmlformats.org/officeDocument/2006/relationships/hyperlink" Target="http://roarmap.eprints.org/65/" TargetMode="External"/><Relationship Id="rId1642" Type="http://schemas.openxmlformats.org/officeDocument/2006/relationships/hyperlink" Target="http://www.sinop.edu.tr/" TargetMode="External"/><Relationship Id="rId1643" Type="http://schemas.openxmlformats.org/officeDocument/2006/relationships/hyperlink" Target="http://roarmap.eprints.org/57/" TargetMode="External"/><Relationship Id="rId1644" Type="http://schemas.openxmlformats.org/officeDocument/2006/relationships/hyperlink" Target="http://www.sirnak.edu.tr/yeni/index_eng.php" TargetMode="External"/><Relationship Id="rId1645" Type="http://schemas.openxmlformats.org/officeDocument/2006/relationships/hyperlink" Target="http://roarmap.eprints.org/53/" TargetMode="External"/><Relationship Id="rId1646" Type="http://schemas.openxmlformats.org/officeDocument/2006/relationships/hyperlink" Target="http://www.tedankara.k12.tr/public/english/" TargetMode="External"/><Relationship Id="rId1647" Type="http://schemas.openxmlformats.org/officeDocument/2006/relationships/hyperlink" Target="http://tedprints.tedankara.k12.tr/policies.html" TargetMode="External"/><Relationship Id="rId1648" Type="http://schemas.openxmlformats.org/officeDocument/2006/relationships/hyperlink" Target="http://tedprints.tedankara.k12.tr/" TargetMode="External"/><Relationship Id="rId1649" Type="http://schemas.openxmlformats.org/officeDocument/2006/relationships/hyperlink" Target="http://roarmap.eprints.org/56/" TargetMode="External"/><Relationship Id="rId1250" Type="http://schemas.openxmlformats.org/officeDocument/2006/relationships/hyperlink" Target="http://pirhua.udep.edu.pe/" TargetMode="External"/><Relationship Id="rId1251" Type="http://schemas.openxmlformats.org/officeDocument/2006/relationships/hyperlink" Target="http://roarmap.eprints.org/256/" TargetMode="External"/><Relationship Id="rId790" Type="http://schemas.openxmlformats.org/officeDocument/2006/relationships/hyperlink" Target="http://skemman.is/en/" TargetMode="External"/><Relationship Id="rId791" Type="http://schemas.openxmlformats.org/officeDocument/2006/relationships/hyperlink" Target="http://roarmap.eprints.org/182/" TargetMode="External"/><Relationship Id="rId792" Type="http://schemas.openxmlformats.org/officeDocument/2006/relationships/hyperlink" Target="http://www.rannis.is/" TargetMode="External"/><Relationship Id="rId793" Type="http://schemas.openxmlformats.org/officeDocument/2006/relationships/hyperlink" Target="http://www.rannis.is/starfsemi/opinn-adgangur/" TargetMode="External"/><Relationship Id="rId794" Type="http://schemas.openxmlformats.org/officeDocument/2006/relationships/hyperlink" Target="http://www.rannis.is/sjodir/opinn-adgangur/" TargetMode="External"/><Relationship Id="rId795" Type="http://schemas.openxmlformats.org/officeDocument/2006/relationships/hyperlink" Target="http://roarmap.eprints.org/774/" TargetMode="External"/><Relationship Id="rId796" Type="http://schemas.openxmlformats.org/officeDocument/2006/relationships/hyperlink" Target="http://www.ru.is" TargetMode="External"/><Relationship Id="rId797" Type="http://schemas.openxmlformats.org/officeDocument/2006/relationships/hyperlink" Target="http://en.ru.is/media/hr/skjol/RU-OA-Policy---Approved-by-RU-Executive-Committee-November-13-2014.pdf" TargetMode="External"/><Relationship Id="rId798" Type="http://schemas.openxmlformats.org/officeDocument/2006/relationships/hyperlink" Target="http://skemman.is/en/" TargetMode="External"/><Relationship Id="rId799" Type="http://schemas.openxmlformats.org/officeDocument/2006/relationships/hyperlink" Target="http://roarmap.eprints.org/758/" TargetMode="External"/><Relationship Id="rId1252" Type="http://schemas.openxmlformats.org/officeDocument/2006/relationships/hyperlink" Target="http://amu.edu.pl/" TargetMode="External"/><Relationship Id="rId1253" Type="http://schemas.openxmlformats.org/officeDocument/2006/relationships/hyperlink" Target="http://repozytorium.amu.edu.pl" TargetMode="External"/><Relationship Id="rId1254" Type="http://schemas.openxmlformats.org/officeDocument/2006/relationships/hyperlink" Target="http://roarmap.eprints.org/257/" TargetMode="External"/><Relationship Id="rId1255" Type="http://schemas.openxmlformats.org/officeDocument/2006/relationships/hyperlink" Target="http://www.ibb.waw.pl" TargetMode="External"/><Relationship Id="rId1256" Type="http://schemas.openxmlformats.org/officeDocument/2006/relationships/hyperlink" Target="http://roarmap.eprints.org/258/" TargetMode="External"/><Relationship Id="rId1257" Type="http://schemas.openxmlformats.org/officeDocument/2006/relationships/hyperlink" Target="http://www.chlc.min-saude.pt/homepage.aspx?menuid=1" TargetMode="External"/><Relationship Id="rId1258" Type="http://schemas.openxmlformats.org/officeDocument/2006/relationships/hyperlink" Target="http://repositorio.chlc.min-saude.pt/resources/politica_repositorio_chlc.pdf" TargetMode="External"/><Relationship Id="rId1259" Type="http://schemas.openxmlformats.org/officeDocument/2006/relationships/hyperlink" Target="http://repositorio.chlc.min-saude.pt/" TargetMode="External"/><Relationship Id="rId2330" Type="http://schemas.openxmlformats.org/officeDocument/2006/relationships/hyperlink" Target="http://roarmap.eprints.org/495/" TargetMode="External"/><Relationship Id="rId2331" Type="http://schemas.openxmlformats.org/officeDocument/2006/relationships/hyperlink" Target="http://osulibrary.oregonstate.edu/" TargetMode="External"/><Relationship Id="rId2332" Type="http://schemas.openxmlformats.org/officeDocument/2006/relationships/hyperlink" Target="http://ir.library.oregonstate.edu/xmlui/bitstream/handle/1957/10850/Library%20Faculty%20Open%20Access%20Policy%2020091113%20revision.pdf?sequence=7" TargetMode="External"/><Relationship Id="rId2333" Type="http://schemas.openxmlformats.org/officeDocument/2006/relationships/hyperlink" Target="http://ir.library.oregonstate.edu/xmlui/" TargetMode="External"/><Relationship Id="rId2334" Type="http://schemas.openxmlformats.org/officeDocument/2006/relationships/hyperlink" Target="http://roarmap.eprints.org/747/" TargetMode="External"/><Relationship Id="rId2335" Type="http://schemas.openxmlformats.org/officeDocument/2006/relationships/hyperlink" Target="http://www.pacificu.edu/" TargetMode="External"/><Relationship Id="rId2336" Type="http://schemas.openxmlformats.org/officeDocument/2006/relationships/hyperlink" Target="http://www.pacificu.edu/sites/default/files/documents/PU_OA_Resolution_Approved.pdf" TargetMode="External"/><Relationship Id="rId2337" Type="http://schemas.openxmlformats.org/officeDocument/2006/relationships/hyperlink" Target="http://commons.pacificu.edu/" TargetMode="External"/><Relationship Id="rId2338" Type="http://schemas.openxmlformats.org/officeDocument/2006/relationships/hyperlink" Target="http://roarmap.eprints.org/714/" TargetMode="External"/><Relationship Id="rId2339" Type="http://schemas.openxmlformats.org/officeDocument/2006/relationships/hyperlink" Target="http://www.libraries.psu.edu" TargetMode="External"/><Relationship Id="rId1650" Type="http://schemas.openxmlformats.org/officeDocument/2006/relationships/hyperlink" Target="http://www-en.trakya.edu.tr/" TargetMode="External"/><Relationship Id="rId1651" Type="http://schemas.openxmlformats.org/officeDocument/2006/relationships/hyperlink" Target="http://193.255.140.18/yordamaays/Kapsam.htm" TargetMode="External"/><Relationship Id="rId1652" Type="http://schemas.openxmlformats.org/officeDocument/2006/relationships/hyperlink" Target="http://193.255.140.18/YordamAAYS/Yordam.htm" TargetMode="External"/><Relationship Id="rId1653" Type="http://schemas.openxmlformats.org/officeDocument/2006/relationships/hyperlink" Target="http://roarmap.eprints.org/52/" TargetMode="External"/><Relationship Id="rId1654" Type="http://schemas.openxmlformats.org/officeDocument/2006/relationships/hyperlink" Target="http://www.bby.hacettepe.edu.tr/" TargetMode="External"/><Relationship Id="rId1655" Type="http://schemas.openxmlformats.org/officeDocument/2006/relationships/hyperlink" Target="http://bbytezarsivi.hacettepe.edu.tr:8080/jspui/" TargetMode="External"/><Relationship Id="rId1656" Type="http://schemas.openxmlformats.org/officeDocument/2006/relationships/hyperlink" Target="http://roarmap.eprints.org/748/" TargetMode="External"/><Relationship Id="rId1657" Type="http://schemas.openxmlformats.org/officeDocument/2006/relationships/hyperlink" Target="http://kutuphane.tbmm.gov.tr" TargetMode="External"/><Relationship Id="rId1658" Type="http://schemas.openxmlformats.org/officeDocument/2006/relationships/hyperlink" Target="http://acikerisim.tbmm.gov.tr:8080/dokumanlar/politika.htm" TargetMode="External"/><Relationship Id="rId1659" Type="http://schemas.openxmlformats.org/officeDocument/2006/relationships/hyperlink" Target="http://acikerisim.tbmm.gov.tr:8080/xmlui/" TargetMode="External"/><Relationship Id="rId1260" Type="http://schemas.openxmlformats.org/officeDocument/2006/relationships/hyperlink" Target="http://roarmap.eprints.org/259/" TargetMode="External"/><Relationship Id="rId1261" Type="http://schemas.openxmlformats.org/officeDocument/2006/relationships/hyperlink" Target="http://www.esepf.pt/" TargetMode="External"/><Relationship Id="rId1262" Type="http://schemas.openxmlformats.org/officeDocument/2006/relationships/hyperlink" Target="http://repositorio.esepf.pt/" TargetMode="External"/><Relationship Id="rId1263" Type="http://schemas.openxmlformats.org/officeDocument/2006/relationships/hyperlink" Target="http://roarmap.eprints.org/260/" TargetMode="External"/><Relationship Id="rId1264" Type="http://schemas.openxmlformats.org/officeDocument/2006/relationships/hyperlink" Target="http://www.fct.pt/" TargetMode="External"/><Relationship Id="rId1265" Type="http://schemas.openxmlformats.org/officeDocument/2006/relationships/hyperlink" Target="http://roarmap.eprints.org/262/" TargetMode="External"/><Relationship Id="rId1266" Type="http://schemas.openxmlformats.org/officeDocument/2006/relationships/hyperlink" Target="http://www.hff.min-saude.pt/" TargetMode="External"/><Relationship Id="rId1267" Type="http://schemas.openxmlformats.org/officeDocument/2006/relationships/hyperlink" Target="http://www.chuc.min-saude.pt/media/Deliberacao_CA-CHUC_nordm_25-2013.pdf" TargetMode="External"/><Relationship Id="rId1268" Type="http://schemas.openxmlformats.org/officeDocument/2006/relationships/hyperlink" Target="http://rihuc.huc.min-saude.pt/" TargetMode="External"/><Relationship Id="rId1269" Type="http://schemas.openxmlformats.org/officeDocument/2006/relationships/hyperlink" Target="http://roarmap.eprints.org/261/" TargetMode="External"/><Relationship Id="rId2340" Type="http://schemas.openxmlformats.org/officeDocument/2006/relationships/hyperlink" Target="http://www.libraries.psu.edu/psul/pubcur/LFOandOA/Libraries_OA_Policy_Notes.html" TargetMode="External"/><Relationship Id="rId2341" Type="http://schemas.openxmlformats.org/officeDocument/2006/relationships/hyperlink" Target="https://scholarsphere.psu.edu/" TargetMode="External"/><Relationship Id="rId2342" Type="http://schemas.openxmlformats.org/officeDocument/2006/relationships/hyperlink" Target="http://roarmap.eprints.org/496/" TargetMode="External"/><Relationship Id="rId2343" Type="http://schemas.openxmlformats.org/officeDocument/2006/relationships/hyperlink" Target="http://www.princeton.edu/" TargetMode="External"/><Relationship Id="rId2344" Type="http://schemas.openxmlformats.org/officeDocument/2006/relationships/hyperlink" Target="http://www.cs.princeton.edu/~appel/open-access-report.pdf" TargetMode="External"/><Relationship Id="rId2345" Type="http://schemas.openxmlformats.org/officeDocument/2006/relationships/hyperlink" Target="http://dataspace.princeton.edu/jspui/" TargetMode="External"/><Relationship Id="rId2346" Type="http://schemas.openxmlformats.org/officeDocument/2006/relationships/hyperlink" Target="http://roarmap.eprints.org/497/" TargetMode="External"/><Relationship Id="rId2347" Type="http://schemas.openxmlformats.org/officeDocument/2006/relationships/hyperlink" Target="http://www.rice.edu/" TargetMode="External"/><Relationship Id="rId2348" Type="http://schemas.openxmlformats.org/officeDocument/2006/relationships/hyperlink" Target="http://openaccess.rice.edu/rice-faculty-senate-policy/" TargetMode="External"/><Relationship Id="rId2349" Type="http://schemas.openxmlformats.org/officeDocument/2006/relationships/hyperlink" Target="http://scholarship.rice.edu/" TargetMode="External"/><Relationship Id="rId400" Type="http://schemas.openxmlformats.org/officeDocument/2006/relationships/hyperlink" Target="http://www.utoronto.com/" TargetMode="External"/><Relationship Id="rId401" Type="http://schemas.openxmlformats.org/officeDocument/2006/relationships/hyperlink" Target="http://www.oise.utoronto.ca/research/UserFiles/File/OA_Policy.pdf" TargetMode="External"/><Relationship Id="rId402" Type="http://schemas.openxmlformats.org/officeDocument/2006/relationships/hyperlink" Target="https://tspace.library.utoronto.ca/" TargetMode="External"/><Relationship Id="rId403" Type="http://schemas.openxmlformats.org/officeDocument/2006/relationships/hyperlink" Target="http://onesearch.library.utoronto.ca/university-toronto-libraries-open-access-author-fund" TargetMode="External"/><Relationship Id="rId404" Type="http://schemas.openxmlformats.org/officeDocument/2006/relationships/hyperlink" Target="http://roarmap.eprints.org/438/" TargetMode="External"/><Relationship Id="rId405" Type="http://schemas.openxmlformats.org/officeDocument/2006/relationships/hyperlink" Target="http://www.library.yorku.ca" TargetMode="External"/><Relationship Id="rId406" Type="http://schemas.openxmlformats.org/officeDocument/2006/relationships/hyperlink" Target="http://www.library.yorku.ca/cms/open-access/" TargetMode="External"/><Relationship Id="rId407" Type="http://schemas.openxmlformats.org/officeDocument/2006/relationships/hyperlink" Target="http://yorkspace.library.yorku.ca/" TargetMode="External"/><Relationship Id="rId408" Type="http://schemas.openxmlformats.org/officeDocument/2006/relationships/hyperlink" Target="http://researchguides.library.yorku.ca/content.php?pid=258206" TargetMode="External"/><Relationship Id="rId409" Type="http://schemas.openxmlformats.org/officeDocument/2006/relationships/hyperlink" Target="http://roarmap.eprints.org/439/" TargetMode="External"/><Relationship Id="rId1660" Type="http://schemas.openxmlformats.org/officeDocument/2006/relationships/hyperlink" Target="http://roarmap.eprints.org/55/" TargetMode="External"/><Relationship Id="rId1661" Type="http://schemas.openxmlformats.org/officeDocument/2006/relationships/hyperlink" Target="http://www.yalova.edu.tr/" TargetMode="External"/><Relationship Id="rId1662" Type="http://schemas.openxmlformats.org/officeDocument/2006/relationships/hyperlink" Target="http://dspace.yalova.edu.tr/bitstream/handle/123456789/8/acikerisim.pdf?sequence=1" TargetMode="External"/><Relationship Id="rId1663" Type="http://schemas.openxmlformats.org/officeDocument/2006/relationships/hyperlink" Target="http://dspace.yalova.edu.tr/" TargetMode="External"/><Relationship Id="rId1664" Type="http://schemas.openxmlformats.org/officeDocument/2006/relationships/hyperlink" Target="http://roarmap.eprints.org/74/" TargetMode="External"/><Relationship Id="rId1665" Type="http://schemas.openxmlformats.org/officeDocument/2006/relationships/hyperlink" Target="http://www.yasar.edu.tr/en/" TargetMode="External"/><Relationship Id="rId1666" Type="http://schemas.openxmlformats.org/officeDocument/2006/relationships/hyperlink" Target="http://roarmap.eprints.org/69/" TargetMode="External"/><Relationship Id="rId1667" Type="http://schemas.openxmlformats.org/officeDocument/2006/relationships/hyperlink" Target="http://www.ybu.edu.tr/" TargetMode="External"/><Relationship Id="rId1668" Type="http://schemas.openxmlformats.org/officeDocument/2006/relationships/hyperlink" Target="http://www.ybu.edu.tr/kutuphane/custom_page-346-ybu-acik-erisim-politikasi.html" TargetMode="External"/><Relationship Id="rId1669" Type="http://schemas.openxmlformats.org/officeDocument/2006/relationships/hyperlink" Target="http://acikerisim.ybu.edu.tr:8080/xmlui/" TargetMode="External"/><Relationship Id="rId1270" Type="http://schemas.openxmlformats.org/officeDocument/2006/relationships/hyperlink" Target="http://www.hff.min-saude.pt/" TargetMode="External"/><Relationship Id="rId1271" Type="http://schemas.openxmlformats.org/officeDocument/2006/relationships/hyperlink" Target="http://www.hff.min-saude.pt/media/content/DA_0281_T_CA_v01_-_Politica_de_Acesso_Aberto_do_Hospital_Prof_Dr_Fernando_Fonseca_EPE.pdf" TargetMode="External"/><Relationship Id="rId1272" Type="http://schemas.openxmlformats.org/officeDocument/2006/relationships/hyperlink" Target="http://repositorio.hff.min-saude.pt/" TargetMode="External"/><Relationship Id="rId1273" Type="http://schemas.openxmlformats.org/officeDocument/2006/relationships/hyperlink" Target="http://roarmap.eprints.org/263/" TargetMode="External"/><Relationship Id="rId1274" Type="http://schemas.openxmlformats.org/officeDocument/2006/relationships/hyperlink" Target="http://www.iscte-iul.pt/home.aspx" TargetMode="External"/><Relationship Id="rId1275" Type="http://schemas.openxmlformats.org/officeDocument/2006/relationships/hyperlink" Target="https://repositorio.iscte-iul.pt/" TargetMode="External"/><Relationship Id="rId1276" Type="http://schemas.openxmlformats.org/officeDocument/2006/relationships/hyperlink" Target="http://roarmap.eprints.org/278/" TargetMode="External"/><Relationship Id="rId1277" Type="http://schemas.openxmlformats.org/officeDocument/2006/relationships/hyperlink" Target="http://www.ispa.pt/" TargetMode="External"/><Relationship Id="rId1278" Type="http://schemas.openxmlformats.org/officeDocument/2006/relationships/hyperlink" Target="http://cd.ispa.pt/pagina/politica-de-deposito" TargetMode="External"/><Relationship Id="rId1279" Type="http://schemas.openxmlformats.org/officeDocument/2006/relationships/hyperlink" Target="http://cd.ispa.pt/pagina/http/repositorio.ispa.pt" TargetMode="External"/><Relationship Id="rId2350" Type="http://schemas.openxmlformats.org/officeDocument/2006/relationships/hyperlink" Target="http://roarmap.eprints.org/498/" TargetMode="External"/><Relationship Id="rId2351" Type="http://schemas.openxmlformats.org/officeDocument/2006/relationships/hyperlink" Target="http://www.rollins.edu/" TargetMode="External"/><Relationship Id="rId2352" Type="http://schemas.openxmlformats.org/officeDocument/2006/relationships/hyperlink" Target="http://scholarship.rollins.edu/open_access_policy.pdf" TargetMode="External"/><Relationship Id="rId2353" Type="http://schemas.openxmlformats.org/officeDocument/2006/relationships/hyperlink" Target="http://scholarship.rollins.edu" TargetMode="External"/><Relationship Id="rId2354" Type="http://schemas.openxmlformats.org/officeDocument/2006/relationships/hyperlink" Target="http://roarmap.eprints.org/499/" TargetMode="External"/><Relationship Id="rId2355" Type="http://schemas.openxmlformats.org/officeDocument/2006/relationships/hyperlink" Target="https://www.rutgers.edu/" TargetMode="External"/><Relationship Id="rId2356" Type="http://schemas.openxmlformats.org/officeDocument/2006/relationships/hyperlink" Target="http://policies.rutgers.edu/50317-currentpdf" TargetMode="External"/><Relationship Id="rId2357" Type="http://schemas.openxmlformats.org/officeDocument/2006/relationships/hyperlink" Target="https://rucore.libraries.rutgers.edu/" TargetMode="External"/><Relationship Id="rId2358" Type="http://schemas.openxmlformats.org/officeDocument/2006/relationships/hyperlink" Target="http://roarmap.eprints.org/500/" TargetMode="External"/><Relationship Id="rId2359" Type="http://schemas.openxmlformats.org/officeDocument/2006/relationships/hyperlink" Target="http://www.sjsu.edu/" TargetMode="External"/><Relationship Id="rId800" Type="http://schemas.openxmlformats.org/officeDocument/2006/relationships/hyperlink" Target="http://www.hi.is" TargetMode="External"/><Relationship Id="rId801" Type="http://schemas.openxmlformats.org/officeDocument/2006/relationships/hyperlink" Target="http://www.hi.is/adalvefur/stefna_um_opinn_adgang" TargetMode="External"/><Relationship Id="rId802" Type="http://schemas.openxmlformats.org/officeDocument/2006/relationships/hyperlink" Target="http://www.skemman.is" TargetMode="External"/><Relationship Id="rId803" Type="http://schemas.openxmlformats.org/officeDocument/2006/relationships/hyperlink" Target="http://roarmap.eprints.org/20/" TargetMode="External"/><Relationship Id="rId410" Type="http://schemas.openxmlformats.org/officeDocument/2006/relationships/hyperlink" Target="http://www.etsmtl.ca/" TargetMode="External"/><Relationship Id="rId411" Type="http://schemas.openxmlformats.org/officeDocument/2006/relationships/hyperlink" Target="http://espace.etsmtl.ca/" TargetMode="External"/><Relationship Id="rId412" Type="http://schemas.openxmlformats.org/officeDocument/2006/relationships/hyperlink" Target="http://roarmap.eprints.org/13/" TargetMode="External"/><Relationship Id="rId413" Type="http://schemas.openxmlformats.org/officeDocument/2006/relationships/hyperlink" Target="http://english.cas.cn" TargetMode="External"/><Relationship Id="rId414" Type="http://schemas.openxmlformats.org/officeDocument/2006/relationships/hyperlink" Target="http://english.cas.cn/Ne/CASE/201405/t20140516_121037.shtml" TargetMode="External"/><Relationship Id="rId415" Type="http://schemas.openxmlformats.org/officeDocument/2006/relationships/hyperlink" Target="http://roarmap.eprints.org/14/" TargetMode="External"/><Relationship Id="rId416" Type="http://schemas.openxmlformats.org/officeDocument/2006/relationships/hyperlink" Target="http://www.most.gov.cn/eng/" TargetMode="External"/><Relationship Id="rId417" Type="http://schemas.openxmlformats.org/officeDocument/2006/relationships/hyperlink" Target="http://www.codata.org/06conf/presentations/Keynotes/GuanhuaXU-OpenAccesstotheScientificData.pdf" TargetMode="External"/><Relationship Id="rId418" Type="http://schemas.openxmlformats.org/officeDocument/2006/relationships/hyperlink" Target="http://roarmap.eprints.org/15/" TargetMode="External"/><Relationship Id="rId419" Type="http://schemas.openxmlformats.org/officeDocument/2006/relationships/hyperlink" Target="http://www.nsfc.gov.cn/publish/portal1/" TargetMode="External"/><Relationship Id="rId804" Type="http://schemas.openxmlformats.org/officeDocument/2006/relationships/hyperlink" Target="http://www.bdu.ac.in/" TargetMode="External"/><Relationship Id="rId805" Type="http://schemas.openxmlformats.org/officeDocument/2006/relationships/hyperlink" Target="http://www.bdu.ac.in/about-ckr/" TargetMode="External"/><Relationship Id="rId806" Type="http://schemas.openxmlformats.org/officeDocument/2006/relationships/hyperlink" Target="http://roarmap.eprints.org/21/" TargetMode="External"/><Relationship Id="rId807" Type="http://schemas.openxmlformats.org/officeDocument/2006/relationships/hyperlink" Target="http://www.cgiar.org/" TargetMode="External"/><Relationship Id="rId808" Type="http://schemas.openxmlformats.org/officeDocument/2006/relationships/hyperlink" Target="http://www.cgiar.org/resources/open/" TargetMode="External"/><Relationship Id="rId809" Type="http://schemas.openxmlformats.org/officeDocument/2006/relationships/hyperlink" Target="http://roarmap.eprints.org/22/" TargetMode="External"/><Relationship Id="rId1670" Type="http://schemas.openxmlformats.org/officeDocument/2006/relationships/hyperlink" Target="http://roarmap.eprints.org/58/" TargetMode="External"/><Relationship Id="rId1671" Type="http://schemas.openxmlformats.org/officeDocument/2006/relationships/hyperlink" Target="http://www.zirve.edu.tr/en/" TargetMode="External"/><Relationship Id="rId1672" Type="http://schemas.openxmlformats.org/officeDocument/2006/relationships/hyperlink" Target="http://roarmap.eprints.org/70/" TargetMode="External"/><Relationship Id="rId1673" Type="http://schemas.openxmlformats.org/officeDocument/2006/relationships/hyperlink" Target="http://www.ozyegin.edu.tr/Anasayfa?lang=en-US" TargetMode="External"/><Relationship Id="rId1280" Type="http://schemas.openxmlformats.org/officeDocument/2006/relationships/hyperlink" Target="http://roarmap.eprints.org/265/" TargetMode="External"/><Relationship Id="rId1281" Type="http://schemas.openxmlformats.org/officeDocument/2006/relationships/hyperlink" Target="http://www.ipcb.pt/" TargetMode="External"/><Relationship Id="rId1282" Type="http://schemas.openxmlformats.org/officeDocument/2006/relationships/hyperlink" Target="http://roarmap.eprints.org/598/3/POLITICA_MANDATORIA_FINAL.pdf" TargetMode="External"/><Relationship Id="rId1283" Type="http://schemas.openxmlformats.org/officeDocument/2006/relationships/hyperlink" Target="http://repositorio.ipcb.pt/?locale=en" TargetMode="External"/><Relationship Id="rId1284" Type="http://schemas.openxmlformats.org/officeDocument/2006/relationships/hyperlink" Target="http://roarmap.eprints.org/266/" TargetMode="External"/><Relationship Id="rId1285" Type="http://schemas.openxmlformats.org/officeDocument/2006/relationships/hyperlink" Target="http://www.ipv.pt/" TargetMode="External"/><Relationship Id="rId1286" Type="http://schemas.openxmlformats.org/officeDocument/2006/relationships/hyperlink" Target="http://bibliotecas.esev.ipv.pt/opac-tmpl/prog/Books/despacho_6_2012.pdf" TargetMode="External"/><Relationship Id="rId1287" Type="http://schemas.openxmlformats.org/officeDocument/2006/relationships/hyperlink" Target="http://repositorio.ipv.pt/" TargetMode="External"/><Relationship Id="rId1288" Type="http://schemas.openxmlformats.org/officeDocument/2006/relationships/hyperlink" Target="http://roarmap.eprints.org/264/" TargetMode="External"/><Relationship Id="rId1289" Type="http://schemas.openxmlformats.org/officeDocument/2006/relationships/hyperlink" Target="http://portal3.ipb.pt/index.php/pt/ipb" TargetMode="External"/><Relationship Id="rId1674" Type="http://schemas.openxmlformats.org/officeDocument/2006/relationships/hyperlink" Target="https://eresearch.ozyegin.edu.tr/xmlui/" TargetMode="External"/><Relationship Id="rId1675" Type="http://schemas.openxmlformats.org/officeDocument/2006/relationships/hyperlink" Target="http://roarmap.eprints.org/643/" TargetMode="External"/><Relationship Id="rId1676" Type="http://schemas.openxmlformats.org/officeDocument/2006/relationships/hyperlink" Target="http://www.gelisim.edu.tr/" TargetMode="External"/><Relationship Id="rId1677" Type="http://schemas.openxmlformats.org/officeDocument/2006/relationships/hyperlink" Target="http://earsiv.gelisim.edu.tr:8080/xmlui/" TargetMode="External"/><Relationship Id="rId1678" Type="http://schemas.openxmlformats.org/officeDocument/2006/relationships/hyperlink" Target="http://roarmap.eprints.org/330/" TargetMode="External"/><Relationship Id="rId1679" Type="http://schemas.openxmlformats.org/officeDocument/2006/relationships/hyperlink" Target="http://donntu.edu.ua" TargetMode="External"/><Relationship Id="rId2360" Type="http://schemas.openxmlformats.org/officeDocument/2006/relationships/hyperlink" Target="http://www.sjsu.edu/gradstudies/docs/thesis_guidelines.pdf" TargetMode="External"/><Relationship Id="rId2361" Type="http://schemas.openxmlformats.org/officeDocument/2006/relationships/hyperlink" Target="http://scholarworks.sjsu.edu/" TargetMode="External"/><Relationship Id="rId2362" Type="http://schemas.openxmlformats.org/officeDocument/2006/relationships/hyperlink" Target="http://roarmap.eprints.org/501/" TargetMode="External"/><Relationship Id="rId2363" Type="http://schemas.openxmlformats.org/officeDocument/2006/relationships/hyperlink" Target="http://www.si.edu/" TargetMode="External"/><Relationship Id="rId2364" Type="http://schemas.openxmlformats.org/officeDocument/2006/relationships/hyperlink" Target="http://roarmap.eprints.org/502/" TargetMode="External"/><Relationship Id="rId2365" Type="http://schemas.openxmlformats.org/officeDocument/2006/relationships/hyperlink" Target="https://ed.stanford.edu/" TargetMode="External"/><Relationship Id="rId2366" Type="http://schemas.openxmlformats.org/officeDocument/2006/relationships/hyperlink" Target="https://ed.stanford.edu/faculty-research/open-archive/open-access-motion" TargetMode="External"/><Relationship Id="rId2367" Type="http://schemas.openxmlformats.org/officeDocument/2006/relationships/hyperlink" Target="https://openarchive.stanford.edu/" TargetMode="External"/><Relationship Id="rId2368" Type="http://schemas.openxmlformats.org/officeDocument/2006/relationships/hyperlink" Target="http://roarmap.eprints.org/503/" TargetMode="External"/><Relationship Id="rId2369" Type="http://schemas.openxmlformats.org/officeDocument/2006/relationships/hyperlink" Target="http://www.temple.edu/" TargetMode="External"/><Relationship Id="rId810" Type="http://schemas.openxmlformats.org/officeDocument/2006/relationships/hyperlink" Target="http://rdpp.csir.res.in/csir_acsir/Home.aspx" TargetMode="External"/><Relationship Id="rId811" Type="http://schemas.openxmlformats.org/officeDocument/2006/relationships/hyperlink" Target="http://www.csircentral.net/mandate.pdf" TargetMode="External"/><Relationship Id="rId812" Type="http://schemas.openxmlformats.org/officeDocument/2006/relationships/hyperlink" Target="http://opendepot.org/" TargetMode="External"/><Relationship Id="rId813" Type="http://schemas.openxmlformats.org/officeDocument/2006/relationships/hyperlink" Target="http://roarmap.eprints.org/651/" TargetMode="External"/><Relationship Id="rId420" Type="http://schemas.openxmlformats.org/officeDocument/2006/relationships/hyperlink" Target="http://roarmap.eprints.org/16/" TargetMode="External"/><Relationship Id="rId421" Type="http://schemas.openxmlformats.org/officeDocument/2006/relationships/hyperlink" Target="http://english.las.cas.cn/" TargetMode="External"/><Relationship Id="rId422" Type="http://schemas.openxmlformats.org/officeDocument/2006/relationships/hyperlink" Target="http://old.nlb.by/eifl/store/file/open_access_en/142-lin-en.pdf" TargetMode="External"/><Relationship Id="rId423" Type="http://schemas.openxmlformats.org/officeDocument/2006/relationships/hyperlink" Target="http://ir.las.ac.cn/" TargetMode="External"/><Relationship Id="rId424" Type="http://schemas.openxmlformats.org/officeDocument/2006/relationships/hyperlink" Target="http://roarmap.eprints.org/624/" TargetMode="External"/><Relationship Id="rId425" Type="http://schemas.openxmlformats.org/officeDocument/2006/relationships/hyperlink" Target="http://www.icesi.edu.co/" TargetMode="External"/><Relationship Id="rId426" Type="http://schemas.openxmlformats.org/officeDocument/2006/relationships/hyperlink" Target="http://bibliotecadigital.icesi.edu.co/biblioteca_digital/" TargetMode="External"/><Relationship Id="rId427" Type="http://schemas.openxmlformats.org/officeDocument/2006/relationships/hyperlink" Target="http://roarmap.eprints.org/625/" TargetMode="External"/><Relationship Id="rId428" Type="http://schemas.openxmlformats.org/officeDocument/2006/relationships/hyperlink" Target="http://unal.edu.co/" TargetMode="External"/><Relationship Id="rId429" Type="http://schemas.openxmlformats.org/officeDocument/2006/relationships/hyperlink" Target="http://roarmap.eprints.org/403/1/ResolucionTesis.pdf" TargetMode="External"/><Relationship Id="rId814" Type="http://schemas.openxmlformats.org/officeDocument/2006/relationships/hyperlink" Target="http://dst.gov.in/" TargetMode="External"/><Relationship Id="rId815" Type="http://schemas.openxmlformats.org/officeDocument/2006/relationships/hyperlink" Target="http://dst.gov.in/whats_new/whats_new14/APPROVED%20OPEN%20ACCESS%20POLICY-DBT&amp;DST(12.12.2014).pdf" TargetMode="External"/><Relationship Id="rId816" Type="http://schemas.openxmlformats.org/officeDocument/2006/relationships/hyperlink" Target="http://roarmap.eprints.org/635/" TargetMode="External"/><Relationship Id="rId817" Type="http://schemas.openxmlformats.org/officeDocument/2006/relationships/hyperlink" Target="http://www.icrisat.org/" TargetMode="External"/><Relationship Id="rId818" Type="http://schemas.openxmlformats.org/officeDocument/2006/relationships/hyperlink" Target="http://openaccess.eprints.org/index.php?/archives/579-Indias-3rd-Green-Open-Access-Self-Archiving-Mandate-Planets-82nd.html" TargetMode="External"/><Relationship Id="rId819" Type="http://schemas.openxmlformats.org/officeDocument/2006/relationships/hyperlink" Target="http://openaccess.icrisat.org/" TargetMode="External"/><Relationship Id="rId1680" Type="http://schemas.openxmlformats.org/officeDocument/2006/relationships/hyperlink" Target="http://roarmap.eprints.org/607/1/prikaz.jpg" TargetMode="External"/><Relationship Id="rId1681" Type="http://schemas.openxmlformats.org/officeDocument/2006/relationships/hyperlink" Target="http://ea.donntu.edu.ua:8080/jspui/" TargetMode="External"/><Relationship Id="rId1682" Type="http://schemas.openxmlformats.org/officeDocument/2006/relationships/hyperlink" Target="http://roarmap.eprints.org/331/" TargetMode="External"/><Relationship Id="rId1683" Type="http://schemas.openxmlformats.org/officeDocument/2006/relationships/hyperlink" Target="http://www.univer.kharkov.ua/en" TargetMode="External"/><Relationship Id="rId1290" Type="http://schemas.openxmlformats.org/officeDocument/2006/relationships/hyperlink" Target="http://www.ipb.pt/go/e852" TargetMode="External"/><Relationship Id="rId1291" Type="http://schemas.openxmlformats.org/officeDocument/2006/relationships/hyperlink" Target="https://bibliotecadigital.ipb.pt/" TargetMode="External"/><Relationship Id="rId1292" Type="http://schemas.openxmlformats.org/officeDocument/2006/relationships/hyperlink" Target="http://roarmap.eprints.org/267/" TargetMode="External"/><Relationship Id="rId1293" Type="http://schemas.openxmlformats.org/officeDocument/2006/relationships/hyperlink" Target="http://www.fct.unl.pt/" TargetMode="External"/><Relationship Id="rId1294" Type="http://schemas.openxmlformats.org/officeDocument/2006/relationships/hyperlink" Target="http://roarmap.eprints.org/268/" TargetMode="External"/><Relationship Id="rId1295" Type="http://schemas.openxmlformats.org/officeDocument/2006/relationships/hyperlink" Target="http://www.ipleiria.pt/Paginas/default.aspx" TargetMode="External"/><Relationship Id="rId1296" Type="http://schemas.openxmlformats.org/officeDocument/2006/relationships/hyperlink" Target="http://roarmap.eprints.org/436/1/Despacho_n%C2%BA_26-2011.pdf" TargetMode="External"/><Relationship Id="rId1297" Type="http://schemas.openxmlformats.org/officeDocument/2006/relationships/hyperlink" Target="http://repositorio.ipl.pt/" TargetMode="External"/><Relationship Id="rId1298" Type="http://schemas.openxmlformats.org/officeDocument/2006/relationships/hyperlink" Target="http://roarmap.eprints.org/269/" TargetMode="External"/><Relationship Id="rId1299" Type="http://schemas.openxmlformats.org/officeDocument/2006/relationships/hyperlink" Target="http://www.uab.pt/web/guest/home;jsessionid=69C4C7F7E49101DE4F8E65AA3CD165D6" TargetMode="External"/><Relationship Id="rId1684" Type="http://schemas.openxmlformats.org/officeDocument/2006/relationships/hyperlink" Target="http://roarmap.eprints.org/290/" TargetMode="External"/><Relationship Id="rId1685" Type="http://schemas.openxmlformats.org/officeDocument/2006/relationships/hyperlink" Target="http://dspace.univer.kharkov.ua/" TargetMode="External"/><Relationship Id="rId1686" Type="http://schemas.openxmlformats.org/officeDocument/2006/relationships/hyperlink" Target="http://roarmap.eprints.org/332/" TargetMode="External"/><Relationship Id="rId1687" Type="http://schemas.openxmlformats.org/officeDocument/2006/relationships/hyperlink" Target="http://www.knmu.kharkov.ua/" TargetMode="External"/><Relationship Id="rId1688" Type="http://schemas.openxmlformats.org/officeDocument/2006/relationships/hyperlink" Target="http://roarmap.eprints.org/531/" TargetMode="External"/><Relationship Id="rId1689" Type="http://schemas.openxmlformats.org/officeDocument/2006/relationships/hyperlink" Target="http://repo.knmu.edu.ua/" TargetMode="External"/><Relationship Id="rId2370" Type="http://schemas.openxmlformats.org/officeDocument/2006/relationships/hyperlink" Target="http://www.temple.edu/dissertationhandbook/publishcopyright.html" TargetMode="External"/><Relationship Id="rId2371" Type="http://schemas.openxmlformats.org/officeDocument/2006/relationships/hyperlink" Target="http://digital.library.temple.edu/cdm/" TargetMode="External"/><Relationship Id="rId2372" Type="http://schemas.openxmlformats.org/officeDocument/2006/relationships/hyperlink" Target="http://roarmap.eprints.org/504/" TargetMode="External"/><Relationship Id="rId2373" Type="http://schemas.openxmlformats.org/officeDocument/2006/relationships/hyperlink" Target="http://www.tamu.edu/" TargetMode="External"/><Relationship Id="rId2374" Type="http://schemas.openxmlformats.org/officeDocument/2006/relationships/hyperlink" Target="http://ogs.tamu.edu/wp-content/uploads/2012/07/Thesis_Manual_July_2013_minorrevision_8_22_13.pdf" TargetMode="External"/><Relationship Id="rId2375" Type="http://schemas.openxmlformats.org/officeDocument/2006/relationships/hyperlink" Target="http://oaktrust.library.tamu.edu/" TargetMode="External"/><Relationship Id="rId2376" Type="http://schemas.openxmlformats.org/officeDocument/2006/relationships/hyperlink" Target="http://roarmap.eprints.org/505/" TargetMode="External"/><Relationship Id="rId2377" Type="http://schemas.openxmlformats.org/officeDocument/2006/relationships/hyperlink" Target="http://www.wooster.edu/" TargetMode="External"/><Relationship Id="rId2378" Type="http://schemas.openxmlformats.org/officeDocument/2006/relationships/hyperlink" Target="http://openaccess.voices.wooster.edu/policy/" TargetMode="External"/><Relationship Id="rId2379" Type="http://schemas.openxmlformats.org/officeDocument/2006/relationships/hyperlink" Target="http://openworks.wooster.edu/" TargetMode="External"/><Relationship Id="rId820" Type="http://schemas.openxmlformats.org/officeDocument/2006/relationships/hyperlink" Target="http://roarmap.eprints.org/739/" TargetMode="External"/><Relationship Id="rId821" Type="http://schemas.openxmlformats.org/officeDocument/2006/relationships/hyperlink" Target="http://iith.ac.in/" TargetMode="External"/><Relationship Id="rId822" Type="http://schemas.openxmlformats.org/officeDocument/2006/relationships/hyperlink" Target="http://raiith.iith.ac.in/policies.html" TargetMode="External"/><Relationship Id="rId823" Type="http://schemas.openxmlformats.org/officeDocument/2006/relationships/hyperlink" Target="http://raiith.iith.ac.in/" TargetMode="External"/><Relationship Id="rId430" Type="http://schemas.openxmlformats.org/officeDocument/2006/relationships/hyperlink" Target="http://www.bdigital.unal.edu.co/" TargetMode="External"/><Relationship Id="rId431" Type="http://schemas.openxmlformats.org/officeDocument/2006/relationships/hyperlink" Target="http://roarmap.eprints.org/626/" TargetMode="External"/><Relationship Id="rId432" Type="http://schemas.openxmlformats.org/officeDocument/2006/relationships/hyperlink" Target="http://www.urosario.edu.co/" TargetMode="External"/><Relationship Id="rId433" Type="http://schemas.openxmlformats.org/officeDocument/2006/relationships/hyperlink" Target="http://repository.urosario.edu.co/" TargetMode="External"/><Relationship Id="rId434" Type="http://schemas.openxmlformats.org/officeDocument/2006/relationships/hyperlink" Target="http://roarmap.eprints.org/745/" TargetMode="External"/><Relationship Id="rId435" Type="http://schemas.openxmlformats.org/officeDocument/2006/relationships/hyperlink" Target="http://www.irb.hr/" TargetMode="External"/><Relationship Id="rId436" Type="http://schemas.openxmlformats.org/officeDocument/2006/relationships/hyperlink" Target="http://lib.irb.hr/web/hr/projekti/fulir/item/1897-rudjer_boskovic_institute-self_archiving_mandate.html" TargetMode="External"/><Relationship Id="rId437" Type="http://schemas.openxmlformats.org/officeDocument/2006/relationships/hyperlink" Target="http://fulir.irb.hr/" TargetMode="External"/><Relationship Id="rId438" Type="http://schemas.openxmlformats.org/officeDocument/2006/relationships/hyperlink" Target="http://roarmap.eprints.org/98/" TargetMode="External"/><Relationship Id="rId439" Type="http://schemas.openxmlformats.org/officeDocument/2006/relationships/hyperlink" Target="http://www.fer.unizg.hr/en" TargetMode="External"/><Relationship Id="rId824" Type="http://schemas.openxmlformats.org/officeDocument/2006/relationships/hyperlink" Target="http://roarmap.eprints.org/23/" TargetMode="External"/><Relationship Id="rId825" Type="http://schemas.openxmlformats.org/officeDocument/2006/relationships/hyperlink" Target="http://www.icar.org.in/" TargetMode="External"/><Relationship Id="rId826" Type="http://schemas.openxmlformats.org/officeDocument/2006/relationships/hyperlink" Target="http://icar.org.in/en/node/6609" TargetMode="External"/><Relationship Id="rId827" Type="http://schemas.openxmlformats.org/officeDocument/2006/relationships/hyperlink" Target="http://roarmap.eprints.org/24/" TargetMode="External"/><Relationship Id="rId828" Type="http://schemas.openxmlformats.org/officeDocument/2006/relationships/hyperlink" Target="http://www.iihr.ernet.in/" TargetMode="External"/><Relationship Id="rId829" Type="http://schemas.openxmlformats.org/officeDocument/2006/relationships/hyperlink" Target="http://erepo.iihr.ernet.in/" TargetMode="External"/><Relationship Id="rId1690" Type="http://schemas.openxmlformats.org/officeDocument/2006/relationships/hyperlink" Target="http://roarmap.eprints.org/333/" TargetMode="External"/><Relationship Id="rId1691" Type="http://schemas.openxmlformats.org/officeDocument/2006/relationships/hyperlink" Target="http://www.nau.edu.ua" TargetMode="External"/><Relationship Id="rId1692" Type="http://schemas.openxmlformats.org/officeDocument/2006/relationships/hyperlink" Target="http://roarmap.eprints.org/730/1/%D0%A0%D0%B5%D0%BF%D0%BE%D0%B7%D0%B8%EF%BF%BD%82%D0%B0%EF%BF%BD%80%EF%BF%BD%96%D0%B9_%EF%BF%BD%9D%EF%BF%BD%90%D0%A3.pdf" TargetMode="External"/><Relationship Id="rId1693" Type="http://schemas.openxmlformats.org/officeDocument/2006/relationships/hyperlink" Target="http://roarmap.eprints.org/664/" TargetMode="External"/><Relationship Id="rId1694" Type="http://schemas.openxmlformats.org/officeDocument/2006/relationships/hyperlink" Target="http://repository.kpi.kharkov.ua" TargetMode="External"/><Relationship Id="rId1695" Type="http://schemas.openxmlformats.org/officeDocument/2006/relationships/hyperlink" Target="http://www.kpi.kharkov.ua" TargetMode="External"/><Relationship Id="rId1696" Type="http://schemas.openxmlformats.org/officeDocument/2006/relationships/hyperlink" Target="http://library.kpi.kharkov.ua" TargetMode="External"/><Relationship Id="rId1697" Type="http://schemas.openxmlformats.org/officeDocument/2006/relationships/hyperlink" Target="http://repository.kpi.kharkov.ua" TargetMode="External"/><Relationship Id="rId1698" Type="http://schemas.openxmlformats.org/officeDocument/2006/relationships/hyperlink" Target="http://roarmap.eprints.org/334/" TargetMode="External"/><Relationship Id="rId1699" Type="http://schemas.openxmlformats.org/officeDocument/2006/relationships/hyperlink" Target="http://www.ukma.kiev.ua" TargetMode="External"/><Relationship Id="rId2380" Type="http://schemas.openxmlformats.org/officeDocument/2006/relationships/hyperlink" Target="http://roarmap.eprints.org/506/" TargetMode="External"/><Relationship Id="rId2381" Type="http://schemas.openxmlformats.org/officeDocument/2006/relationships/hyperlink" Target="http://new.trinity.edu/" TargetMode="External"/><Relationship Id="rId2382" Type="http://schemas.openxmlformats.org/officeDocument/2006/relationships/hyperlink" Target="http://blog.trinity.edu/open_access/93/" TargetMode="External"/><Relationship Id="rId2383" Type="http://schemas.openxmlformats.org/officeDocument/2006/relationships/hyperlink" Target="http://roarmap.eprints.org/507/" TargetMode="External"/><Relationship Id="rId2384" Type="http://schemas.openxmlformats.org/officeDocument/2006/relationships/hyperlink" Target="http://www.ahrq.gov/" TargetMode="External"/><Relationship Id="rId2385" Type="http://schemas.openxmlformats.org/officeDocument/2006/relationships/hyperlink" Target="http://www.ahrq.gov/funding/policies/publicaccess/index.html" TargetMode="External"/><Relationship Id="rId2386" Type="http://schemas.openxmlformats.org/officeDocument/2006/relationships/hyperlink" Target="http://www.ncbi.nlm.nih.gov/pmc/" TargetMode="External"/><Relationship Id="rId2387" Type="http://schemas.openxmlformats.org/officeDocument/2006/relationships/hyperlink" Target="http://roarmap.eprints.org/508/" TargetMode="External"/><Relationship Id="rId2388" Type="http://schemas.openxmlformats.org/officeDocument/2006/relationships/hyperlink" Target="http://www.census.gov" TargetMode="External"/><Relationship Id="rId2389" Type="http://schemas.openxmlformats.org/officeDocument/2006/relationships/hyperlink" Target="http://roarmap.eprints.org/509/" TargetMode="External"/><Relationship Id="rId830" Type="http://schemas.openxmlformats.org/officeDocument/2006/relationships/hyperlink" Target="http://www.erepo.iihr.ernet.in/" TargetMode="External"/><Relationship Id="rId831" Type="http://schemas.openxmlformats.org/officeDocument/2006/relationships/hyperlink" Target="http://roarmap.eprints.org/26/" TargetMode="External"/><Relationship Id="rId832" Type="http://schemas.openxmlformats.org/officeDocument/2006/relationships/hyperlink" Target="http://msubaroda.ac.in/" TargetMode="External"/><Relationship Id="rId833" Type="http://schemas.openxmlformats.org/officeDocument/2006/relationships/hyperlink" Target="http://14.139.121.106:8080/jspui/" TargetMode="External"/><Relationship Id="rId440" Type="http://schemas.openxmlformats.org/officeDocument/2006/relationships/hyperlink" Target="http://www.fer.unizg.hr/oa2012/declaration" TargetMode="External"/><Relationship Id="rId441" Type="http://schemas.openxmlformats.org/officeDocument/2006/relationships/hyperlink" Target="http://roarmap.eprints.org/99/" TargetMode="External"/><Relationship Id="rId442" Type="http://schemas.openxmlformats.org/officeDocument/2006/relationships/hyperlink" Target="http://www.cas.cz/" TargetMode="External"/><Relationship Id="rId443" Type="http://schemas.openxmlformats.org/officeDocument/2006/relationships/hyperlink" Target="http://www.cas.cz/o_avcr/zakladni_informace/dokumenty/politika-otevreneho-pristupu.html" TargetMode="External"/><Relationship Id="rId444" Type="http://schemas.openxmlformats.org/officeDocument/2006/relationships/hyperlink" Target="http://www.cas.cz/veda_a_vyzkum/" TargetMode="External"/><Relationship Id="rId445" Type="http://schemas.openxmlformats.org/officeDocument/2006/relationships/hyperlink" Target="http://roarmap.eprints.org/655/" TargetMode="External"/><Relationship Id="rId446" Type="http://schemas.openxmlformats.org/officeDocument/2006/relationships/hyperlink" Target="http://www.vutbr.cz/en/" TargetMode="External"/><Relationship Id="rId447" Type="http://schemas.openxmlformats.org/officeDocument/2006/relationships/hyperlink" Target="http://www.vutbr.cz/en/libraries/openaccess/rectors-degree-21-2013-pdf-p84774" TargetMode="External"/><Relationship Id="rId448" Type="http://schemas.openxmlformats.org/officeDocument/2006/relationships/hyperlink" Target="https://dspace.vutbr.cz/" TargetMode="External"/><Relationship Id="rId449" Type="http://schemas.openxmlformats.org/officeDocument/2006/relationships/hyperlink" Target="http://roarmap.eprints.org/674/" TargetMode="External"/><Relationship Id="rId834" Type="http://schemas.openxmlformats.org/officeDocument/2006/relationships/hyperlink" Target="http://roarmap.eprints.org/27/" TargetMode="External"/><Relationship Id="rId835" Type="http://schemas.openxmlformats.org/officeDocument/2006/relationships/hyperlink" Target="http://mkuniversity.org/main/" TargetMode="External"/><Relationship Id="rId836" Type="http://schemas.openxmlformats.org/officeDocument/2006/relationships/hyperlink" Target="http://roarmap.eprints.org/28/" TargetMode="External"/><Relationship Id="rId837" Type="http://schemas.openxmlformats.org/officeDocument/2006/relationships/hyperlink" Target="http://www.mguniversity.edu/" TargetMode="External"/><Relationship Id="rId838" Type="http://schemas.openxmlformats.org/officeDocument/2006/relationships/hyperlink" Target="http://mgutheses.in/" TargetMode="External"/><Relationship Id="rId839" Type="http://schemas.openxmlformats.org/officeDocument/2006/relationships/hyperlink" Target="http://roarmap.eprints.org/29/" TargetMode="External"/><Relationship Id="rId2390" Type="http://schemas.openxmlformats.org/officeDocument/2006/relationships/hyperlink" Target="http://www.cdc.gov/" TargetMode="External"/><Relationship Id="rId2391" Type="http://schemas.openxmlformats.org/officeDocument/2006/relationships/hyperlink" Target="http://roarmap.eprints.org/531/" TargetMode="External"/><Relationship Id="rId2392" Type="http://schemas.openxmlformats.org/officeDocument/2006/relationships/hyperlink" Target="http://beta.congress.gov/" TargetMode="External"/><Relationship Id="rId2393" Type="http://schemas.openxmlformats.org/officeDocument/2006/relationships/hyperlink" Target="http://www.gpo.gov/fdsys/pkg/BILLS-113hr3547enr/pdf/BILLS-113hr3547enr.pdf" TargetMode="External"/><Relationship Id="rId2394" Type="http://schemas.openxmlformats.org/officeDocument/2006/relationships/hyperlink" Target="http://roarmap.eprints.org/510/" TargetMode="External"/><Relationship Id="rId2395" Type="http://schemas.openxmlformats.org/officeDocument/2006/relationships/hyperlink" Target="http://www.usda.gov/wps/portal/usda/usdahome" TargetMode="External"/><Relationship Id="rId2396" Type="http://schemas.openxmlformats.org/officeDocument/2006/relationships/hyperlink" Target="http://roarmap.eprints.org/511/" TargetMode="External"/><Relationship Id="rId2397" Type="http://schemas.openxmlformats.org/officeDocument/2006/relationships/hyperlink" Target="http://www.commerce.gov/" TargetMode="External"/><Relationship Id="rId2398" Type="http://schemas.openxmlformats.org/officeDocument/2006/relationships/hyperlink" Target="http://roarmap.eprints.org/512/" TargetMode="External"/><Relationship Id="rId2399" Type="http://schemas.openxmlformats.org/officeDocument/2006/relationships/hyperlink" Target="http://www.defense.gov/" TargetMode="External"/><Relationship Id="rId1300" Type="http://schemas.openxmlformats.org/officeDocument/2006/relationships/hyperlink" Target="https://repositorioaberto.uab.pt/" TargetMode="External"/><Relationship Id="rId1301" Type="http://schemas.openxmlformats.org/officeDocument/2006/relationships/hyperlink" Target="http://roarmap.eprints.org/270/" TargetMode="External"/><Relationship Id="rId1302" Type="http://schemas.openxmlformats.org/officeDocument/2006/relationships/hyperlink" Target="http://www.universidade-autonoma.pt/" TargetMode="External"/><Relationship Id="rId1303" Type="http://schemas.openxmlformats.org/officeDocument/2006/relationships/hyperlink" Target="http://repositorio.ual.pt/Pol%C3%ADtica%20de%20Dep%C3%B3sito%20de%20Publica%C3%A7%C3%B5es.pdf" TargetMode="External"/><Relationship Id="rId1304" Type="http://schemas.openxmlformats.org/officeDocument/2006/relationships/hyperlink" Target="http://repositorio.ual.pt/?locale=en" TargetMode="External"/><Relationship Id="rId1305" Type="http://schemas.openxmlformats.org/officeDocument/2006/relationships/hyperlink" Target="http://roarmap.eprints.org/277/" TargetMode="External"/><Relationship Id="rId1306" Type="http://schemas.openxmlformats.org/officeDocument/2006/relationships/hyperlink" Target="http://www.ufp.pt/" TargetMode="External"/><Relationship Id="rId1307" Type="http://schemas.openxmlformats.org/officeDocument/2006/relationships/hyperlink" Target="http://homepage.ufp.pt/biblioteca/politicadepositoobrigatorio.pdf" TargetMode="External"/><Relationship Id="rId1308" Type="http://schemas.openxmlformats.org/officeDocument/2006/relationships/hyperlink" Target="http://bdigital.ufp.pt/" TargetMode="External"/><Relationship Id="rId1309" Type="http://schemas.openxmlformats.org/officeDocument/2006/relationships/hyperlink" Target="http://roarmap.eprints.org/271/" TargetMode="External"/><Relationship Id="rId840" Type="http://schemas.openxmlformats.org/officeDocument/2006/relationships/hyperlink" Target="http://www.nio.org/" TargetMode="External"/><Relationship Id="rId841" Type="http://schemas.openxmlformats.org/officeDocument/2006/relationships/hyperlink" Target="http://drs.nio.org/drs/index.jsp" TargetMode="External"/><Relationship Id="rId450" Type="http://schemas.openxmlformats.org/officeDocument/2006/relationships/hyperlink" Target="http://www.utb.cz/" TargetMode="External"/><Relationship Id="rId451" Type="http://schemas.openxmlformats.org/officeDocument/2006/relationships/hyperlink" Target="http://www.utb.cz/file/46119/" TargetMode="External"/><Relationship Id="rId452" Type="http://schemas.openxmlformats.org/officeDocument/2006/relationships/hyperlink" Target="http://publikace.k.utb.cz" TargetMode="External"/><Relationship Id="rId453" Type="http://schemas.openxmlformats.org/officeDocument/2006/relationships/hyperlink" Target="http://roarmap.eprints.org/100/" TargetMode="External"/><Relationship Id="rId454" Type="http://schemas.openxmlformats.org/officeDocument/2006/relationships/hyperlink" Target="http://www.en.aau.dk/" TargetMode="External"/><Relationship Id="rId455" Type="http://schemas.openxmlformats.org/officeDocument/2006/relationships/hyperlink" Target="http://vbn.aau.dk/en/" TargetMode="External"/><Relationship Id="rId456" Type="http://schemas.openxmlformats.org/officeDocument/2006/relationships/hyperlink" Target="http://roarmap.eprints.org/101/" TargetMode="External"/><Relationship Id="rId457" Type="http://schemas.openxmlformats.org/officeDocument/2006/relationships/hyperlink" Target="http://www.au.dk/en/" TargetMode="External"/><Relationship Id="rId458" Type="http://schemas.openxmlformats.org/officeDocument/2006/relationships/hyperlink" Target="http://www.au.dk/en/about/uni/rektorat/newsletter/2010/8/" TargetMode="External"/><Relationship Id="rId459" Type="http://schemas.openxmlformats.org/officeDocument/2006/relationships/hyperlink" Target="http://medarbejdere.au.dk/pure/" TargetMode="External"/><Relationship Id="rId842" Type="http://schemas.openxmlformats.org/officeDocument/2006/relationships/hyperlink" Target="http://roarmap.eprints.org/30/" TargetMode="External"/><Relationship Id="rId843" Type="http://schemas.openxmlformats.org/officeDocument/2006/relationships/hyperlink" Target="http://www.nitrkl.ac.in/" TargetMode="External"/><Relationship Id="rId844" Type="http://schemas.openxmlformats.org/officeDocument/2006/relationships/hyperlink" Target="http://dspace.nitrkl.ac.in/dspace/" TargetMode="External"/><Relationship Id="rId845" Type="http://schemas.openxmlformats.org/officeDocument/2006/relationships/hyperlink" Target="http://roarmap.eprints.org/25/" TargetMode="External"/><Relationship Id="rId846" Type="http://schemas.openxmlformats.org/officeDocument/2006/relationships/hyperlink" Target="http://knowledgecommission.gov.in/" TargetMode="External"/><Relationship Id="rId847" Type="http://schemas.openxmlformats.org/officeDocument/2006/relationships/hyperlink" Target="http://roarmap.eprints.org/31/" TargetMode="External"/><Relationship Id="rId848" Type="http://schemas.openxmlformats.org/officeDocument/2006/relationships/hyperlink" Target="http://www.ipb.ac.id/" TargetMode="External"/><Relationship Id="rId849" Type="http://schemas.openxmlformats.org/officeDocument/2006/relationships/hyperlink" Target="http://repository.ipb.ac.id/" TargetMode="External"/><Relationship Id="rId1700" Type="http://schemas.openxmlformats.org/officeDocument/2006/relationships/hyperlink" Target="http://www.ekmair.ukma.kiev.ua/" TargetMode="External"/><Relationship Id="rId1701" Type="http://schemas.openxmlformats.org/officeDocument/2006/relationships/hyperlink" Target="http://roarmap.eprints.org/335/" TargetMode="External"/><Relationship Id="rId1702" Type="http://schemas.openxmlformats.org/officeDocument/2006/relationships/hyperlink" Target="http://www.rada.gov.ua" TargetMode="External"/><Relationship Id="rId1703" Type="http://schemas.openxmlformats.org/officeDocument/2006/relationships/hyperlink" Target="http://roarmap.eprints.org/336/" TargetMode="External"/><Relationship Id="rId1310" Type="http://schemas.openxmlformats.org/officeDocument/2006/relationships/hyperlink" Target="http://www.ulisboa.pt/" TargetMode="External"/><Relationship Id="rId1311" Type="http://schemas.openxmlformats.org/officeDocument/2006/relationships/hyperlink" Target="http://repositorio.ul.pt/" TargetMode="External"/><Relationship Id="rId1312" Type="http://schemas.openxmlformats.org/officeDocument/2006/relationships/hyperlink" Target="http://roarmap.eprints.org/272/" TargetMode="External"/><Relationship Id="rId1313" Type="http://schemas.openxmlformats.org/officeDocument/2006/relationships/hyperlink" Target="http://www.utad.pt" TargetMode="External"/><Relationship Id="rId1314" Type="http://schemas.openxmlformats.org/officeDocument/2006/relationships/hyperlink" Target="http://roarmap.eprints.org/690/1/POLITICA_DE_ACESSO_LIVRE_DR_UTAD.pdf" TargetMode="External"/><Relationship Id="rId1315" Type="http://schemas.openxmlformats.org/officeDocument/2006/relationships/hyperlink" Target="http://repositorio.utad.pt/" TargetMode="External"/><Relationship Id="rId1316" Type="http://schemas.openxmlformats.org/officeDocument/2006/relationships/hyperlink" Target="http://roarmap.eprints.org/273/" TargetMode="External"/><Relationship Id="rId1317" Type="http://schemas.openxmlformats.org/officeDocument/2006/relationships/hyperlink" Target="http://www.ualg.pt/home/pt" TargetMode="External"/><Relationship Id="rId1318" Type="http://schemas.openxmlformats.org/officeDocument/2006/relationships/hyperlink" Target="http://roarmap.eprints.org/608/2/index.php_option%3Dcom_docman%26task%3Ddoc_download%26gid%3D6231%26lang%3Dpt" TargetMode="External"/><Relationship Id="rId1319" Type="http://schemas.openxmlformats.org/officeDocument/2006/relationships/hyperlink" Target="https://sapientia.ualg.pt/" TargetMode="External"/><Relationship Id="rId850" Type="http://schemas.openxmlformats.org/officeDocument/2006/relationships/hyperlink" Target="http://roarmap.eprints.org/38/" TargetMode="External"/><Relationship Id="rId851" Type="http://schemas.openxmlformats.org/officeDocument/2006/relationships/hyperlink" Target="http://undip.ac.id/" TargetMode="External"/><Relationship Id="rId460" Type="http://schemas.openxmlformats.org/officeDocument/2006/relationships/hyperlink" Target="http://roarmap.eprints.org/102/" TargetMode="External"/><Relationship Id="rId461" Type="http://schemas.openxmlformats.org/officeDocument/2006/relationships/hyperlink" Target="http://www.cbs.dk/en" TargetMode="External"/><Relationship Id="rId462" Type="http://schemas.openxmlformats.org/officeDocument/2006/relationships/hyperlink" Target="http://www.cbs.dk/files/cbs.dk/call_to_action/open_access_politik_2009.pdf" TargetMode="External"/><Relationship Id="rId463" Type="http://schemas.openxmlformats.org/officeDocument/2006/relationships/hyperlink" Target="http://www.cbs.dk/en/research/cbs-publications" TargetMode="External"/><Relationship Id="rId464" Type="http://schemas.openxmlformats.org/officeDocument/2006/relationships/hyperlink" Target="http://roarmap.eprints.org/103/" TargetMode="External"/><Relationship Id="rId465" Type="http://schemas.openxmlformats.org/officeDocument/2006/relationships/hyperlink" Target="http://ufm.dk/" TargetMode="External"/><Relationship Id="rId466" Type="http://schemas.openxmlformats.org/officeDocument/2006/relationships/hyperlink" Target="http://ufm.dk/en/research-and-innovation/cooperation-between-research-and-innovation/open-science/open-access-policy-for-public-research-councils-and-foundations?searchterm=open%0A%20%20%20%20%20%20%20%20%20%20%20%20%20%20%20access" TargetMode="External"/><Relationship Id="rId467" Type="http://schemas.openxmlformats.org/officeDocument/2006/relationships/hyperlink" Target="http://roarmap.eprints.org/104/" TargetMode="External"/><Relationship Id="rId468" Type="http://schemas.openxmlformats.org/officeDocument/2006/relationships/hyperlink" Target="http://ufm.dk/en/the-minister-and-the-ministry/organisation/the-danish-agency-for-science-technology-and-innovation" TargetMode="External"/><Relationship Id="rId469" Type="http://schemas.openxmlformats.org/officeDocument/2006/relationships/hyperlink" Target="http://ufm.dk/en/research-and-innovation/councils-and-commissions/the-danish-council-for-independent-research/open-access-policy" TargetMode="External"/><Relationship Id="rId852" Type="http://schemas.openxmlformats.org/officeDocument/2006/relationships/hyperlink" Target="http://eprints.undip.ac.id/" TargetMode="External"/><Relationship Id="rId853" Type="http://schemas.openxmlformats.org/officeDocument/2006/relationships/hyperlink" Target="http://roarmap.eprints.org/32/" TargetMode="External"/><Relationship Id="rId854" Type="http://schemas.openxmlformats.org/officeDocument/2006/relationships/hyperlink" Target="http://www.its.ac.id/" TargetMode="External"/><Relationship Id="rId855" Type="http://schemas.openxmlformats.org/officeDocument/2006/relationships/hyperlink" Target="http://digilib.its.ac.id/" TargetMode="External"/><Relationship Id="rId856" Type="http://schemas.openxmlformats.org/officeDocument/2006/relationships/hyperlink" Target="http://roarmap.eprints.org/33/" TargetMode="External"/><Relationship Id="rId857" Type="http://schemas.openxmlformats.org/officeDocument/2006/relationships/hyperlink" Target="http://www.mdp.ac.id/en" TargetMode="External"/><Relationship Id="rId858" Type="http://schemas.openxmlformats.org/officeDocument/2006/relationships/hyperlink" Target="http://eprints.mdp.ac.id/" TargetMode="External"/><Relationship Id="rId859" Type="http://schemas.openxmlformats.org/officeDocument/2006/relationships/hyperlink" Target="http://roarmap.eprints.org/34/" TargetMode="External"/><Relationship Id="rId1704" Type="http://schemas.openxmlformats.org/officeDocument/2006/relationships/hyperlink" Target="http://www.sumdu.edu.ua/ukr/" TargetMode="External"/><Relationship Id="rId1705" Type="http://schemas.openxmlformats.org/officeDocument/2006/relationships/hyperlink" Target="http://essuir.sumdu.edu.ua/position.jsp" TargetMode="External"/><Relationship Id="rId1706" Type="http://schemas.openxmlformats.org/officeDocument/2006/relationships/hyperlink" Target="http://essuir.sumdu.edu.ua" TargetMode="External"/><Relationship Id="rId1707" Type="http://schemas.openxmlformats.org/officeDocument/2006/relationships/hyperlink" Target="http://roarmap.eprints.org/339/" TargetMode="External"/><Relationship Id="rId1708" Type="http://schemas.openxmlformats.org/officeDocument/2006/relationships/hyperlink" Target="http://www.tntu.edu.ua/" TargetMode="External"/><Relationship Id="rId1709" Type="http://schemas.openxmlformats.org/officeDocument/2006/relationships/hyperlink" Target="http://roarmap.eprints.org/125/" TargetMode="External"/><Relationship Id="rId2000" Type="http://schemas.openxmlformats.org/officeDocument/2006/relationships/hyperlink" Target="https://hydra.hull.ac.uk/assets/hull:10503/content" TargetMode="External"/><Relationship Id="rId2001" Type="http://schemas.openxmlformats.org/officeDocument/2006/relationships/hyperlink" Target="https://hydra.hull.ac.uk/" TargetMode="External"/><Relationship Id="rId2002" Type="http://schemas.openxmlformats.org/officeDocument/2006/relationships/hyperlink" Target="http://www2.hull.ac.uk/lli/library-services/openaccesspublishing.aspx" TargetMode="External"/><Relationship Id="rId2003" Type="http://schemas.openxmlformats.org/officeDocument/2006/relationships/hyperlink" Target="http://roarmap.eprints.org/397/" TargetMode="External"/><Relationship Id="rId2004" Type="http://schemas.openxmlformats.org/officeDocument/2006/relationships/hyperlink" Target="http://kent.ac.uk/" TargetMode="External"/><Relationship Id="rId2005" Type="http://schemas.openxmlformats.org/officeDocument/2006/relationships/hyperlink" Target="http://www.kent.ac.uk/researchservices/docs/open-access-policy-april-2013.pdf" TargetMode="External"/><Relationship Id="rId2006" Type="http://schemas.openxmlformats.org/officeDocument/2006/relationships/hyperlink" Target="http://kar.kent.ac.uk/" TargetMode="External"/><Relationship Id="rId2007" Type="http://schemas.openxmlformats.org/officeDocument/2006/relationships/hyperlink" Target="http://roarmap.eprints.org/398/" TargetMode="External"/><Relationship Id="rId2008" Type="http://schemas.openxmlformats.org/officeDocument/2006/relationships/hyperlink" Target="http://www.leeds.ac.uk/" TargetMode="External"/><Relationship Id="rId2009" Type="http://schemas.openxmlformats.org/officeDocument/2006/relationships/hyperlink" Target="http://eprints.whiterose.ac.uk/" TargetMode="External"/><Relationship Id="rId1710" Type="http://schemas.openxmlformats.org/officeDocument/2006/relationships/hyperlink" Target="http://elartu.tntu.edu.ua/" TargetMode="External"/><Relationship Id="rId1711" Type="http://schemas.openxmlformats.org/officeDocument/2006/relationships/hyperlink" Target="http://roarmap.eprints.org/337/" TargetMode="External"/><Relationship Id="rId1712" Type="http://schemas.openxmlformats.org/officeDocument/2006/relationships/hyperlink" Target="http://vsau.org" TargetMode="External"/><Relationship Id="rId1713" Type="http://schemas.openxmlformats.org/officeDocument/2006/relationships/hyperlink" Target="http://roarmap.eprints.org/952/" TargetMode="External"/><Relationship Id="rId1320" Type="http://schemas.openxmlformats.org/officeDocument/2006/relationships/hyperlink" Target="http://roarmap.eprints.org/274/" TargetMode="External"/><Relationship Id="rId1321" Type="http://schemas.openxmlformats.org/officeDocument/2006/relationships/hyperlink" Target="http://www.uminho.pt/" TargetMode="External"/><Relationship Id="rId1322" Type="http://schemas.openxmlformats.org/officeDocument/2006/relationships/hyperlink" Target="https://repositorium.sdum.uminho.pt/about/docs/Despacho_RT-98_2010.pdf" TargetMode="External"/><Relationship Id="rId1323" Type="http://schemas.openxmlformats.org/officeDocument/2006/relationships/hyperlink" Target="https://repositorium.sdum.uminho.pt" TargetMode="External"/><Relationship Id="rId1324" Type="http://schemas.openxmlformats.org/officeDocument/2006/relationships/hyperlink" Target="http://roarmap.eprints.org/275/" TargetMode="External"/><Relationship Id="rId1325" Type="http://schemas.openxmlformats.org/officeDocument/2006/relationships/hyperlink" Target="http://www.uc.pt/" TargetMode="External"/><Relationship Id="rId1326" Type="http://schemas.openxmlformats.org/officeDocument/2006/relationships/hyperlink" Target="http://roarmap.eprints.org/681/1/mandatoUC.pdf" TargetMode="External"/><Relationship Id="rId1327" Type="http://schemas.openxmlformats.org/officeDocument/2006/relationships/hyperlink" Target="https://estudogeral.sib.uc.pt/" TargetMode="External"/><Relationship Id="rId1328" Type="http://schemas.openxmlformats.org/officeDocument/2006/relationships/hyperlink" Target="http://roarmap.eprints.org/276/" TargetMode="External"/><Relationship Id="rId1329" Type="http://schemas.openxmlformats.org/officeDocument/2006/relationships/hyperlink" Target="http://sigarra.up.pt/up/pt/web_page.inicial" TargetMode="External"/><Relationship Id="rId860" Type="http://schemas.openxmlformats.org/officeDocument/2006/relationships/hyperlink" Target="http://www.unsri.ac.id/" TargetMode="External"/><Relationship Id="rId861" Type="http://schemas.openxmlformats.org/officeDocument/2006/relationships/hyperlink" Target="http://roarmap.eprints.org/592/1/policies.html" TargetMode="External"/><Relationship Id="rId470" Type="http://schemas.openxmlformats.org/officeDocument/2006/relationships/hyperlink" Target="http://roarmap.eprints.org/105/" TargetMode="External"/><Relationship Id="rId471" Type="http://schemas.openxmlformats.org/officeDocument/2006/relationships/hyperlink" Target="http://www.norden.org/en" TargetMode="External"/><Relationship Id="rId472" Type="http://schemas.openxmlformats.org/officeDocument/2006/relationships/hyperlink" Target="http://www.norden.org/en/publications/open-access/open-access-mandate" TargetMode="External"/><Relationship Id="rId473" Type="http://schemas.openxmlformats.org/officeDocument/2006/relationships/hyperlink" Target="http://norden.diva-portal.org/smash/search.jsf" TargetMode="External"/><Relationship Id="rId474" Type="http://schemas.openxmlformats.org/officeDocument/2006/relationships/hyperlink" Target="http://roarmap.eprints.org/106/" TargetMode="External"/><Relationship Id="rId475" Type="http://schemas.openxmlformats.org/officeDocument/2006/relationships/hyperlink" Target="http://www.ruc.dk/en/" TargetMode="External"/><Relationship Id="rId476" Type="http://schemas.openxmlformats.org/officeDocument/2006/relationships/hyperlink" Target="http://rudar.ruc.dk/bitstream/1800/5149/1/Digitaliserings_arkiveringspolitik.pdf" TargetMode="External"/><Relationship Id="rId477" Type="http://schemas.openxmlformats.org/officeDocument/2006/relationships/hyperlink" Target="http://rudar.ruc.dk/" TargetMode="External"/><Relationship Id="rId478" Type="http://schemas.openxmlformats.org/officeDocument/2006/relationships/hyperlink" Target="http://roarmap.eprints.org/107/" TargetMode="External"/><Relationship Id="rId479" Type="http://schemas.openxmlformats.org/officeDocument/2006/relationships/hyperlink" Target="http://www.sdu.dk/en/" TargetMode="External"/><Relationship Id="rId862" Type="http://schemas.openxmlformats.org/officeDocument/2006/relationships/hyperlink" Target="http://eprints.unsri.ac.id/" TargetMode="External"/><Relationship Id="rId863" Type="http://schemas.openxmlformats.org/officeDocument/2006/relationships/hyperlink" Target="http://roarmap.eprints.org/35/" TargetMode="External"/><Relationship Id="rId864" Type="http://schemas.openxmlformats.org/officeDocument/2006/relationships/hyperlink" Target="http://www.umm.ac.id/" TargetMode="External"/><Relationship Id="rId865" Type="http://schemas.openxmlformats.org/officeDocument/2006/relationships/hyperlink" Target="http://eprints.umm.ac.id/policies.html" TargetMode="External"/><Relationship Id="rId866" Type="http://schemas.openxmlformats.org/officeDocument/2006/relationships/hyperlink" Target="http://eprints.umm.ac.id/" TargetMode="External"/><Relationship Id="rId867" Type="http://schemas.openxmlformats.org/officeDocument/2006/relationships/hyperlink" Target="http://roarmap.eprints.org/36/" TargetMode="External"/><Relationship Id="rId868" Type="http://schemas.openxmlformats.org/officeDocument/2006/relationships/hyperlink" Target="http://usu.ac.id/en/" TargetMode="External"/><Relationship Id="rId869" Type="http://schemas.openxmlformats.org/officeDocument/2006/relationships/hyperlink" Target="http://repository.usu.ac.id/bitstream/123456789/606/2/license.txt" TargetMode="External"/><Relationship Id="rId1714" Type="http://schemas.openxmlformats.org/officeDocument/2006/relationships/hyperlink" Target="http://repository.vsau.org" TargetMode="External"/><Relationship Id="rId1715" Type="http://schemas.openxmlformats.org/officeDocument/2006/relationships/hyperlink" Target="http://roarmap.eprints.org/338/" TargetMode="External"/><Relationship Id="rId1716" Type="http://schemas.openxmlformats.org/officeDocument/2006/relationships/hyperlink" Target="http://snu.edu.ua/" TargetMode="External"/><Relationship Id="rId1717" Type="http://schemas.openxmlformats.org/officeDocument/2006/relationships/hyperlink" Target="http://roarmap.eprints.org/501/" TargetMode="External"/><Relationship Id="rId1718" Type="http://schemas.openxmlformats.org/officeDocument/2006/relationships/hyperlink" Target="http://dspace.snu.edu.ua:8080/jspui/" TargetMode="External"/><Relationship Id="rId1719" Type="http://schemas.openxmlformats.org/officeDocument/2006/relationships/hyperlink" Target="http://roarmap.eprints.org/340/" TargetMode="External"/><Relationship Id="rId2010" Type="http://schemas.openxmlformats.org/officeDocument/2006/relationships/hyperlink" Target="http://roarmap.eprints.org/399/" TargetMode="External"/><Relationship Id="rId2011" Type="http://schemas.openxmlformats.org/officeDocument/2006/relationships/hyperlink" Target="http://www.le.ac.uk/" TargetMode="External"/><Relationship Id="rId2012" Type="http://schemas.openxmlformats.org/officeDocument/2006/relationships/hyperlink" Target="http://www2.le.ac.uk/library/for/researchers/publish/nutshell" TargetMode="External"/><Relationship Id="rId2013" Type="http://schemas.openxmlformats.org/officeDocument/2006/relationships/hyperlink" Target="https://lra.le.ac.uk/" TargetMode="External"/><Relationship Id="rId2014" Type="http://schemas.openxmlformats.org/officeDocument/2006/relationships/hyperlink" Target="http://roarmap.eprints.org/400/" TargetMode="External"/><Relationship Id="rId2015" Type="http://schemas.openxmlformats.org/officeDocument/2006/relationships/hyperlink" Target="http://www.lincoln.ac.uk/home/" TargetMode="External"/><Relationship Id="rId2016" Type="http://schemas.openxmlformats.org/officeDocument/2006/relationships/hyperlink" Target="http://secretariat.blogs.lincoln.ac.uk/files/2013/08/Open-Access-Policy-2014.pdf" TargetMode="External"/><Relationship Id="rId2017" Type="http://schemas.openxmlformats.org/officeDocument/2006/relationships/hyperlink" Target="http://eprints.lincoln.ac.uk/" TargetMode="External"/><Relationship Id="rId2018" Type="http://schemas.openxmlformats.org/officeDocument/2006/relationships/hyperlink" Target="http://roarmap.eprints.org/401/" TargetMode="External"/><Relationship Id="rId2019" Type="http://schemas.openxmlformats.org/officeDocument/2006/relationships/hyperlink" Target="http://www.nottingham.ac.uk" TargetMode="External"/><Relationship Id="rId2400" Type="http://schemas.openxmlformats.org/officeDocument/2006/relationships/hyperlink" Target="http://dtic.mil/dtic/pdf/PublicAccessMemo2014.pdf" TargetMode="External"/><Relationship Id="rId2401" Type="http://schemas.openxmlformats.org/officeDocument/2006/relationships/hyperlink" Target="http://www.dtic.mil/dtic/" TargetMode="External"/><Relationship Id="rId2402" Type="http://schemas.openxmlformats.org/officeDocument/2006/relationships/hyperlink" Target="http://roarmap.eprints.org/513/" TargetMode="External"/><Relationship Id="rId2403" Type="http://schemas.openxmlformats.org/officeDocument/2006/relationships/hyperlink" Target="http://www.ed.gov/" TargetMode="External"/><Relationship Id="rId2404" Type="http://schemas.openxmlformats.org/officeDocument/2006/relationships/hyperlink" Target="http://roarmap.eprints.org/514/" TargetMode="External"/><Relationship Id="rId2405" Type="http://schemas.openxmlformats.org/officeDocument/2006/relationships/hyperlink" Target="http://energy.gov/" TargetMode="External"/><Relationship Id="rId2406" Type="http://schemas.openxmlformats.org/officeDocument/2006/relationships/hyperlink" Target="http://roarmap.eprints.org/515/" TargetMode="External"/><Relationship Id="rId2407" Type="http://schemas.openxmlformats.org/officeDocument/2006/relationships/hyperlink" Target="http://www.hhs.gov/" TargetMode="External"/><Relationship Id="rId2408" Type="http://schemas.openxmlformats.org/officeDocument/2006/relationships/hyperlink" Target="http://roarmap.eprints.org/516/" TargetMode="External"/><Relationship Id="rId2409" Type="http://schemas.openxmlformats.org/officeDocument/2006/relationships/hyperlink" Target="http://www.dhs.gov/" TargetMode="External"/><Relationship Id="rId1720" Type="http://schemas.openxmlformats.org/officeDocument/2006/relationships/hyperlink" Target="http://www.aber.ac.uk" TargetMode="External"/><Relationship Id="rId1721" Type="http://schemas.openxmlformats.org/officeDocument/2006/relationships/hyperlink" Target="http://www.aber.ac.uk/en/is/help/openaccess/publish/" TargetMode="External"/><Relationship Id="rId1722" Type="http://schemas.openxmlformats.org/officeDocument/2006/relationships/hyperlink" Target="http://cadair.aber.ac.uk/dspace/" TargetMode="External"/><Relationship Id="rId1723" Type="http://schemas.openxmlformats.org/officeDocument/2006/relationships/hyperlink" Target="http://www.aber.ac.uk/en/media/departmental/informationservices/downloads/apc-application-form_eng.docx" TargetMode="External"/><Relationship Id="rId1330" Type="http://schemas.openxmlformats.org/officeDocument/2006/relationships/hyperlink" Target="http://repositorio.up.pt/files/Regulamentos_Open_Access.pdf" TargetMode="External"/><Relationship Id="rId1331" Type="http://schemas.openxmlformats.org/officeDocument/2006/relationships/hyperlink" Target="http://roarmap.eprints.org/279/" TargetMode="External"/><Relationship Id="rId1332" Type="http://schemas.openxmlformats.org/officeDocument/2006/relationships/hyperlink" Target="http://www.bsu.edu.ru/" TargetMode="External"/><Relationship Id="rId1333" Type="http://schemas.openxmlformats.org/officeDocument/2006/relationships/hyperlink" Target="http://roarmap.eprints.org/877/1/%D0%BF%D1%80%D0%B8%D0%BA%D0%B0%D0%B7%20%D0%BE%D0%B1%20%D1%83%D0%BD%D0%B8%D0%B2%D0%B5%D1%80%20%D0%BC%D0%B0%D0%BD%D0%B4%D0%B0%D1%82%D0%B5.pdf" TargetMode="External"/><Relationship Id="rId1334" Type="http://schemas.openxmlformats.org/officeDocument/2006/relationships/hyperlink" Target="http://roarmap.eprints.org/280/" TargetMode="External"/><Relationship Id="rId1335" Type="http://schemas.openxmlformats.org/officeDocument/2006/relationships/hyperlink" Target="http://www.cemi.rssi.ru/" TargetMode="External"/><Relationship Id="rId1336" Type="http://schemas.openxmlformats.org/officeDocument/2006/relationships/hyperlink" Target="http://socionet.ru/" TargetMode="External"/><Relationship Id="rId1337" Type="http://schemas.openxmlformats.org/officeDocument/2006/relationships/hyperlink" Target="http://roarmap.eprints.org/281/" TargetMode="External"/><Relationship Id="rId1338" Type="http://schemas.openxmlformats.org/officeDocument/2006/relationships/hyperlink" Target="http://keldysh.ru/" TargetMode="External"/><Relationship Id="rId1339" Type="http://schemas.openxmlformats.org/officeDocument/2006/relationships/hyperlink" Target="http://socionet.ru/" TargetMode="External"/><Relationship Id="rId870" Type="http://schemas.openxmlformats.org/officeDocument/2006/relationships/hyperlink" Target="http://repository.usu.ac.id/" TargetMode="External"/><Relationship Id="rId871" Type="http://schemas.openxmlformats.org/officeDocument/2006/relationships/hyperlink" Target="http://roarmap.eprints.org/37/" TargetMode="External"/><Relationship Id="rId480" Type="http://schemas.openxmlformats.org/officeDocument/2006/relationships/hyperlink" Target="http://www.sdu.dk/en/bibliotek/vejledning/open_access" TargetMode="External"/><Relationship Id="rId481" Type="http://schemas.openxmlformats.org/officeDocument/2006/relationships/hyperlink" Target="http://findresearcher.sdu.dk:8080/portal/da/publications/search.html" TargetMode="External"/><Relationship Id="rId482" Type="http://schemas.openxmlformats.org/officeDocument/2006/relationships/hyperlink" Target="http://roarmap.eprints.org/177/" TargetMode="External"/><Relationship Id="rId483" Type="http://schemas.openxmlformats.org/officeDocument/2006/relationships/hyperlink" Target="http://www.etag.ee/en/estonian-research-council/" TargetMode="External"/><Relationship Id="rId484" Type="http://schemas.openxmlformats.org/officeDocument/2006/relationships/hyperlink" Target="http://www.etag.ee/rahastamine/personaalne-uurimistoetus/put-taotlusvoor-2013/" TargetMode="External"/><Relationship Id="rId485" Type="http://schemas.openxmlformats.org/officeDocument/2006/relationships/hyperlink" Target="https://www.etis.ee/portaal/tTpublikatsioonid.aspx?lang=en" TargetMode="External"/><Relationship Id="rId486" Type="http://schemas.openxmlformats.org/officeDocument/2006/relationships/hyperlink" Target="http://roarmap.eprints.org/176/" TargetMode="External"/><Relationship Id="rId487" Type="http://schemas.openxmlformats.org/officeDocument/2006/relationships/hyperlink" Target="http://www.hm.ee/?1" TargetMode="External"/><Relationship Id="rId488" Type="http://schemas.openxmlformats.org/officeDocument/2006/relationships/hyperlink" Target="https://www.riigiteataja.ee/akt/119022014016" TargetMode="External"/><Relationship Id="rId489" Type="http://schemas.openxmlformats.org/officeDocument/2006/relationships/hyperlink" Target="http://www.etis.ee" TargetMode="External"/><Relationship Id="rId872" Type="http://schemas.openxmlformats.org/officeDocument/2006/relationships/hyperlink" Target="http://www.ubaya.ac.id/" TargetMode="External"/><Relationship Id="rId873" Type="http://schemas.openxmlformats.org/officeDocument/2006/relationships/hyperlink" Target="http://elib.ubaya.ac.id/index.php/repository" TargetMode="External"/><Relationship Id="rId874" Type="http://schemas.openxmlformats.org/officeDocument/2006/relationships/hyperlink" Target="http://repository.ubaya.ac.id/" TargetMode="External"/><Relationship Id="rId875" Type="http://schemas.openxmlformats.org/officeDocument/2006/relationships/hyperlink" Target="http://roarmap.eprints.org/183/" TargetMode="External"/><Relationship Id="rId876" Type="http://schemas.openxmlformats.org/officeDocument/2006/relationships/hyperlink" Target="http://www.tcd.ie/" TargetMode="External"/><Relationship Id="rId877" Type="http://schemas.openxmlformats.org/officeDocument/2006/relationships/hyperlink" Target="http://arrow.dit.ie/National_Principles_on_Open_Access_Policy_Statement.pdf" TargetMode="External"/><Relationship Id="rId878" Type="http://schemas.openxmlformats.org/officeDocument/2006/relationships/hyperlink" Target="http://www.tara.tcd.ie/" TargetMode="External"/><Relationship Id="rId879" Type="http://schemas.openxmlformats.org/officeDocument/2006/relationships/hyperlink" Target="http://roarmap.eprints.org/184/" TargetMode="External"/><Relationship Id="rId1724" Type="http://schemas.openxmlformats.org/officeDocument/2006/relationships/hyperlink" Target="http://roarmap.eprints.org/341/" TargetMode="External"/><Relationship Id="rId1725" Type="http://schemas.openxmlformats.org/officeDocument/2006/relationships/hyperlink" Target="http://www.arthritisresearchuk.org/" TargetMode="External"/><Relationship Id="rId1726" Type="http://schemas.openxmlformats.org/officeDocument/2006/relationships/hyperlink" Target="http://www.arthritisresearchuk.org/research/our-research-policies/open-access-policy.aspx" TargetMode="External"/><Relationship Id="rId1727" Type="http://schemas.openxmlformats.org/officeDocument/2006/relationships/hyperlink" Target="http://europepmc.org/" TargetMode="External"/><Relationship Id="rId1728" Type="http://schemas.openxmlformats.org/officeDocument/2006/relationships/hyperlink" Target="http://www.arthritisresearchuk.org/research/grants-you-can-apply-for/types-of-grant/arthritis-research-uk-grant-holders-only/open-access-funding.aspx" TargetMode="External"/><Relationship Id="rId1729" Type="http://schemas.openxmlformats.org/officeDocument/2006/relationships/hyperlink" Target="http://roarmap.eprints.org/342/" TargetMode="External"/><Relationship Id="rId2020" Type="http://schemas.openxmlformats.org/officeDocument/2006/relationships/hyperlink" Target="http://eprints.nottingham.ac.uk/policies.html" TargetMode="External"/><Relationship Id="rId2021" Type="http://schemas.openxmlformats.org/officeDocument/2006/relationships/hyperlink" Target="http://eprints.nottingham.ac.uk/" TargetMode="External"/><Relationship Id="rId2022" Type="http://schemas.openxmlformats.org/officeDocument/2006/relationships/hyperlink" Target="http://roarmap.eprints.org/402/" TargetMode="External"/><Relationship Id="rId2023" Type="http://schemas.openxmlformats.org/officeDocument/2006/relationships/hyperlink" Target="http://www.ox.ac.uk/" TargetMode="External"/><Relationship Id="rId2024" Type="http://schemas.openxmlformats.org/officeDocument/2006/relationships/hyperlink" Target="http://openaccess.ox.ac.uk/wp-uploads/2013/03/Statement-on-Open-Access-at-the-University-of-Oxford-Approved-by-Council-on-11-March-2013.pdf" TargetMode="External"/><Relationship Id="rId2025" Type="http://schemas.openxmlformats.org/officeDocument/2006/relationships/hyperlink" Target="http://ora.ox.ac.uk/" TargetMode="External"/><Relationship Id="rId2026" Type="http://schemas.openxmlformats.org/officeDocument/2006/relationships/hyperlink" Target="http://openaccess.ox.ac.uk/applying-for-funding-from-oxfords-rcuk-open-access-block-grant/" TargetMode="External"/><Relationship Id="rId2027" Type="http://schemas.openxmlformats.org/officeDocument/2006/relationships/hyperlink" Target="http://roarmap.eprints.org/697/" TargetMode="External"/><Relationship Id="rId2028" Type="http://schemas.openxmlformats.org/officeDocument/2006/relationships/hyperlink" Target="http://www.port.ac.uk/" TargetMode="External"/><Relationship Id="rId2029" Type="http://schemas.openxmlformats.org/officeDocument/2006/relationships/hyperlink" Target="http://www.port.ac.uk/accesstoinformation/policies/humanresources/filetodownload,183267,en.pdf" TargetMode="External"/><Relationship Id="rId2410" Type="http://schemas.openxmlformats.org/officeDocument/2006/relationships/hyperlink" Target="http://roarmap.eprints.org/517/" TargetMode="External"/><Relationship Id="rId2411" Type="http://schemas.openxmlformats.org/officeDocument/2006/relationships/hyperlink" Target="http://www.state.gov/" TargetMode="External"/><Relationship Id="rId2412" Type="http://schemas.openxmlformats.org/officeDocument/2006/relationships/hyperlink" Target="http://roarmap.eprints.org/518/" TargetMode="External"/><Relationship Id="rId2413" Type="http://schemas.openxmlformats.org/officeDocument/2006/relationships/hyperlink" Target="http://www.dot.gov/" TargetMode="External"/><Relationship Id="rId2414" Type="http://schemas.openxmlformats.org/officeDocument/2006/relationships/hyperlink" Target="http://roarmap.eprints.org/519/" TargetMode="External"/><Relationship Id="rId2415" Type="http://schemas.openxmlformats.org/officeDocument/2006/relationships/hyperlink" Target="http://www.doi.gov/index.cfm" TargetMode="External"/><Relationship Id="rId2416" Type="http://schemas.openxmlformats.org/officeDocument/2006/relationships/hyperlink" Target="http://roarmap.eprints.org/520/" TargetMode="External"/><Relationship Id="rId2417" Type="http://schemas.openxmlformats.org/officeDocument/2006/relationships/hyperlink" Target="http://www.epa.gov/" TargetMode="External"/><Relationship Id="rId2418" Type="http://schemas.openxmlformats.org/officeDocument/2006/relationships/hyperlink" Target="http://roarmap.eprints.org/521/" TargetMode="External"/><Relationship Id="rId2419" Type="http://schemas.openxmlformats.org/officeDocument/2006/relationships/hyperlink" Target="http://www.faa.gov/" TargetMode="External"/><Relationship Id="rId1730" Type="http://schemas.openxmlformats.org/officeDocument/2006/relationships/hyperlink" Target="http://www.ahrc.ac.uk/Pages/Home.aspx" TargetMode="External"/><Relationship Id="rId1731" Type="http://schemas.openxmlformats.org/officeDocument/2006/relationships/hyperlink" Target="http://www.rcuk.ac.uk/RCUK-prod/assets/documents/documents/RCUKOpenAccessPolicy.pdf" TargetMode="External"/><Relationship Id="rId1732" Type="http://schemas.openxmlformats.org/officeDocument/2006/relationships/hyperlink" Target="http://roarmap.eprints.org/343/" TargetMode="External"/><Relationship Id="rId1733" Type="http://schemas.openxmlformats.org/officeDocument/2006/relationships/hyperlink" Target="http://www.aston.ac.uk/" TargetMode="External"/><Relationship Id="rId1340" Type="http://schemas.openxmlformats.org/officeDocument/2006/relationships/hyperlink" Target="http://roarmap.eprints.org/282/" TargetMode="External"/><Relationship Id="rId1341" Type="http://schemas.openxmlformats.org/officeDocument/2006/relationships/hyperlink" Target="http://www.vscc.ac.ru/" TargetMode="External"/><Relationship Id="rId1342" Type="http://schemas.openxmlformats.org/officeDocument/2006/relationships/hyperlink" Target="http://socionet.ru/" TargetMode="External"/><Relationship Id="rId1343" Type="http://schemas.openxmlformats.org/officeDocument/2006/relationships/hyperlink" Target="http://roarmap.eprints.org/43/" TargetMode="External"/><Relationship Id="rId1344" Type="http://schemas.openxmlformats.org/officeDocument/2006/relationships/hyperlink" Target="http://www.kaust.edu.sa/" TargetMode="External"/><Relationship Id="rId1345" Type="http://schemas.openxmlformats.org/officeDocument/2006/relationships/hyperlink" Target="http://libguides.kaust.edu.sa/OpenAccessPolicy" TargetMode="External"/><Relationship Id="rId1346" Type="http://schemas.openxmlformats.org/officeDocument/2006/relationships/hyperlink" Target="http://repository.kaust.edu.sa/kaust/" TargetMode="External"/><Relationship Id="rId1347" Type="http://schemas.openxmlformats.org/officeDocument/2006/relationships/hyperlink" Target="http://roarmap.eprints.org/44/" TargetMode="External"/><Relationship Id="rId1348" Type="http://schemas.openxmlformats.org/officeDocument/2006/relationships/hyperlink" Target="http://www.a-star.edu.sg/" TargetMode="External"/><Relationship Id="rId1349" Type="http://schemas.openxmlformats.org/officeDocument/2006/relationships/hyperlink" Target="http://roarmap.eprints.org/933/1/FAQ_OAR.pdf" TargetMode="External"/><Relationship Id="rId880" Type="http://schemas.openxmlformats.org/officeDocument/2006/relationships/hyperlink" Target="http://www.dit.ie" TargetMode="External"/><Relationship Id="rId881" Type="http://schemas.openxmlformats.org/officeDocument/2006/relationships/hyperlink" Target="http://arrow.dit.ie/mandate.html" TargetMode="External"/><Relationship Id="rId490" Type="http://schemas.openxmlformats.org/officeDocument/2006/relationships/hyperlink" Target="http://roarmap.eprints.org/175/" TargetMode="External"/><Relationship Id="rId491" Type="http://schemas.openxmlformats.org/officeDocument/2006/relationships/hyperlink" Target="https://www.riigiteataja.ee/aktilisa/3290/1201/4002/strateegia.pdf" TargetMode="External"/><Relationship Id="rId492" Type="http://schemas.openxmlformats.org/officeDocument/2006/relationships/hyperlink" Target="http://roarmap.eprints.org/678/" TargetMode="External"/><Relationship Id="rId493" Type="http://schemas.openxmlformats.org/officeDocument/2006/relationships/hyperlink" Target="http://www.aalto.fi/en/" TargetMode="External"/><Relationship Id="rId494" Type="http://schemas.openxmlformats.org/officeDocument/2006/relationships/hyperlink" Target="http://libguides.aalto.fi/content.php?pid=621981&amp;sid=5317221" TargetMode="External"/><Relationship Id="rId495" Type="http://schemas.openxmlformats.org/officeDocument/2006/relationships/hyperlink" Target="https://aaltodoc.aalto.fi/" TargetMode="External"/><Relationship Id="rId496" Type="http://schemas.openxmlformats.org/officeDocument/2006/relationships/hyperlink" Target="http://roarmap.eprints.org/108/" TargetMode="External"/><Relationship Id="rId497" Type="http://schemas.openxmlformats.org/officeDocument/2006/relationships/hyperlink" Target="http://www.arcada.fi/en" TargetMode="External"/><Relationship Id="rId498" Type="http://schemas.openxmlformats.org/officeDocument/2006/relationships/hyperlink" Target="http://www.arene.fi/data/dokumentit/52bd599d-66f6-41a9-8cb7-6e151ec677d5_open%20access%20julkilausuma.pdf" TargetMode="External"/><Relationship Id="rId499" Type="http://schemas.openxmlformats.org/officeDocument/2006/relationships/hyperlink" Target="http://www.theseus.fi/" TargetMode="External"/><Relationship Id="rId882" Type="http://schemas.openxmlformats.org/officeDocument/2006/relationships/hyperlink" Target="http://arrow.dit.ie/" TargetMode="External"/><Relationship Id="rId883" Type="http://schemas.openxmlformats.org/officeDocument/2006/relationships/hyperlink" Target="http://roarmap.eprints.org/185/" TargetMode="External"/><Relationship Id="rId884" Type="http://schemas.openxmlformats.org/officeDocument/2006/relationships/hyperlink" Target="http://www.hrb.ie/research-strategy-funding/policies-and-guidelines/policies/open-access/" TargetMode="External"/><Relationship Id="rId885" Type="http://schemas.openxmlformats.org/officeDocument/2006/relationships/hyperlink" Target="http://www.hrb.ie/uploads/media/HRB_Policy_on_Open_Access__1_May_2014__01.pdf" TargetMode="External"/><Relationship Id="rId886" Type="http://schemas.openxmlformats.org/officeDocument/2006/relationships/hyperlink" Target="http://roarmap.eprints.org/186/" TargetMode="External"/><Relationship Id="rId887" Type="http://schemas.openxmlformats.org/officeDocument/2006/relationships/hyperlink" Target="http://www.hea.ie/" TargetMode="External"/><Relationship Id="rId888" Type="http://schemas.openxmlformats.org/officeDocument/2006/relationships/hyperlink" Target="http://www.hea.ie/sites/default/files/national_principles_on_open_access_policy_statement_final_23_oct_2012_v1_3_0.pdf" TargetMode="External"/><Relationship Id="rId889" Type="http://schemas.openxmlformats.org/officeDocument/2006/relationships/hyperlink" Target="http://roarmap.eprints.org/187/" TargetMode="External"/><Relationship Id="rId1734" Type="http://schemas.openxmlformats.org/officeDocument/2006/relationships/hyperlink" Target="http://www.aston.ac.uk/library/additional-information-for/aston-authors/astons-open-access-policy/" TargetMode="External"/><Relationship Id="rId1735" Type="http://schemas.openxmlformats.org/officeDocument/2006/relationships/hyperlink" Target="https://research.aston.ac.uk/portal/" TargetMode="External"/><Relationship Id="rId1736" Type="http://schemas.openxmlformats.org/officeDocument/2006/relationships/hyperlink" Target="http://www.aston.ac.uk/library/additional-information-for/aston-authors/open-access-how-to-publish/gold-oa-what-you-need-to-do/" TargetMode="External"/><Relationship Id="rId1737" Type="http://schemas.openxmlformats.org/officeDocument/2006/relationships/hyperlink" Target="http://roarmap.eprints.org/344/" TargetMode="External"/><Relationship Id="rId1738" Type="http://schemas.openxmlformats.org/officeDocument/2006/relationships/hyperlink" Target="http://www.bangor.ac.uk/" TargetMode="External"/><Relationship Id="rId1739" Type="http://schemas.openxmlformats.org/officeDocument/2006/relationships/hyperlink" Target="http://www.bangor.ac.uk/library/resources/documents/Bangor-University-Publications-Policy-02-1D.pdf" TargetMode="External"/><Relationship Id="rId2030" Type="http://schemas.openxmlformats.org/officeDocument/2006/relationships/hyperlink" Target="http://eprints.port.ac.uk/" TargetMode="External"/><Relationship Id="rId2031" Type="http://schemas.openxmlformats.org/officeDocument/2006/relationships/hyperlink" Target="http://www.port.ac.uk/library/help/research/open/" TargetMode="External"/><Relationship Id="rId2032" Type="http://schemas.openxmlformats.org/officeDocument/2006/relationships/hyperlink" Target="http://roarmap.eprints.org/403/" TargetMode="External"/><Relationship Id="rId2033" Type="http://schemas.openxmlformats.org/officeDocument/2006/relationships/hyperlink" Target="http://www.reading.ac.uk/" TargetMode="External"/><Relationship Id="rId2034" Type="http://schemas.openxmlformats.org/officeDocument/2006/relationships/hyperlink" Target="http://www.reading.ac.uk/web/FILES/library/uoropenaccesspolicy.pdf" TargetMode="External"/><Relationship Id="rId2035" Type="http://schemas.openxmlformats.org/officeDocument/2006/relationships/hyperlink" Target="http://centaur.reading.ac.uk/" TargetMode="External"/><Relationship Id="rId2036" Type="http://schemas.openxmlformats.org/officeDocument/2006/relationships/hyperlink" Target="http://www.reading.ac.uk/library/open-access" TargetMode="External"/><Relationship Id="rId2037" Type="http://schemas.openxmlformats.org/officeDocument/2006/relationships/hyperlink" Target="http://roarmap.eprints.org/404/" TargetMode="External"/><Relationship Id="rId2038" Type="http://schemas.openxmlformats.org/officeDocument/2006/relationships/hyperlink" Target="http://www.salford.ac.uk/" TargetMode="External"/><Relationship Id="rId2039" Type="http://schemas.openxmlformats.org/officeDocument/2006/relationships/hyperlink" Target="http://www.salford.ac.uk/__data/assets/pdf_file/0010/508492/Senate_and_committee_report_template_2014-15_open-access-policy.pdf" TargetMode="External"/><Relationship Id="rId2420" Type="http://schemas.openxmlformats.org/officeDocument/2006/relationships/hyperlink" Target="http://roarmap.eprints.org/522/" TargetMode="External"/><Relationship Id="rId2421" Type="http://schemas.openxmlformats.org/officeDocument/2006/relationships/hyperlink" Target="http://www.fhwa.dot.gov/" TargetMode="External"/><Relationship Id="rId2422" Type="http://schemas.openxmlformats.org/officeDocument/2006/relationships/hyperlink" Target="http://roarmap.eprints.org/523/" TargetMode="External"/><Relationship Id="rId2423" Type="http://schemas.openxmlformats.org/officeDocument/2006/relationships/hyperlink" Target="http://www.fda.gov/" TargetMode="External"/><Relationship Id="rId2424" Type="http://schemas.openxmlformats.org/officeDocument/2006/relationships/hyperlink" Target="http://roarmap.eprints.org/524/" TargetMode="External"/><Relationship Id="rId2425" Type="http://schemas.openxmlformats.org/officeDocument/2006/relationships/hyperlink" Target="http://www.usgs.gov/" TargetMode="External"/><Relationship Id="rId2426" Type="http://schemas.openxmlformats.org/officeDocument/2006/relationships/hyperlink" Target="http://roarmap.eprints.org/525/" TargetMode="External"/><Relationship Id="rId2427" Type="http://schemas.openxmlformats.org/officeDocument/2006/relationships/hyperlink" Target="http://www.nasa.gov/" TargetMode="External"/><Relationship Id="rId2428" Type="http://schemas.openxmlformats.org/officeDocument/2006/relationships/hyperlink" Target="http://roarmap.eprints.org/526/" TargetMode="External"/><Relationship Id="rId2429" Type="http://schemas.openxmlformats.org/officeDocument/2006/relationships/hyperlink" Target="http://www.nist.gov/" TargetMode="External"/><Relationship Id="rId1740" Type="http://schemas.openxmlformats.org/officeDocument/2006/relationships/hyperlink" Target="http://dspace.bangor.ac.uk/dspace/" TargetMode="External"/><Relationship Id="rId1741" Type="http://schemas.openxmlformats.org/officeDocument/2006/relationships/hyperlink" Target="http://roarmap.eprints.org/730/" TargetMode="External"/><Relationship Id="rId1742" Type="http://schemas.openxmlformats.org/officeDocument/2006/relationships/hyperlink" Target="http://www.bathspa.ac.uk/" TargetMode="External"/><Relationship Id="rId1743" Type="http://schemas.openxmlformats.org/officeDocument/2006/relationships/hyperlink" Target="http://www.bathspa.ac.uk/regulations/open-access-policy" TargetMode="External"/><Relationship Id="rId1350" Type="http://schemas.openxmlformats.org/officeDocument/2006/relationships/hyperlink" Target="http://oar.a-star.edu.sg/jspui/" TargetMode="External"/><Relationship Id="rId1351" Type="http://schemas.openxmlformats.org/officeDocument/2006/relationships/hyperlink" Target="http://roarmap.eprints.org/45/" TargetMode="External"/><Relationship Id="rId1352" Type="http://schemas.openxmlformats.org/officeDocument/2006/relationships/hyperlink" Target="http://www.ntu.edu.sg/Pages/index.aspx" TargetMode="External"/><Relationship Id="rId1353" Type="http://schemas.openxmlformats.org/officeDocument/2006/relationships/hyperlink" Target="https://www.ntu.edu.sg/library/scholarlycomm/OAmandates/Pages/NTU-OAmandate.aspx" TargetMode="External"/><Relationship Id="rId1354" Type="http://schemas.openxmlformats.org/officeDocument/2006/relationships/hyperlink" Target="http://dr.ntu.edu.sg/" TargetMode="External"/><Relationship Id="rId1355" Type="http://schemas.openxmlformats.org/officeDocument/2006/relationships/hyperlink" Target="http://roarmap.eprints.org/46/" TargetMode="External"/><Relationship Id="rId1356" Type="http://schemas.openxmlformats.org/officeDocument/2006/relationships/hyperlink" Target="http://www.smu.edu.sg/" TargetMode="External"/><Relationship Id="rId1357" Type="http://schemas.openxmlformats.org/officeDocument/2006/relationships/hyperlink" Target="http://library.smu.edu.sg/sites/default/files/library/pdf/smuopenaccesspolicy_24102013.pdf" TargetMode="External"/><Relationship Id="rId1358" Type="http://schemas.openxmlformats.org/officeDocument/2006/relationships/hyperlink" Target="http://ink.library.smu.edu.sg/" TargetMode="External"/><Relationship Id="rId1359" Type="http://schemas.openxmlformats.org/officeDocument/2006/relationships/hyperlink" Target="http://roarmap.eprints.org/284/" TargetMode="External"/><Relationship Id="rId890" Type="http://schemas.openxmlformats.org/officeDocument/2006/relationships/hyperlink" Target="http://research.ie/" TargetMode="External"/><Relationship Id="rId891" Type="http://schemas.openxmlformats.org/officeDocument/2006/relationships/hyperlink" Target="http://research.ie/sites/default/files/irc_open_access_policy_final.doc" TargetMode="External"/><Relationship Id="rId892" Type="http://schemas.openxmlformats.org/officeDocument/2006/relationships/hyperlink" Target="http://rian.ie/" TargetMode="External"/><Relationship Id="rId893" Type="http://schemas.openxmlformats.org/officeDocument/2006/relationships/hyperlink" Target="http://roarmap.eprints.org/188/" TargetMode="External"/><Relationship Id="rId894" Type="http://schemas.openxmlformats.org/officeDocument/2006/relationships/hyperlink" Target="http://library.nuim.ie/" TargetMode="External"/><Relationship Id="rId895" Type="http://schemas.openxmlformats.org/officeDocument/2006/relationships/hyperlink" Target="http://library.nuim.ie/sites/library.nuim.ie/files/editors/PDF/ePrints%20-%20NUIM%20Mandate_0.pdf" TargetMode="External"/><Relationship Id="rId896" Type="http://schemas.openxmlformats.org/officeDocument/2006/relationships/hyperlink" Target="http://eprints.nuim.ie/" TargetMode="External"/><Relationship Id="rId897" Type="http://schemas.openxmlformats.org/officeDocument/2006/relationships/hyperlink" Target="http://roarmap.eprints.org/189/" TargetMode="External"/><Relationship Id="rId898" Type="http://schemas.openxmlformats.org/officeDocument/2006/relationships/hyperlink" Target="http://www.sfi.ie/" TargetMode="External"/><Relationship Id="rId899" Type="http://schemas.openxmlformats.org/officeDocument/2006/relationships/hyperlink" Target="http://www.sfi.ie/assets/files/downloads/Funding/grant_policies/open%20access%20dec%2010.pdf" TargetMode="External"/><Relationship Id="rId1744" Type="http://schemas.openxmlformats.org/officeDocument/2006/relationships/hyperlink" Target="http://researchspace.bathspa.ac.uk/" TargetMode="External"/><Relationship Id="rId1745" Type="http://schemas.openxmlformats.org/officeDocument/2006/relationships/hyperlink" Target="http://roarmap.eprints.org/345/" TargetMode="External"/><Relationship Id="rId1746" Type="http://schemas.openxmlformats.org/officeDocument/2006/relationships/hyperlink" Target="http://www.bbsrc.ac.uk/home/home.aspx" TargetMode="External"/><Relationship Id="rId1747" Type="http://schemas.openxmlformats.org/officeDocument/2006/relationships/hyperlink" Target="http://europepmc.org/" TargetMode="External"/><Relationship Id="rId1748" Type="http://schemas.openxmlformats.org/officeDocument/2006/relationships/hyperlink" Target="http://roarmap.eprints.org/347/" TargetMode="External"/><Relationship Id="rId1749" Type="http://schemas.openxmlformats.org/officeDocument/2006/relationships/hyperlink" Target="http://www.bbk.ac.uk/law/" TargetMode="External"/><Relationship Id="rId2040" Type="http://schemas.openxmlformats.org/officeDocument/2006/relationships/hyperlink" Target="http://usir.salford.ac.uk/" TargetMode="External"/><Relationship Id="rId2041" Type="http://schemas.openxmlformats.org/officeDocument/2006/relationships/hyperlink" Target="http://roarmap.eprints.org/405/" TargetMode="External"/><Relationship Id="rId2042" Type="http://schemas.openxmlformats.org/officeDocument/2006/relationships/hyperlink" Target="http://www.southampton.ac.uk/" TargetMode="External"/><Relationship Id="rId2043" Type="http://schemas.openxmlformats.org/officeDocument/2006/relationships/hyperlink" Target="http://www.southampton.ac.uk/library/research/eprints/policies/oapolicy.html" TargetMode="External"/><Relationship Id="rId2044" Type="http://schemas.openxmlformats.org/officeDocument/2006/relationships/hyperlink" Target="http://eprints.soton.ac.uk/" TargetMode="External"/><Relationship Id="rId2045" Type="http://schemas.openxmlformats.org/officeDocument/2006/relationships/hyperlink" Target="http://roarmap.eprints.org/406/" TargetMode="External"/><Relationship Id="rId2046" Type="http://schemas.openxmlformats.org/officeDocument/2006/relationships/hyperlink" Target="http://www.ecs.soton.ac.uk/" TargetMode="External"/><Relationship Id="rId2047" Type="http://schemas.openxmlformats.org/officeDocument/2006/relationships/hyperlink" Target="http://eprints.soton.ac.uk/" TargetMode="External"/><Relationship Id="rId2048" Type="http://schemas.openxmlformats.org/officeDocument/2006/relationships/hyperlink" Target="http://roarmap.eprints.org/407/" TargetMode="External"/><Relationship Id="rId2049" Type="http://schemas.openxmlformats.org/officeDocument/2006/relationships/hyperlink" Target="http://www.st-andrews.ac.uk/" TargetMode="External"/><Relationship Id="rId2430" Type="http://schemas.openxmlformats.org/officeDocument/2006/relationships/hyperlink" Target="http://roarmap.eprints.org/527/" TargetMode="External"/><Relationship Id="rId2431" Type="http://schemas.openxmlformats.org/officeDocument/2006/relationships/hyperlink" Target="http://www.noaa.gov/index.html" TargetMode="External"/><Relationship Id="rId2432" Type="http://schemas.openxmlformats.org/officeDocument/2006/relationships/hyperlink" Target="http://roarmap.eprints.org/528/" TargetMode="External"/><Relationship Id="rId2433" Type="http://schemas.openxmlformats.org/officeDocument/2006/relationships/hyperlink" Target="http://www.nsf.gov/" TargetMode="External"/><Relationship Id="rId2434" Type="http://schemas.openxmlformats.org/officeDocument/2006/relationships/hyperlink" Target="http://www.nsf.gov/news/special_reports/public_access/" TargetMode="External"/><Relationship Id="rId2435" Type="http://schemas.openxmlformats.org/officeDocument/2006/relationships/hyperlink" Target="http://roarmap.eprints.org/529/" TargetMode="External"/><Relationship Id="rId2436" Type="http://schemas.openxmlformats.org/officeDocument/2006/relationships/hyperlink" Target="http://www.whitehouse.gov/administration/eop/ostp" TargetMode="External"/><Relationship Id="rId2437" Type="http://schemas.openxmlformats.org/officeDocument/2006/relationships/hyperlink" Target="http://www.whitehouse.gov/sites/default/files/microsites/ostp/ostp_public_access_memo_2013.pdf" TargetMode="External"/><Relationship Id="rId2438" Type="http://schemas.openxmlformats.org/officeDocument/2006/relationships/hyperlink" Target="http://roarmap.eprints.org/530/" TargetMode="External"/><Relationship Id="rId2439" Type="http://schemas.openxmlformats.org/officeDocument/2006/relationships/hyperlink" Target="http://www.usaid.gov/" TargetMode="External"/><Relationship Id="rId100" Type="http://schemas.openxmlformats.org/officeDocument/2006/relationships/hyperlink" Target="http://www.cqu.edu.au/" TargetMode="External"/><Relationship Id="rId101" Type="http://schemas.openxmlformats.org/officeDocument/2006/relationships/hyperlink" Target="http://policy.cqu.edu.au/Policy/policy_file.do?policyid=749" TargetMode="External"/><Relationship Id="rId102" Type="http://schemas.openxmlformats.org/officeDocument/2006/relationships/hyperlink" Target="http://acquire.cqu.edu.au:8080/vital/access/manager/Index;jsessionid=FFC11B0893745BB8866A84B2195746AE" TargetMode="External"/><Relationship Id="rId103" Type="http://schemas.openxmlformats.org/officeDocument/2006/relationships/hyperlink" Target="http://roarmap.eprints.org/583/" TargetMode="External"/><Relationship Id="rId104" Type="http://schemas.openxmlformats.org/officeDocument/2006/relationships/hyperlink" Target="http://www.unimelb.edu.au/" TargetMode="External"/><Relationship Id="rId105" Type="http://schemas.openxmlformats.org/officeDocument/2006/relationships/hyperlink" Target="http://gradresearch.unimelb.edu.au/exams/digital-thesis.html" TargetMode="External"/><Relationship Id="rId106" Type="http://schemas.openxmlformats.org/officeDocument/2006/relationships/hyperlink" Target="http://library.unimelb.edu.au/digitalcollections/research_collections" TargetMode="External"/><Relationship Id="rId107" Type="http://schemas.openxmlformats.org/officeDocument/2006/relationships/hyperlink" Target="http://roarmap.eprints.org/586/" TargetMode="External"/><Relationship Id="rId108" Type="http://schemas.openxmlformats.org/officeDocument/2006/relationships/hyperlink" Target="http://www.unsw.edu.au/" TargetMode="External"/><Relationship Id="rId109" Type="http://schemas.openxmlformats.org/officeDocument/2006/relationships/hyperlink" Target="http://research.unsw.edu.au/document/thesis_format_guide.pdf" TargetMode="External"/><Relationship Id="rId1750" Type="http://schemas.openxmlformats.org/officeDocument/2006/relationships/hyperlink" Target="http://www.bbk.ac.uk/lib/elib/BIROn/mandate-to-deposit" TargetMode="External"/><Relationship Id="rId1751" Type="http://schemas.openxmlformats.org/officeDocument/2006/relationships/hyperlink" Target="http://eprints.bbk.ac.uk/" TargetMode="External"/><Relationship Id="rId1752" Type="http://schemas.openxmlformats.org/officeDocument/2006/relationships/hyperlink" Target="http://roarmap.eprints.org/346/" TargetMode="External"/><Relationship Id="rId1753" Type="http://schemas.openxmlformats.org/officeDocument/2006/relationships/hyperlink" Target="http://www.bbk.ac.uk/front-page" TargetMode="External"/><Relationship Id="rId1360" Type="http://schemas.openxmlformats.org/officeDocument/2006/relationships/hyperlink" Target="http://www.cvtisr.sk/" TargetMode="External"/><Relationship Id="rId1361" Type="http://schemas.openxmlformats.org/officeDocument/2006/relationships/hyperlink" Target="http://www.crzp.sk/crzpopacxe" TargetMode="External"/><Relationship Id="rId1362" Type="http://schemas.openxmlformats.org/officeDocument/2006/relationships/hyperlink" Target="http://roarmap.eprints.org/75/" TargetMode="External"/><Relationship Id="rId1363" Type="http://schemas.openxmlformats.org/officeDocument/2006/relationships/hyperlink" Target="http://rifee.vn/" TargetMode="External"/><Relationship Id="rId1364" Type="http://schemas.openxmlformats.org/officeDocument/2006/relationships/hyperlink" Target="http://rifee.vn/posts/an-pham-khoa-hoc-12" TargetMode="External"/><Relationship Id="rId1365" Type="http://schemas.openxmlformats.org/officeDocument/2006/relationships/hyperlink" Target="http://roarmap.eprints.org/285/" TargetMode="External"/><Relationship Id="rId1366" Type="http://schemas.openxmlformats.org/officeDocument/2006/relationships/hyperlink" Target="http://www.uni-lj.si/" TargetMode="External"/><Relationship Id="rId1367" Type="http://schemas.openxmlformats.org/officeDocument/2006/relationships/hyperlink" Target="http://www.uradni-list.si/1/content?id=114726" TargetMode="External"/><Relationship Id="rId1368" Type="http://schemas.openxmlformats.org/officeDocument/2006/relationships/hyperlink" Target="https://repozitorij.uni-lj.si" TargetMode="External"/><Relationship Id="rId1369" Type="http://schemas.openxmlformats.org/officeDocument/2006/relationships/hyperlink" Target="http://roarmap.eprints.org/286/" TargetMode="External"/><Relationship Id="rId1754" Type="http://schemas.openxmlformats.org/officeDocument/2006/relationships/hyperlink" Target="http://www.bbk.ac.uk/lib/elib/BIROn/mandate-to-deposit" TargetMode="External"/><Relationship Id="rId1755" Type="http://schemas.openxmlformats.org/officeDocument/2006/relationships/hyperlink" Target="http://eprints.bbk.ac.uk/" TargetMode="External"/><Relationship Id="rId1756" Type="http://schemas.openxmlformats.org/officeDocument/2006/relationships/hyperlink" Target="http://roarmap.eprints.org/728/" TargetMode="External"/><Relationship Id="rId1757" Type="http://schemas.openxmlformats.org/officeDocument/2006/relationships/hyperlink" Target="http://www.breastcancercampaign.org/" TargetMode="External"/><Relationship Id="rId1758" Type="http://schemas.openxmlformats.org/officeDocument/2006/relationships/hyperlink" Target="http://www.breastcancercampaign.org/documents/research/open-access-policy-sept2014-update.pdf" TargetMode="External"/><Relationship Id="rId1759" Type="http://schemas.openxmlformats.org/officeDocument/2006/relationships/hyperlink" Target="http://europepmc.org/" TargetMode="External"/><Relationship Id="rId2050" Type="http://schemas.openxmlformats.org/officeDocument/2006/relationships/hyperlink" Target="http://www.st-andrews.ac.uk/library/services/researchsupport/openaccess/oapolicy/" TargetMode="External"/><Relationship Id="rId2051" Type="http://schemas.openxmlformats.org/officeDocument/2006/relationships/hyperlink" Target="http://research-repository.st-andrews.ac.uk/" TargetMode="External"/><Relationship Id="rId2052" Type="http://schemas.openxmlformats.org/officeDocument/2006/relationships/hyperlink" Target="http://roarmap.eprints.org/408/" TargetMode="External"/><Relationship Id="rId2053" Type="http://schemas.openxmlformats.org/officeDocument/2006/relationships/hyperlink" Target="http://www.stir.ac.uk/" TargetMode="External"/><Relationship Id="rId2054" Type="http://schemas.openxmlformats.org/officeDocument/2006/relationships/hyperlink" Target="http://www.stir.ac.uk/is/researchers/writing/publishingimpact/openaccesspublishing/" TargetMode="External"/><Relationship Id="rId2055" Type="http://schemas.openxmlformats.org/officeDocument/2006/relationships/hyperlink" Target="https://dspace.stir.ac.uk/" TargetMode="External"/><Relationship Id="rId2056" Type="http://schemas.openxmlformats.org/officeDocument/2006/relationships/hyperlink" Target="http://roarmap.eprints.org/409/" TargetMode="External"/><Relationship Id="rId2057" Type="http://schemas.openxmlformats.org/officeDocument/2006/relationships/hyperlink" Target="http://www.strath.ac.uk/" TargetMode="External"/><Relationship Id="rId2058" Type="http://schemas.openxmlformats.org/officeDocument/2006/relationships/hyperlink" Target="http://strathprints.strath.ac.uk/Strathclyde_Publications_Mandate2v4.pdf" TargetMode="External"/><Relationship Id="rId2059" Type="http://schemas.openxmlformats.org/officeDocument/2006/relationships/hyperlink" Target="http://strathprints.strath.ac.uk/" TargetMode="External"/><Relationship Id="rId2440" Type="http://schemas.openxmlformats.org/officeDocument/2006/relationships/hyperlink" Target="http://roarmap.eprints.org/532/" TargetMode="External"/><Relationship Id="rId2441" Type="http://schemas.openxmlformats.org/officeDocument/2006/relationships/hyperlink" Target="http://www.universityofcalifornia.edu/" TargetMode="External"/><Relationship Id="rId2442" Type="http://schemas.openxmlformats.org/officeDocument/2006/relationships/hyperlink" Target="http://osc.universityofcalifornia.edu/open-access-policy/" TargetMode="External"/><Relationship Id="rId2443" Type="http://schemas.openxmlformats.org/officeDocument/2006/relationships/hyperlink" Target="http://escholarship.org/" TargetMode="External"/><Relationship Id="rId2444" Type="http://schemas.openxmlformats.org/officeDocument/2006/relationships/hyperlink" Target="http://roarmap.eprints.org/533/" TargetMode="External"/><Relationship Id="rId2445" Type="http://schemas.openxmlformats.org/officeDocument/2006/relationships/hyperlink" Target="http://www.ucsf.edu/" TargetMode="External"/><Relationship Id="rId2446" Type="http://schemas.openxmlformats.org/officeDocument/2006/relationships/hyperlink" Target="http://www.library.ucsf.edu/sites/all/files/ucsf_assets/ucsf_oa_policy.pdf" TargetMode="External"/><Relationship Id="rId2447" Type="http://schemas.openxmlformats.org/officeDocument/2006/relationships/hyperlink" Target="http://escholarship.org/" TargetMode="External"/><Relationship Id="rId2448" Type="http://schemas.openxmlformats.org/officeDocument/2006/relationships/hyperlink" Target="http://roarmap.eprints.org/534/" TargetMode="External"/><Relationship Id="rId2449" Type="http://schemas.openxmlformats.org/officeDocument/2006/relationships/hyperlink" Target="http://www.ucf.edu/" TargetMode="External"/></Relationships>
</file>

<file path=xl/worksheets/_rels/sheet4.xml.rels><?xml version="1.0" encoding="UTF-8" standalone="yes"?>
<Relationships xmlns="http://schemas.openxmlformats.org/package/2006/relationships"><Relationship Id="rId1403" Type="http://schemas.openxmlformats.org/officeDocument/2006/relationships/hyperlink" Target="http://www.temple.edu/" TargetMode="External"/><Relationship Id="rId1404" Type="http://schemas.openxmlformats.org/officeDocument/2006/relationships/hyperlink" Target="http://www.temple.edu/dissertationhandbook/publishcopyright.html" TargetMode="External"/><Relationship Id="rId1405" Type="http://schemas.openxmlformats.org/officeDocument/2006/relationships/hyperlink" Target="http://digital.library.temple.edu/cdm/" TargetMode="External"/><Relationship Id="rId1406" Type="http://schemas.openxmlformats.org/officeDocument/2006/relationships/hyperlink" Target="http://roarmap.eprints.org/504/" TargetMode="External"/><Relationship Id="rId1407" Type="http://schemas.openxmlformats.org/officeDocument/2006/relationships/hyperlink" Target="http://www.tamu.edu/" TargetMode="External"/><Relationship Id="rId1408" Type="http://schemas.openxmlformats.org/officeDocument/2006/relationships/hyperlink" Target="http://ogs.tamu.edu/wp-content/uploads/2012/07/Thesis_Manual_July_2013_minorrevision_8_22_13.pdf" TargetMode="External"/><Relationship Id="rId1409" Type="http://schemas.openxmlformats.org/officeDocument/2006/relationships/hyperlink" Target="http://oaktrust.library.tamu.edu/" TargetMode="External"/><Relationship Id="rId30" Type="http://schemas.openxmlformats.org/officeDocument/2006/relationships/hyperlink" Target="http://www.deakin.edu.au/" TargetMode="External"/><Relationship Id="rId31" Type="http://schemas.openxmlformats.org/officeDocument/2006/relationships/hyperlink" Target="http://theguide.deakin.edu.au/TheGuide/TheGuide2011.nsf/191d0d51322b3a04ca2576be00064063/7299b3cb34d37e45ca257acb002546a3?OpenDocument" TargetMode="External"/><Relationship Id="rId32" Type="http://schemas.openxmlformats.org/officeDocument/2006/relationships/hyperlink" Target="http://dro.deakin.edu.au/" TargetMode="External"/><Relationship Id="rId33" Type="http://schemas.openxmlformats.org/officeDocument/2006/relationships/hyperlink" Target="http://roarmap.eprints.org/576/" TargetMode="External"/><Relationship Id="rId34" Type="http://schemas.openxmlformats.org/officeDocument/2006/relationships/hyperlink" Target="http://www.murdoch.edu.au/" TargetMode="External"/><Relationship Id="rId35" Type="http://schemas.openxmlformats.org/officeDocument/2006/relationships/hyperlink" Target="http://our.murdoch.edu.au/Research-and-Development/Resources-for-students/Thesis/Access-to-thesis/" TargetMode="External"/><Relationship Id="rId36" Type="http://schemas.openxmlformats.org/officeDocument/2006/relationships/hyperlink" Target="http://researchrepository.murdoch.edu.au/" TargetMode="External"/><Relationship Id="rId37" Type="http://schemas.openxmlformats.org/officeDocument/2006/relationships/hyperlink" Target="http://roarmap.eprints.org/577/" TargetMode="External"/><Relationship Id="rId38" Type="http://schemas.openxmlformats.org/officeDocument/2006/relationships/hyperlink" Target="http://www.nhmrc.gov.au/" TargetMode="External"/><Relationship Id="rId39" Type="http://schemas.openxmlformats.org/officeDocument/2006/relationships/hyperlink" Target="http://www.nhmrc.gov.au/grants/policy/nhmrc-open-access-policy" TargetMode="External"/><Relationship Id="rId400" Type="http://schemas.openxmlformats.org/officeDocument/2006/relationships/hyperlink" Target="http://sam.ensam.eu" TargetMode="External"/><Relationship Id="rId401" Type="http://schemas.openxmlformats.org/officeDocument/2006/relationships/hyperlink" Target="http://roarmap.eprints.org/634/" TargetMode="External"/><Relationship Id="rId402" Type="http://schemas.openxmlformats.org/officeDocument/2006/relationships/hyperlink" Target="http://www.eur-oceans.eu/" TargetMode="External"/><Relationship Id="rId403" Type="http://schemas.openxmlformats.org/officeDocument/2006/relationships/hyperlink" Target="http://www.eur-oceans.eu/LogosPolicies" TargetMode="External"/><Relationship Id="rId404" Type="http://schemas.openxmlformats.org/officeDocument/2006/relationships/hyperlink" Target="https://www.openaire.eu/" TargetMode="External"/><Relationship Id="rId405" Type="http://schemas.openxmlformats.org/officeDocument/2006/relationships/hyperlink" Target="http://roarmap.eprints.org/140/" TargetMode="External"/><Relationship Id="rId406" Type="http://schemas.openxmlformats.org/officeDocument/2006/relationships/hyperlink" Target="http://institut.inra.fr/en" TargetMode="External"/><Relationship Id="rId407" Type="http://schemas.openxmlformats.org/officeDocument/2006/relationships/hyperlink" Target="http://prodinra.inra.fr/?locale=en" TargetMode="External"/><Relationship Id="rId408" Type="http://schemas.openxmlformats.org/officeDocument/2006/relationships/hyperlink" Target="http://roarmap.eprints.org/141/" TargetMode="External"/><Relationship Id="rId409" Type="http://schemas.openxmlformats.org/officeDocument/2006/relationships/hyperlink" Target="http://www.inra.fr/" TargetMode="External"/><Relationship Id="rId1280" Type="http://schemas.openxmlformats.org/officeDocument/2006/relationships/hyperlink" Target="http://roarmap.eprints.org/452/" TargetMode="External"/><Relationship Id="rId1281" Type="http://schemas.openxmlformats.org/officeDocument/2006/relationships/hyperlink" Target="http://www.bucknell.edu/" TargetMode="External"/><Relationship Id="rId1282" Type="http://schemas.openxmlformats.org/officeDocument/2006/relationships/hyperlink" Target="https://www.bucknell.edu/library-and-information-technology/library/open-access/open-access-publishing-policy.html" TargetMode="External"/><Relationship Id="rId1283" Type="http://schemas.openxmlformats.org/officeDocument/2006/relationships/hyperlink" Target="http://digitalcommons.bucknell.edu/" TargetMode="External"/><Relationship Id="rId1284" Type="http://schemas.openxmlformats.org/officeDocument/2006/relationships/hyperlink" Target="http://roarmap.eprints.org/458/" TargetMode="External"/><Relationship Id="rId1285" Type="http://schemas.openxmlformats.org/officeDocument/2006/relationships/hyperlink" Target="http://www.ldeo.columbia.edu/" TargetMode="External"/><Relationship Id="rId1286" Type="http://schemas.openxmlformats.org/officeDocument/2006/relationships/hyperlink" Target="http://scholcomm.columbia.edu/open-access/open-access-policies/lamont-doherty-earth-observatory-open-access-policy/" TargetMode="External"/><Relationship Id="rId1287" Type="http://schemas.openxmlformats.org/officeDocument/2006/relationships/hyperlink" Target="http://academiccommons.columbia.edu/" TargetMode="External"/><Relationship Id="rId1288" Type="http://schemas.openxmlformats.org/officeDocument/2006/relationships/hyperlink" Target="http://roarmap.eprints.org/459/" TargetMode="External"/><Relationship Id="rId1289" Type="http://schemas.openxmlformats.org/officeDocument/2006/relationships/hyperlink" Target="http://library.columbia.edu/" TargetMode="External"/><Relationship Id="rId280" Type="http://schemas.openxmlformats.org/officeDocument/2006/relationships/hyperlink" Target="http://roarmap.eprints.org/103/" TargetMode="External"/><Relationship Id="rId281" Type="http://schemas.openxmlformats.org/officeDocument/2006/relationships/hyperlink" Target="http://ufm.dk/" TargetMode="External"/><Relationship Id="rId282" Type="http://schemas.openxmlformats.org/officeDocument/2006/relationships/hyperlink" Target="http://ufm.dk/en/research-and-innovation/cooperation-between-research-and-innovation/open-science/open-access-policy-for-public-research-councils-and-foundations?searchterm=open%0A%20%20%20%20%20%20%20%20%20%20%20%20%20%20%20access" TargetMode="External"/><Relationship Id="rId283" Type="http://schemas.openxmlformats.org/officeDocument/2006/relationships/hyperlink" Target="http://roarmap.eprints.org/105/" TargetMode="External"/><Relationship Id="rId284" Type="http://schemas.openxmlformats.org/officeDocument/2006/relationships/hyperlink" Target="http://www.norden.org/en" TargetMode="External"/><Relationship Id="rId285" Type="http://schemas.openxmlformats.org/officeDocument/2006/relationships/hyperlink" Target="http://www.norden.org/en/publications/open-access/open-access-mandate" TargetMode="External"/><Relationship Id="rId286" Type="http://schemas.openxmlformats.org/officeDocument/2006/relationships/hyperlink" Target="http://norden.diva-portal.org/smash/search.jsf" TargetMode="External"/><Relationship Id="rId287" Type="http://schemas.openxmlformats.org/officeDocument/2006/relationships/hyperlink" Target="http://roarmap.eprints.org/106/" TargetMode="External"/><Relationship Id="rId288" Type="http://schemas.openxmlformats.org/officeDocument/2006/relationships/hyperlink" Target="http://www.ruc.dk/en/" TargetMode="External"/><Relationship Id="rId289" Type="http://schemas.openxmlformats.org/officeDocument/2006/relationships/hyperlink" Target="http://rudar.ruc.dk/bitstream/1800/5149/1/Digitaliserings_arkiveringspolitik.pdf" TargetMode="External"/><Relationship Id="rId730" Type="http://schemas.openxmlformats.org/officeDocument/2006/relationships/hyperlink" Target="http://roarmap.eprints.org/933/1/FAQ_OAR.pdf" TargetMode="External"/><Relationship Id="rId731" Type="http://schemas.openxmlformats.org/officeDocument/2006/relationships/hyperlink" Target="http://oar.a-star.edu.sg/jspui/" TargetMode="External"/><Relationship Id="rId732" Type="http://schemas.openxmlformats.org/officeDocument/2006/relationships/hyperlink" Target="http://roarmap.eprints.org/45/" TargetMode="External"/><Relationship Id="rId733" Type="http://schemas.openxmlformats.org/officeDocument/2006/relationships/hyperlink" Target="http://www.ntu.edu.sg/Pages/index.aspx" TargetMode="External"/><Relationship Id="rId734" Type="http://schemas.openxmlformats.org/officeDocument/2006/relationships/hyperlink" Target="https://www.ntu.edu.sg/library/scholarlycomm/OAmandates/Pages/NTU-OAmandate.aspx" TargetMode="External"/><Relationship Id="rId735" Type="http://schemas.openxmlformats.org/officeDocument/2006/relationships/hyperlink" Target="http://dr.ntu.edu.sg/" TargetMode="External"/><Relationship Id="rId736" Type="http://schemas.openxmlformats.org/officeDocument/2006/relationships/hyperlink" Target="http://roarmap.eprints.org/46/" TargetMode="External"/><Relationship Id="rId737" Type="http://schemas.openxmlformats.org/officeDocument/2006/relationships/hyperlink" Target="http://www.smu.edu.sg/" TargetMode="External"/><Relationship Id="rId738" Type="http://schemas.openxmlformats.org/officeDocument/2006/relationships/hyperlink" Target="http://library.smu.edu.sg/sites/default/files/library/pdf/smuopenaccesspolicy_24102013.pdf" TargetMode="External"/><Relationship Id="rId739" Type="http://schemas.openxmlformats.org/officeDocument/2006/relationships/hyperlink" Target="http://ink.library.smu.edu.sg/" TargetMode="External"/><Relationship Id="rId1410" Type="http://schemas.openxmlformats.org/officeDocument/2006/relationships/hyperlink" Target="http://roarmap.eprints.org/505/" TargetMode="External"/><Relationship Id="rId1411" Type="http://schemas.openxmlformats.org/officeDocument/2006/relationships/hyperlink" Target="http://www.wooster.edu/" TargetMode="External"/><Relationship Id="rId1412" Type="http://schemas.openxmlformats.org/officeDocument/2006/relationships/hyperlink" Target="http://openaccess.voices.wooster.edu/policy/" TargetMode="External"/><Relationship Id="rId1413" Type="http://schemas.openxmlformats.org/officeDocument/2006/relationships/hyperlink" Target="http://openworks.wooster.edu/" TargetMode="External"/><Relationship Id="rId1414" Type="http://schemas.openxmlformats.org/officeDocument/2006/relationships/hyperlink" Target="http://roarmap.eprints.org/506/" TargetMode="External"/><Relationship Id="rId1415" Type="http://schemas.openxmlformats.org/officeDocument/2006/relationships/hyperlink" Target="http://new.trinity.edu/" TargetMode="External"/><Relationship Id="rId1416" Type="http://schemas.openxmlformats.org/officeDocument/2006/relationships/hyperlink" Target="http://blog.trinity.edu/open_access/93/" TargetMode="External"/><Relationship Id="rId1417" Type="http://schemas.openxmlformats.org/officeDocument/2006/relationships/hyperlink" Target="http://roarmap.eprints.org/507/" TargetMode="External"/><Relationship Id="rId1418" Type="http://schemas.openxmlformats.org/officeDocument/2006/relationships/hyperlink" Target="http://www.ahrq.gov/" TargetMode="External"/><Relationship Id="rId1419" Type="http://schemas.openxmlformats.org/officeDocument/2006/relationships/hyperlink" Target="http://www.ahrq.gov/funding/policies/publicaccess/index.html" TargetMode="External"/><Relationship Id="rId40" Type="http://schemas.openxmlformats.org/officeDocument/2006/relationships/hyperlink" Target="http://www.nhmrc.gov.au/" TargetMode="External"/><Relationship Id="rId41" Type="http://schemas.openxmlformats.org/officeDocument/2006/relationships/hyperlink" Target="http://roarmap.eprints.org/579/" TargetMode="External"/><Relationship Id="rId42" Type="http://schemas.openxmlformats.org/officeDocument/2006/relationships/hyperlink" Target="http://www.qut.edu.au/" TargetMode="External"/><Relationship Id="rId43" Type="http://schemas.openxmlformats.org/officeDocument/2006/relationships/hyperlink" Target="http://www.mopp.qut.edu.au/F/F_01_03.jsp" TargetMode="External"/><Relationship Id="rId44" Type="http://schemas.openxmlformats.org/officeDocument/2006/relationships/hyperlink" Target="http://eprints.qut.edu.au/" TargetMode="External"/><Relationship Id="rId45" Type="http://schemas.openxmlformats.org/officeDocument/2006/relationships/hyperlink" Target="http://roarmap.eprints.org/581/" TargetMode="External"/><Relationship Id="rId46" Type="http://schemas.openxmlformats.org/officeDocument/2006/relationships/hyperlink" Target="http://www.swinburne.edu.au/" TargetMode="External"/><Relationship Id="rId47" Type="http://schemas.openxmlformats.org/officeDocument/2006/relationships/hyperlink" Target="http://www.research.swinburne.edu.au/research-students/documents/format_of_examinable_outcome.pdf" TargetMode="External"/><Relationship Id="rId48" Type="http://schemas.openxmlformats.org/officeDocument/2006/relationships/hyperlink" Target="http://researchbank.swinburne.edu.au/vital/access/manager/Index" TargetMode="External"/><Relationship Id="rId49" Type="http://schemas.openxmlformats.org/officeDocument/2006/relationships/hyperlink" Target="http://roarmap.eprints.org/582/" TargetMode="External"/><Relationship Id="rId410" Type="http://schemas.openxmlformats.org/officeDocument/2006/relationships/hyperlink" Target="http://roarmap.eprints.org/6/" TargetMode="External"/><Relationship Id="rId411" Type="http://schemas.openxmlformats.org/officeDocument/2006/relationships/hyperlink" Target="http://roarmap.eprints.org/142/" TargetMode="External"/><Relationship Id="rId412" Type="http://schemas.openxmlformats.org/officeDocument/2006/relationships/hyperlink" Target="http://www.inria.fr/en/" TargetMode="External"/><Relationship Id="rId413" Type="http://schemas.openxmlformats.org/officeDocument/2006/relationships/hyperlink" Target="http://seism.inria.fr/hal/aide/spip.php?article328&amp;lang=en" TargetMode="External"/><Relationship Id="rId414" Type="http://schemas.openxmlformats.org/officeDocument/2006/relationships/hyperlink" Target="http://hal.inria.fr/" TargetMode="External"/><Relationship Id="rId415" Type="http://schemas.openxmlformats.org/officeDocument/2006/relationships/hyperlink" Target="http://roarmap.eprints.org/143/" TargetMode="External"/><Relationship Id="rId416" Type="http://schemas.openxmlformats.org/officeDocument/2006/relationships/hyperlink" Target="http://english.inserm.fr/" TargetMode="External"/><Relationship Id="rId417" Type="http://schemas.openxmlformats.org/officeDocument/2006/relationships/hyperlink" Target="http://www.hal.inserm.fr/" TargetMode="External"/><Relationship Id="rId418" Type="http://schemas.openxmlformats.org/officeDocument/2006/relationships/hyperlink" Target="http://roarmap.eprints.org/145/" TargetMode="External"/><Relationship Id="rId419" Type="http://schemas.openxmlformats.org/officeDocument/2006/relationships/hyperlink" Target="http://www.institutnicod.org/" TargetMode="External"/><Relationship Id="rId1290" Type="http://schemas.openxmlformats.org/officeDocument/2006/relationships/hyperlink" Target="http://scholcomm.columbia.edu/open-access/open-access-policies/columbia-university-libraries-information-services-open-access-policy/" TargetMode="External"/><Relationship Id="rId1291" Type="http://schemas.openxmlformats.org/officeDocument/2006/relationships/hyperlink" Target="http://academiccommons.columbia.edu/" TargetMode="External"/><Relationship Id="rId1292" Type="http://schemas.openxmlformats.org/officeDocument/2006/relationships/hyperlink" Target="http://roarmap.eprints.org/461/" TargetMode="External"/><Relationship Id="rId1293" Type="http://schemas.openxmlformats.org/officeDocument/2006/relationships/hyperlink" Target="http://www.mailman.columbia.edu/" TargetMode="External"/><Relationship Id="rId1294" Type="http://schemas.openxmlformats.org/officeDocument/2006/relationships/hyperlink" Target="http://scholcomm.columbia.edu/open-access/open-access-policies/mailman-school-of-public-health-open-access-policy/" TargetMode="External"/><Relationship Id="rId1295" Type="http://schemas.openxmlformats.org/officeDocument/2006/relationships/hyperlink" Target="http://academiccommons.columbia.edu/" TargetMode="External"/><Relationship Id="rId1296" Type="http://schemas.openxmlformats.org/officeDocument/2006/relationships/hyperlink" Target="http://roarmap.eprints.org/462/" TargetMode="External"/><Relationship Id="rId1297" Type="http://schemas.openxmlformats.org/officeDocument/2006/relationships/hyperlink" Target="http://www.conncoll.edu/" TargetMode="External"/><Relationship Id="rId1298" Type="http://schemas.openxmlformats.org/officeDocument/2006/relationships/hyperlink" Target="http://www.conncoll.edu/media/website-media/libraries/Open-Access-Policy-of-the-Connecticut-College-Faculty.pdf" TargetMode="External"/><Relationship Id="rId1299" Type="http://schemas.openxmlformats.org/officeDocument/2006/relationships/hyperlink" Target="http://digitalcommons.conncoll.edu/" TargetMode="External"/><Relationship Id="rId290" Type="http://schemas.openxmlformats.org/officeDocument/2006/relationships/hyperlink" Target="http://rudar.ruc.dk/" TargetMode="External"/><Relationship Id="rId291" Type="http://schemas.openxmlformats.org/officeDocument/2006/relationships/hyperlink" Target="http://roarmap.eprints.org/177/" TargetMode="External"/><Relationship Id="rId292" Type="http://schemas.openxmlformats.org/officeDocument/2006/relationships/hyperlink" Target="http://www.etag.ee/en/estonian-research-council/" TargetMode="External"/><Relationship Id="rId293" Type="http://schemas.openxmlformats.org/officeDocument/2006/relationships/hyperlink" Target="http://www.etag.ee/rahastamine/personaalne-uurimistoetus/put-taotlusvoor-2013/" TargetMode="External"/><Relationship Id="rId294" Type="http://schemas.openxmlformats.org/officeDocument/2006/relationships/hyperlink" Target="https://www.etis.ee/portaal/tTpublikatsioonid.aspx?lang=en" TargetMode="External"/><Relationship Id="rId295" Type="http://schemas.openxmlformats.org/officeDocument/2006/relationships/hyperlink" Target="http://roarmap.eprints.org/176/" TargetMode="External"/><Relationship Id="rId296" Type="http://schemas.openxmlformats.org/officeDocument/2006/relationships/hyperlink" Target="http://www.hm.ee/?1" TargetMode="External"/><Relationship Id="rId297" Type="http://schemas.openxmlformats.org/officeDocument/2006/relationships/hyperlink" Target="https://www.riigiteataja.ee/akt/119022014016" TargetMode="External"/><Relationship Id="rId298" Type="http://schemas.openxmlformats.org/officeDocument/2006/relationships/hyperlink" Target="http://www.etis.ee" TargetMode="External"/><Relationship Id="rId299" Type="http://schemas.openxmlformats.org/officeDocument/2006/relationships/hyperlink" Target="http://roarmap.eprints.org/108/" TargetMode="External"/><Relationship Id="rId740" Type="http://schemas.openxmlformats.org/officeDocument/2006/relationships/hyperlink" Target="http://roarmap.eprints.org/284/" TargetMode="External"/><Relationship Id="rId741" Type="http://schemas.openxmlformats.org/officeDocument/2006/relationships/hyperlink" Target="http://www.cvtisr.sk/" TargetMode="External"/><Relationship Id="rId742" Type="http://schemas.openxmlformats.org/officeDocument/2006/relationships/hyperlink" Target="http://www.crzp.sk/crzpopacxe" TargetMode="External"/><Relationship Id="rId743" Type="http://schemas.openxmlformats.org/officeDocument/2006/relationships/hyperlink" Target="http://roarmap.eprints.org/285/" TargetMode="External"/><Relationship Id="rId744" Type="http://schemas.openxmlformats.org/officeDocument/2006/relationships/hyperlink" Target="http://www.uni-lj.si/" TargetMode="External"/><Relationship Id="rId745" Type="http://schemas.openxmlformats.org/officeDocument/2006/relationships/hyperlink" Target="http://www.uradni-list.si/1/content?id=114726" TargetMode="External"/><Relationship Id="rId746" Type="http://schemas.openxmlformats.org/officeDocument/2006/relationships/hyperlink" Target="https://repozitorij.uni-lj.si" TargetMode="External"/><Relationship Id="rId747" Type="http://schemas.openxmlformats.org/officeDocument/2006/relationships/hyperlink" Target="http://roarmap.eprints.org/687/" TargetMode="External"/><Relationship Id="rId748" Type="http://schemas.openxmlformats.org/officeDocument/2006/relationships/hyperlink" Target="http://www.nrf.ac.za" TargetMode="External"/><Relationship Id="rId749" Type="http://schemas.openxmlformats.org/officeDocument/2006/relationships/hyperlink" Target="http://hdl.handle.net/10907/103" TargetMode="External"/><Relationship Id="rId1420" Type="http://schemas.openxmlformats.org/officeDocument/2006/relationships/hyperlink" Target="http://www.ncbi.nlm.nih.gov/pmc/" TargetMode="External"/><Relationship Id="rId1421" Type="http://schemas.openxmlformats.org/officeDocument/2006/relationships/hyperlink" Target="http://roarmap.eprints.org/531/" TargetMode="External"/><Relationship Id="rId1422" Type="http://schemas.openxmlformats.org/officeDocument/2006/relationships/hyperlink" Target="http://beta.congress.gov/" TargetMode="External"/><Relationship Id="rId1423" Type="http://schemas.openxmlformats.org/officeDocument/2006/relationships/hyperlink" Target="http://www.gpo.gov/fdsys/pkg/BILLS-113hr3547enr/pdf/BILLS-113hr3547enr.pdf" TargetMode="External"/><Relationship Id="rId1424" Type="http://schemas.openxmlformats.org/officeDocument/2006/relationships/hyperlink" Target="http://roarmap.eprints.org/512/" TargetMode="External"/><Relationship Id="rId1425" Type="http://schemas.openxmlformats.org/officeDocument/2006/relationships/hyperlink" Target="http://www.defense.gov/" TargetMode="External"/><Relationship Id="rId1426" Type="http://schemas.openxmlformats.org/officeDocument/2006/relationships/hyperlink" Target="http://dtic.mil/dtic/pdf/PublicAccessMemo2014.pdf" TargetMode="External"/><Relationship Id="rId1427" Type="http://schemas.openxmlformats.org/officeDocument/2006/relationships/hyperlink" Target="http://www.dtic.mil/dtic/" TargetMode="External"/><Relationship Id="rId1428" Type="http://schemas.openxmlformats.org/officeDocument/2006/relationships/hyperlink" Target="http://roarmap.eprints.org/528/" TargetMode="External"/><Relationship Id="rId1429" Type="http://schemas.openxmlformats.org/officeDocument/2006/relationships/hyperlink" Target="http://www.nsf.gov/" TargetMode="External"/><Relationship Id="rId50" Type="http://schemas.openxmlformats.org/officeDocument/2006/relationships/hyperlink" Target="http://www.adelaide.edu.au/library/" TargetMode="External"/><Relationship Id="rId51" Type="http://schemas.openxmlformats.org/officeDocument/2006/relationships/hyperlink" Target="http://www.adelaide.edu.au/graduatecentre/handbook/09-examination/09-final-form-of-thesis/" TargetMode="External"/><Relationship Id="rId52" Type="http://schemas.openxmlformats.org/officeDocument/2006/relationships/hyperlink" Target="http://digital.library.adelaide.edu.au/dspace/" TargetMode="External"/><Relationship Id="rId53" Type="http://schemas.openxmlformats.org/officeDocument/2006/relationships/hyperlink" Target="http://roarmap.eprints.org/583/" TargetMode="External"/><Relationship Id="rId54" Type="http://schemas.openxmlformats.org/officeDocument/2006/relationships/hyperlink" Target="http://www.unimelb.edu.au/" TargetMode="External"/><Relationship Id="rId55" Type="http://schemas.openxmlformats.org/officeDocument/2006/relationships/hyperlink" Target="http://gradresearch.unimelb.edu.au/exams/digital-thesis.html" TargetMode="External"/><Relationship Id="rId56" Type="http://schemas.openxmlformats.org/officeDocument/2006/relationships/hyperlink" Target="http://library.unimelb.edu.au/digitalcollections/research_collections" TargetMode="External"/><Relationship Id="rId57" Type="http://schemas.openxmlformats.org/officeDocument/2006/relationships/hyperlink" Target="http://roarmap.eprints.org/586/" TargetMode="External"/><Relationship Id="rId58" Type="http://schemas.openxmlformats.org/officeDocument/2006/relationships/hyperlink" Target="http://www.unsw.edu.au/" TargetMode="External"/><Relationship Id="rId59" Type="http://schemas.openxmlformats.org/officeDocument/2006/relationships/hyperlink" Target="http://research.unsw.edu.au/document/thesis_format_guide.pdf" TargetMode="External"/><Relationship Id="rId420" Type="http://schemas.openxmlformats.org/officeDocument/2006/relationships/hyperlink" Target="http://www.eprints.org/openaccess/policysignup/fullinfo.php?inst=Institut%20Jean%20Nicod" TargetMode="External"/><Relationship Id="rId421" Type="http://schemas.openxmlformats.org/officeDocument/2006/relationships/hyperlink" Target="http://jeannicod.ccsd.cnrs.fr/" TargetMode="External"/><Relationship Id="rId422" Type="http://schemas.openxmlformats.org/officeDocument/2006/relationships/hyperlink" Target="http://roarmap.eprints.org/146/" TargetMode="External"/><Relationship Id="rId423" Type="http://schemas.openxmlformats.org/officeDocument/2006/relationships/hyperlink" Target="http://wwz.ifremer.fr/institut" TargetMode="External"/><Relationship Id="rId424" Type="http://schemas.openxmlformats.org/officeDocument/2006/relationships/hyperlink" Target="http://archimer.ifremer.fr/depot.htm" TargetMode="External"/><Relationship Id="rId425" Type="http://schemas.openxmlformats.org/officeDocument/2006/relationships/hyperlink" Target="http://archimer.ifremer.fr/default.jsp?la=en" TargetMode="External"/><Relationship Id="rId426" Type="http://schemas.openxmlformats.org/officeDocument/2006/relationships/hyperlink" Target="http://roarmap.eprints.org/147/" TargetMode="External"/><Relationship Id="rId427" Type="http://schemas.openxmlformats.org/officeDocument/2006/relationships/hyperlink" Target="http://www.psychologie.parisdescartes.fr/" TargetMode="External"/><Relationship Id="rId428" Type="http://schemas.openxmlformats.org/officeDocument/2006/relationships/hyperlink" Target="http://hal-descartes.archives-ouvertes.fr/" TargetMode="External"/><Relationship Id="rId429" Type="http://schemas.openxmlformats.org/officeDocument/2006/relationships/hyperlink" Target="http://roarmap.eprints.org/149/" TargetMode="External"/><Relationship Id="rId1100" Type="http://schemas.openxmlformats.org/officeDocument/2006/relationships/hyperlink" Target="http://roarmap.eprints.org/693/" TargetMode="External"/><Relationship Id="rId1101" Type="http://schemas.openxmlformats.org/officeDocument/2006/relationships/hyperlink" Target="http://www.qub.ac.uk/" TargetMode="External"/><Relationship Id="rId1102" Type="http://schemas.openxmlformats.org/officeDocument/2006/relationships/hyperlink" Target="http://www.qub.ac.uk/directorates/InformationServices/TheLibrary/FileStore/Filetoupload,471694,en.pdf" TargetMode="External"/><Relationship Id="rId1103" Type="http://schemas.openxmlformats.org/officeDocument/2006/relationships/hyperlink" Target="http://pure.qub.ac.uk/portal/" TargetMode="External"/><Relationship Id="rId1104" Type="http://schemas.openxmlformats.org/officeDocument/2006/relationships/hyperlink" Target="http://roarmap.eprints.org/375/" TargetMode="External"/><Relationship Id="rId1105" Type="http://schemas.openxmlformats.org/officeDocument/2006/relationships/hyperlink" Target="http://www.rcuk.ac.uk/" TargetMode="External"/><Relationship Id="rId1106" Type="http://schemas.openxmlformats.org/officeDocument/2006/relationships/hyperlink" Target="http://www.rcuk.ac.uk/RCUK-prod/assets/documents/documents/RCUKOpenAccessPolicy.pdf" TargetMode="External"/><Relationship Id="rId1107" Type="http://schemas.openxmlformats.org/officeDocument/2006/relationships/hyperlink" Target="http://roarmap.eprints.org/377/" TargetMode="External"/><Relationship Id="rId1108" Type="http://schemas.openxmlformats.org/officeDocument/2006/relationships/hyperlink" Target="http://www.roehampton.ac.uk" TargetMode="External"/><Relationship Id="rId1109" Type="http://schemas.openxmlformats.org/officeDocument/2006/relationships/hyperlink" Target="http://roehampton.openrepository.com/roehampton/" TargetMode="External"/><Relationship Id="rId100" Type="http://schemas.openxmlformats.org/officeDocument/2006/relationships/hyperlink" Target="http://www.frs-fnrs.be/" TargetMode="External"/><Relationship Id="rId101" Type="http://schemas.openxmlformats.org/officeDocument/2006/relationships/hyperlink" Target="http://www.uclouvain.be/cps/ucl/doc/bspo/documents/FRS-FNRS_Reglement_OPEN_ACCESS.pdf" TargetMode="External"/><Relationship Id="rId102" Type="http://schemas.openxmlformats.org/officeDocument/2006/relationships/hyperlink" Target="http://www.frs-fnrs.be/uploaddocs/docs/SOUTENIR/FRS-FNRS_Reglement_OPEN_ACCESS.pdf" TargetMode="External"/><Relationship Id="rId103" Type="http://schemas.openxmlformats.org/officeDocument/2006/relationships/hyperlink" Target="http://roarmap.eprints.org/88/" TargetMode="External"/><Relationship Id="rId104" Type="http://schemas.openxmlformats.org/officeDocument/2006/relationships/hyperlink" Target="http://www.ugent.be/" TargetMode="External"/><Relationship Id="rId105" Type="http://schemas.openxmlformats.org/officeDocument/2006/relationships/hyperlink" Target="https://biblio.ugent.be/downloads/20121109-oa-mandaat-ugent-v2.pdf" TargetMode="External"/><Relationship Id="rId106" Type="http://schemas.openxmlformats.org/officeDocument/2006/relationships/hyperlink" Target="https://biblio.ugent.be/" TargetMode="External"/><Relationship Id="rId107" Type="http://schemas.openxmlformats.org/officeDocument/2006/relationships/hyperlink" Target="http://roarmap.eprints.org/91/" TargetMode="External"/><Relationship Id="rId108" Type="http://schemas.openxmlformats.org/officeDocument/2006/relationships/hyperlink" Target="http://www.fwo.be/" TargetMode="External"/><Relationship Id="rId109" Type="http://schemas.openxmlformats.org/officeDocument/2006/relationships/hyperlink" Target="http://www.fwo.be/en/general-regulations/" TargetMode="External"/><Relationship Id="rId750" Type="http://schemas.openxmlformats.org/officeDocument/2006/relationships/hyperlink" Target="http://ir.nrf.ac.za/" TargetMode="External"/><Relationship Id="rId751" Type="http://schemas.openxmlformats.org/officeDocument/2006/relationships/hyperlink" Target="http://roarmap.eprints.org/660/" TargetMode="External"/><Relationship Id="rId752" Type="http://schemas.openxmlformats.org/officeDocument/2006/relationships/hyperlink" Target="https://www.uct.ac.za/" TargetMode="External"/><Relationship Id="rId753" Type="http://schemas.openxmlformats.org/officeDocument/2006/relationships/hyperlink" Target="https://www.uct.ac.za/downloads/uct.ac.za/about/policies/UCTOpenAccessPolicy.pdf" TargetMode="External"/><Relationship Id="rId754" Type="http://schemas.openxmlformats.org/officeDocument/2006/relationships/hyperlink" Target="https://open.uct.ac.za/" TargetMode="External"/><Relationship Id="rId755" Type="http://schemas.openxmlformats.org/officeDocument/2006/relationships/hyperlink" Target="http://roarmap.eprints.org/9/" TargetMode="External"/><Relationship Id="rId756" Type="http://schemas.openxmlformats.org/officeDocument/2006/relationships/hyperlink" Target="http://www.up.ac.za/" TargetMode="External"/><Relationship Id="rId757" Type="http://schemas.openxmlformats.org/officeDocument/2006/relationships/hyperlink" Target="http://www.library.up.ac.za/openup/policies.htm" TargetMode="External"/><Relationship Id="rId758" Type="http://schemas.openxmlformats.org/officeDocument/2006/relationships/hyperlink" Target="http://repository.up.ac.za/" TargetMode="External"/><Relationship Id="rId759" Type="http://schemas.openxmlformats.org/officeDocument/2006/relationships/hyperlink" Target="http://roarmap.eprints.org/658/" TargetMode="External"/><Relationship Id="rId1430" Type="http://schemas.openxmlformats.org/officeDocument/2006/relationships/hyperlink" Target="http://www.nsf.gov/news/special_reports/public_access/" TargetMode="External"/><Relationship Id="rId1431" Type="http://schemas.openxmlformats.org/officeDocument/2006/relationships/hyperlink" Target="http://roarmap.eprints.org/529/" TargetMode="External"/><Relationship Id="rId1432" Type="http://schemas.openxmlformats.org/officeDocument/2006/relationships/hyperlink" Target="http://www.whitehouse.gov/administration/eop/ostp" TargetMode="External"/><Relationship Id="rId1433" Type="http://schemas.openxmlformats.org/officeDocument/2006/relationships/hyperlink" Target="http://www.whitehouse.gov/sites/default/files/microsites/ostp/ostp_public_access_memo_2013.pdf" TargetMode="External"/><Relationship Id="rId1434" Type="http://schemas.openxmlformats.org/officeDocument/2006/relationships/hyperlink" Target="http://roarmap.eprints.org/532/" TargetMode="External"/><Relationship Id="rId1435" Type="http://schemas.openxmlformats.org/officeDocument/2006/relationships/hyperlink" Target="http://www.universityofcalifornia.edu/" TargetMode="External"/><Relationship Id="rId1436" Type="http://schemas.openxmlformats.org/officeDocument/2006/relationships/hyperlink" Target="http://osc.universityofcalifornia.edu/open-access-policy/" TargetMode="External"/><Relationship Id="rId1437" Type="http://schemas.openxmlformats.org/officeDocument/2006/relationships/hyperlink" Target="http://escholarship.org/" TargetMode="External"/><Relationship Id="rId1438" Type="http://schemas.openxmlformats.org/officeDocument/2006/relationships/hyperlink" Target="http://roarmap.eprints.org/533/" TargetMode="External"/><Relationship Id="rId1439" Type="http://schemas.openxmlformats.org/officeDocument/2006/relationships/hyperlink" Target="http://www.ucsf.edu/" TargetMode="External"/><Relationship Id="rId60" Type="http://schemas.openxmlformats.org/officeDocument/2006/relationships/hyperlink" Target="http://www.unsworks.unsw.edu.au/primo_library/libweb/action/search.do?dscnt=1&amp;dstmp=1401409982283&amp;vid=UNSWORKS&amp;fromLogin=true" TargetMode="External"/><Relationship Id="rId61" Type="http://schemas.openxmlformats.org/officeDocument/2006/relationships/hyperlink" Target="http://roarmap.eprints.org/588/" TargetMode="External"/><Relationship Id="rId62" Type="http://schemas.openxmlformats.org/officeDocument/2006/relationships/hyperlink" Target="http://www.unisa.edu.au/" TargetMode="External"/><Relationship Id="rId63" Type="http://schemas.openxmlformats.org/officeDocument/2006/relationships/hyperlink" Target="http://w3.unisa.edu.au/policies/policies/resrch/res20.asp" TargetMode="External"/><Relationship Id="rId64" Type="http://schemas.openxmlformats.org/officeDocument/2006/relationships/hyperlink" Target="http://ura.unisa.edu.au/R?RN=648171307" TargetMode="External"/><Relationship Id="rId65" Type="http://schemas.openxmlformats.org/officeDocument/2006/relationships/hyperlink" Target="http://roarmap.eprints.org/679/" TargetMode="External"/><Relationship Id="rId66" Type="http://schemas.openxmlformats.org/officeDocument/2006/relationships/hyperlink" Target="http://sydney.edu.au/" TargetMode="External"/><Relationship Id="rId67" Type="http://schemas.openxmlformats.org/officeDocument/2006/relationships/hyperlink" Target="http://sydney.edu.au/policies/showdoc.aspx?recnum=PDOC2014/367" TargetMode="External"/><Relationship Id="rId68" Type="http://schemas.openxmlformats.org/officeDocument/2006/relationships/hyperlink" Target="http://ses.library.usyd.edu.au/" TargetMode="External"/><Relationship Id="rId69" Type="http://schemas.openxmlformats.org/officeDocument/2006/relationships/hyperlink" Target="http://roarmap.eprints.org/592/" TargetMode="External"/><Relationship Id="rId430" Type="http://schemas.openxmlformats.org/officeDocument/2006/relationships/hyperlink" Target="http://www.univ-angers.fr/en/index.html" TargetMode="External"/><Relationship Id="rId431" Type="http://schemas.openxmlformats.org/officeDocument/2006/relationships/hyperlink" Target="http://hal.archives-ouvertes.fr/" TargetMode="External"/><Relationship Id="rId432" Type="http://schemas.openxmlformats.org/officeDocument/2006/relationships/hyperlink" Target="http://roarmap.eprints.org/150/" TargetMode="External"/><Relationship Id="rId433" Type="http://schemas.openxmlformats.org/officeDocument/2006/relationships/hyperlink" Target="http://www.univ-lorraine.fr/" TargetMode="External"/><Relationship Id="rId434" Type="http://schemas.openxmlformats.org/officeDocument/2006/relationships/hyperlink" Target="http://bu.univ-lorraine.fr/ressources/theses-et-memoires/procedure-de-depot-final-de-votre-these-de-doctorat" TargetMode="External"/><Relationship Id="rId435" Type="http://schemas.openxmlformats.org/officeDocument/2006/relationships/hyperlink" Target="http://roarmap.eprints.org/154/" TargetMode="External"/><Relationship Id="rId436" Type="http://schemas.openxmlformats.org/officeDocument/2006/relationships/hyperlink" Target="http://www.fu-berlin.de/en" TargetMode="External"/><Relationship Id="rId437" Type="http://schemas.openxmlformats.org/officeDocument/2006/relationships/hyperlink" Target="http://www.fu-berlin.de/sites/open_access/" TargetMode="External"/><Relationship Id="rId438" Type="http://schemas.openxmlformats.org/officeDocument/2006/relationships/hyperlink" Target="http://edocs.fu-berlin.de/docs/content/below/index.xml" TargetMode="External"/><Relationship Id="rId439" Type="http://schemas.openxmlformats.org/officeDocument/2006/relationships/hyperlink" Target="http://roarmap.eprints.org/158/" TargetMode="External"/><Relationship Id="rId1110" Type="http://schemas.openxmlformats.org/officeDocument/2006/relationships/hyperlink" Target="http://roarmap.eprints.org/378/" TargetMode="External"/><Relationship Id="rId1111" Type="http://schemas.openxmlformats.org/officeDocument/2006/relationships/hyperlink" Target="https://www.royalholloway.ac.uk/home.aspx" TargetMode="External"/><Relationship Id="rId1112" Type="http://schemas.openxmlformats.org/officeDocument/2006/relationships/hyperlink" Target="https://www.royalholloway.ac.uk/library/documents/policies/royalhollowayoapp.pdf" TargetMode="External"/><Relationship Id="rId1113" Type="http://schemas.openxmlformats.org/officeDocument/2006/relationships/hyperlink" Target="http://digirep.rhul.ac.uk/access/search.do?hier.topic=cf34f320-af5e-6950-c244-1dfc3a2c5315" TargetMode="External"/><Relationship Id="rId1114" Type="http://schemas.openxmlformats.org/officeDocument/2006/relationships/hyperlink" Target="http://roarmap.eprints.org/379/" TargetMode="External"/><Relationship Id="rId1115" Type="http://schemas.openxmlformats.org/officeDocument/2006/relationships/hyperlink" Target="http://www.stfc.ac.uk/Home.aspx" TargetMode="External"/><Relationship Id="rId1116" Type="http://schemas.openxmlformats.org/officeDocument/2006/relationships/hyperlink" Target="http://www.rcuk.ac.uk/RCUK-prod/assets/documents/documents/RCUKOpenAccessPolicy.pdf" TargetMode="External"/><Relationship Id="rId1117" Type="http://schemas.openxmlformats.org/officeDocument/2006/relationships/hyperlink" Target="http://roarmap.eprints.org/380/" TargetMode="External"/><Relationship Id="rId1118" Type="http://schemas.openxmlformats.org/officeDocument/2006/relationships/hyperlink" Target="http://www.sgul.ac.uk/" TargetMode="External"/><Relationship Id="rId1119" Type="http://schemas.openxmlformats.org/officeDocument/2006/relationships/hyperlink" Target="http://roarmap.eprints.org/910/1/Research%20Publications%20Policy%20v04.pdf" TargetMode="External"/><Relationship Id="rId110" Type="http://schemas.openxmlformats.org/officeDocument/2006/relationships/hyperlink" Target="http://roarmap.eprints.org/92/" TargetMode="External"/><Relationship Id="rId111" Type="http://schemas.openxmlformats.org/officeDocument/2006/relationships/hyperlink" Target="http://www.usaintlouis.be/" TargetMode="External"/><Relationship Id="rId112" Type="http://schemas.openxmlformats.org/officeDocument/2006/relationships/hyperlink" Target="http://roarmap.eprints.org/992/1/DIAL%20et%20OA%20CR.pdf" TargetMode="External"/><Relationship Id="rId113" Type="http://schemas.openxmlformats.org/officeDocument/2006/relationships/hyperlink" Target="http://dial.academielouvain.be/vital/access/manager/Index?site_name=BOREAL" TargetMode="External"/><Relationship Id="rId114" Type="http://schemas.openxmlformats.org/officeDocument/2006/relationships/hyperlink" Target="http://roarmap.eprints.org/93/" TargetMode="External"/><Relationship Id="rId115" Type="http://schemas.openxmlformats.org/officeDocument/2006/relationships/hyperlink" Target="http://www.scienceeurope.org/" TargetMode="External"/><Relationship Id="rId116" Type="http://schemas.openxmlformats.org/officeDocument/2006/relationships/hyperlink" Target="http://roarmap.eprints.org/704/1/ESFmandateRec.pdf" TargetMode="External"/><Relationship Id="rId117" Type="http://schemas.openxmlformats.org/officeDocument/2006/relationships/hyperlink" Target="http://roarmap.eprints.org/84/" TargetMode="External"/><Relationship Id="rId118" Type="http://schemas.openxmlformats.org/officeDocument/2006/relationships/hyperlink" Target="https://www.uantwerpen.be/en/library/services/publishing/open-access---reposi/" TargetMode="External"/><Relationship Id="rId119" Type="http://schemas.openxmlformats.org/officeDocument/2006/relationships/hyperlink" Target="https://www.uantwerpen.be/en/library/services/publishing/open-access---reposi/" TargetMode="External"/><Relationship Id="rId760" Type="http://schemas.openxmlformats.org/officeDocument/2006/relationships/hyperlink" Target="http://www.buse.ac.zw/" TargetMode="External"/><Relationship Id="rId761" Type="http://schemas.openxmlformats.org/officeDocument/2006/relationships/hyperlink" Target="http://digilib.buse.ac.zw:8090/xmlui/" TargetMode="External"/><Relationship Id="rId762" Type="http://schemas.openxmlformats.org/officeDocument/2006/relationships/hyperlink" Target="http://roarmap.eprints.org/659/" TargetMode="External"/><Relationship Id="rId763" Type="http://schemas.openxmlformats.org/officeDocument/2006/relationships/hyperlink" Target="http://www.msu.ac.zw/" TargetMode="External"/><Relationship Id="rId764" Type="http://schemas.openxmlformats.org/officeDocument/2006/relationships/hyperlink" Target="http://ir.msu.ac.zw:8080/jspui/" TargetMode="External"/><Relationship Id="rId765" Type="http://schemas.openxmlformats.org/officeDocument/2006/relationships/hyperlink" Target="http://roarmap.eprints.org/288/" TargetMode="External"/><Relationship Id="rId766" Type="http://schemas.openxmlformats.org/officeDocument/2006/relationships/hyperlink" Target="http://www.uchceu.es/en/" TargetMode="External"/><Relationship Id="rId767" Type="http://schemas.openxmlformats.org/officeDocument/2006/relationships/hyperlink" Target="http://roarmap.eprints.org/1016/1/politica-acceso-abierto.pdf" TargetMode="External"/><Relationship Id="rId768" Type="http://schemas.openxmlformats.org/officeDocument/2006/relationships/hyperlink" Target="http://dspace.ceu.es/" TargetMode="External"/><Relationship Id="rId769" Type="http://schemas.openxmlformats.org/officeDocument/2006/relationships/hyperlink" Target="http://roarmap.eprints.org/290/" TargetMode="External"/><Relationship Id="rId1440" Type="http://schemas.openxmlformats.org/officeDocument/2006/relationships/hyperlink" Target="http://www.library.ucsf.edu/sites/all/files/ucsf_assets/ucsf_oa_policy.pdf" TargetMode="External"/><Relationship Id="rId1441" Type="http://schemas.openxmlformats.org/officeDocument/2006/relationships/hyperlink" Target="http://escholarship.org/" TargetMode="External"/><Relationship Id="rId1442" Type="http://schemas.openxmlformats.org/officeDocument/2006/relationships/hyperlink" Target="http://roarmap.eprints.org/534/" TargetMode="External"/><Relationship Id="rId1443" Type="http://schemas.openxmlformats.org/officeDocument/2006/relationships/hyperlink" Target="http://www.ucf.edu/" TargetMode="External"/><Relationship Id="rId1444" Type="http://schemas.openxmlformats.org/officeDocument/2006/relationships/hyperlink" Target="http://roarmap.eprints.org/751/" TargetMode="External"/><Relationship Id="rId1445" Type="http://schemas.openxmlformats.org/officeDocument/2006/relationships/hyperlink" Target="http://www.udel.edu/" TargetMode="External"/><Relationship Id="rId1446" Type="http://schemas.openxmlformats.org/officeDocument/2006/relationships/hyperlink" Target="http://guides.lib.udel.edu/scholcom/openaccess" TargetMode="External"/><Relationship Id="rId1447" Type="http://schemas.openxmlformats.org/officeDocument/2006/relationships/hyperlink" Target="http://udspace.udel.edu/" TargetMode="External"/><Relationship Id="rId1448" Type="http://schemas.openxmlformats.org/officeDocument/2006/relationships/hyperlink" Target="http://roarmap.eprints.org/537/" TargetMode="External"/><Relationship Id="rId1449" Type="http://schemas.openxmlformats.org/officeDocument/2006/relationships/hyperlink" Target="http://www.manoa.hawaii.edu/" TargetMode="External"/><Relationship Id="rId70" Type="http://schemas.openxmlformats.org/officeDocument/2006/relationships/hyperlink" Target="https://www.uts.edu.au/" TargetMode="External"/><Relationship Id="rId71" Type="http://schemas.openxmlformats.org/officeDocument/2006/relationships/hyperlink" Target="http://www.gsu.uts.edu.au/policies/open-access.html" TargetMode="External"/><Relationship Id="rId72" Type="http://schemas.openxmlformats.org/officeDocument/2006/relationships/hyperlink" Target="https://opus.lib.uts.edu.au/research/" TargetMode="External"/><Relationship Id="rId73" Type="http://schemas.openxmlformats.org/officeDocument/2006/relationships/hyperlink" Target="http://roarmap.eprints.org/593/" TargetMode="External"/><Relationship Id="rId74" Type="http://schemas.openxmlformats.org/officeDocument/2006/relationships/hyperlink" Target="http://www.uwa.edu.au/" TargetMode="External"/><Relationship Id="rId75" Type="http://schemas.openxmlformats.org/officeDocument/2006/relationships/hyperlink" Target="http://www.is.uwa.edu.au/research/theses" TargetMode="External"/><Relationship Id="rId76" Type="http://schemas.openxmlformats.org/officeDocument/2006/relationships/hyperlink" Target="http://www.is.uwa.edu.au/repository/home" TargetMode="External"/><Relationship Id="rId77" Type="http://schemas.openxmlformats.org/officeDocument/2006/relationships/hyperlink" Target="http://roarmap.eprints.org/595/" TargetMode="External"/><Relationship Id="rId78" Type="http://schemas.openxmlformats.org/officeDocument/2006/relationships/hyperlink" Target="http://www.vu.edu.au/" TargetMode="External"/><Relationship Id="rId79" Type="http://schemas.openxmlformats.org/officeDocument/2006/relationships/hyperlink" Target="http://wcf.vu.edu.au/GovernancePolicy/PDF/POI041116000.PDF" TargetMode="External"/><Relationship Id="rId440" Type="http://schemas.openxmlformats.org/officeDocument/2006/relationships/hyperlink" Target="http://www.helmholtz.de/en/home/" TargetMode="External"/><Relationship Id="rId441" Type="http://schemas.openxmlformats.org/officeDocument/2006/relationships/hyperlink" Target="http://www.helmholtz.de/fileadmin/user_upload/01_forschung/2013-10-14_oa-policy-ivf_e.pdf" TargetMode="External"/><Relationship Id="rId442" Type="http://schemas.openxmlformats.org/officeDocument/2006/relationships/hyperlink" Target="http://oa.helmholtz.de/open-science-in-der-helmholtz-gemeinschaft/open-access-der-gruene-weg.html" TargetMode="External"/><Relationship Id="rId443" Type="http://schemas.openxmlformats.org/officeDocument/2006/relationships/hyperlink" Target="http://roarmap.eprints.org/17/" TargetMode="External"/><Relationship Id="rId444" Type="http://schemas.openxmlformats.org/officeDocument/2006/relationships/hyperlink" Target="http://www.polyu.edu.hk/cpa/polyu/index.php" TargetMode="External"/><Relationship Id="rId445" Type="http://schemas.openxmlformats.org/officeDocument/2006/relationships/hyperlink" Target="http://www.polyu.edu.hk/ro/newRO415.html" TargetMode="External"/><Relationship Id="rId446" Type="http://schemas.openxmlformats.org/officeDocument/2006/relationships/hyperlink" Target="http://repository.lib.polyu.edu.hk/jspui/" TargetMode="External"/><Relationship Id="rId447" Type="http://schemas.openxmlformats.org/officeDocument/2006/relationships/hyperlink" Target="http://roarmap.eprints.org/18/" TargetMode="External"/><Relationship Id="rId448" Type="http://schemas.openxmlformats.org/officeDocument/2006/relationships/hyperlink" Target="http://www.hku.hk/" TargetMode="External"/><Relationship Id="rId449" Type="http://schemas.openxmlformats.org/officeDocument/2006/relationships/hyperlink" Target="http://www.eprints.org/openaccess/policysignup/fullinfo.php?inst=The%20University%20of%20Hong%20Kong" TargetMode="External"/><Relationship Id="rId1120" Type="http://schemas.openxmlformats.org/officeDocument/2006/relationships/hyperlink" Target="http://openaccess.sgul.ac.uk/" TargetMode="External"/><Relationship Id="rId1121" Type="http://schemas.openxmlformats.org/officeDocument/2006/relationships/hyperlink" Target="http://roarmap.eprints.org/381/" TargetMode="External"/><Relationship Id="rId1122" Type="http://schemas.openxmlformats.org/officeDocument/2006/relationships/hyperlink" Target="http://www.tees.ac.uk/" TargetMode="External"/><Relationship Id="rId1123" Type="http://schemas.openxmlformats.org/officeDocument/2006/relationships/hyperlink" Target="http://tees.openrepository.com/tees/bitstream/10149/278893/2/278893.pdf" TargetMode="External"/><Relationship Id="rId1124" Type="http://schemas.openxmlformats.org/officeDocument/2006/relationships/hyperlink" Target="http://tees.openrepository.com/tees/" TargetMode="External"/><Relationship Id="rId1125" Type="http://schemas.openxmlformats.org/officeDocument/2006/relationships/hyperlink" Target="http://roarmap.eprints.org/382/" TargetMode="External"/><Relationship Id="rId1126" Type="http://schemas.openxmlformats.org/officeDocument/2006/relationships/hyperlink" Target="http://www.dunhillmedical.org.uk/_files/D7F0395691A12397B44F6F3E1C5A4028.pdf" TargetMode="External"/><Relationship Id="rId1127" Type="http://schemas.openxmlformats.org/officeDocument/2006/relationships/hyperlink" Target="http://roarmap.eprints.org/509/1/open_access_april11.pdf" TargetMode="External"/><Relationship Id="rId1128" Type="http://schemas.openxmlformats.org/officeDocument/2006/relationships/hyperlink" Target="http://europepmc.org/" TargetMode="External"/><Relationship Id="rId1129" Type="http://schemas.openxmlformats.org/officeDocument/2006/relationships/hyperlink" Target="http://roarmap.eprints.org/385/" TargetMode="External"/><Relationship Id="rId120" Type="http://schemas.openxmlformats.org/officeDocument/2006/relationships/hyperlink" Target="https://anet.ua.ac.be/desktop/irua/" TargetMode="External"/><Relationship Id="rId121" Type="http://schemas.openxmlformats.org/officeDocument/2006/relationships/hyperlink" Target="http://roarmap.eprints.org/94/" TargetMode="External"/><Relationship Id="rId122" Type="http://schemas.openxmlformats.org/officeDocument/2006/relationships/hyperlink" Target="http://www.ulg.ac.be/cms/c_5000/en/home" TargetMode="External"/><Relationship Id="rId123" Type="http://schemas.openxmlformats.org/officeDocument/2006/relationships/hyperlink" Target="http://orbi.ulg.ac.be/files/extrait_moniteur_CA.pdf" TargetMode="External"/><Relationship Id="rId124" Type="http://schemas.openxmlformats.org/officeDocument/2006/relationships/hyperlink" Target="http://orbi.ulg.ac.be/" TargetMode="External"/><Relationship Id="rId125" Type="http://schemas.openxmlformats.org/officeDocument/2006/relationships/hyperlink" Target="http://roarmap.eprints.org/96/" TargetMode="External"/><Relationship Id="rId126" Type="http://schemas.openxmlformats.org/officeDocument/2006/relationships/hyperlink" Target="http://www.umons.ac.be" TargetMode="External"/><Relationship Id="rId127" Type="http://schemas.openxmlformats.org/officeDocument/2006/relationships/hyperlink" Target="http://di.umons.ac.be/" TargetMode="External"/><Relationship Id="rId128" Type="http://schemas.openxmlformats.org/officeDocument/2006/relationships/hyperlink" Target="http://roarmap.eprints.org/97/" TargetMode="External"/><Relationship Id="rId129" Type="http://schemas.openxmlformats.org/officeDocument/2006/relationships/hyperlink" Target="https://www.unamur.be/en" TargetMode="External"/><Relationship Id="rId770" Type="http://schemas.openxmlformats.org/officeDocument/2006/relationships/hyperlink" Target="http://www.consorciomadrono.es/docs/declaracion_acceso_abierto.pdf" TargetMode="External"/><Relationship Id="rId771" Type="http://schemas.openxmlformats.org/officeDocument/2006/relationships/hyperlink" Target="http://www.madrid.org/cs/Satellite?pagename=ComunidadMadrid/Home" TargetMode="External"/><Relationship Id="rId772" Type="http://schemas.openxmlformats.org/officeDocument/2006/relationships/hyperlink" Target="http://www.madrimasd.org/informacionidi/convocatorias/2009/documentos/Orden_679-2009_19-02-09_Convocatoria_Ayuda_Programas_Actividades_Tecnonologia.pdf" TargetMode="External"/><Relationship Id="rId773" Type="http://schemas.openxmlformats.org/officeDocument/2006/relationships/hyperlink" Target="http://roarmap.eprints.org/291/" TargetMode="External"/><Relationship Id="rId774" Type="http://schemas.openxmlformats.org/officeDocument/2006/relationships/hyperlink" Target="http://www.mpt.gob.es/enlaces/administracion_general_del_estado" TargetMode="External"/><Relationship Id="rId775" Type="http://schemas.openxmlformats.org/officeDocument/2006/relationships/hyperlink" Target="http://www.mpt.gob.es/enlaces/administracion_general_del_estado" TargetMode="External"/><Relationship Id="rId776" Type="http://schemas.openxmlformats.org/officeDocument/2006/relationships/hyperlink" Target="http://opendepot.org/" TargetMode="External"/><Relationship Id="rId777" Type="http://schemas.openxmlformats.org/officeDocument/2006/relationships/hyperlink" Target="http://roarmap.eprints.org/293/" TargetMode="External"/><Relationship Id="rId778" Type="http://schemas.openxmlformats.org/officeDocument/2006/relationships/hyperlink" Target="http://www.uc3m.es/Home" TargetMode="External"/><Relationship Id="rId779" Type="http://schemas.openxmlformats.org/officeDocument/2006/relationships/hyperlink" Target="http://hdl.handle.net/10016/17691" TargetMode="External"/><Relationship Id="rId1450" Type="http://schemas.openxmlformats.org/officeDocument/2006/relationships/hyperlink" Target="http://manoa.hawaii.edu/ovcaa/admin_memos/pdf/memo_04042012_openaccess.pdf" TargetMode="External"/><Relationship Id="rId1451" Type="http://schemas.openxmlformats.org/officeDocument/2006/relationships/hyperlink" Target="https://scholarspace.manoa.hawaii.edu/" TargetMode="External"/><Relationship Id="rId1452" Type="http://schemas.openxmlformats.org/officeDocument/2006/relationships/hyperlink" Target="http://roarmap.eprints.org/538/" TargetMode="External"/><Relationship Id="rId1453" Type="http://schemas.openxmlformats.org/officeDocument/2006/relationships/hyperlink" Target="http://www.uic.edu/uic/" TargetMode="External"/><Relationship Id="rId1454" Type="http://schemas.openxmlformats.org/officeDocument/2006/relationships/hyperlink" Target="http://researchguides.uic.edu/libraryoapolicy" TargetMode="External"/><Relationship Id="rId1455" Type="http://schemas.openxmlformats.org/officeDocument/2006/relationships/hyperlink" Target="http://indigo.uic.edu/" TargetMode="External"/><Relationship Id="rId1456" Type="http://schemas.openxmlformats.org/officeDocument/2006/relationships/hyperlink" Target="http://roarmap.eprints.org/540/" TargetMode="External"/><Relationship Id="rId1457" Type="http://schemas.openxmlformats.org/officeDocument/2006/relationships/hyperlink" Target="http://www.ku.edu/" TargetMode="External"/><Relationship Id="rId1458" Type="http://schemas.openxmlformats.org/officeDocument/2006/relationships/hyperlink" Target="http://policy.ku.edu/governance/open-access-policy" TargetMode="External"/><Relationship Id="rId1459" Type="http://schemas.openxmlformats.org/officeDocument/2006/relationships/hyperlink" Target="http://kuscholarworks.ku.edu/" TargetMode="External"/><Relationship Id="rId80" Type="http://schemas.openxmlformats.org/officeDocument/2006/relationships/hyperlink" Target="http://vuir.vu.edu.au/" TargetMode="External"/><Relationship Id="rId81" Type="http://schemas.openxmlformats.org/officeDocument/2006/relationships/hyperlink" Target="http://roarmap.eprints.org/77/" TargetMode="External"/><Relationship Id="rId82" Type="http://schemas.openxmlformats.org/officeDocument/2006/relationships/hyperlink" Target="http://www.fwf.ac.at/en/index.asp" TargetMode="External"/><Relationship Id="rId83" Type="http://schemas.openxmlformats.org/officeDocument/2006/relationships/hyperlink" Target="https://www.fwf.ac.at/en/research-funding/open-access-policy/" TargetMode="External"/><Relationship Id="rId84" Type="http://schemas.openxmlformats.org/officeDocument/2006/relationships/hyperlink" Target="http://roarmap.eprints.org/78/" TargetMode="External"/><Relationship Id="rId85" Type="http://schemas.openxmlformats.org/officeDocument/2006/relationships/hyperlink" Target="http://ist.ac.at/" TargetMode="External"/><Relationship Id="rId86" Type="http://schemas.openxmlformats.org/officeDocument/2006/relationships/hyperlink" Target="http://ist.ac.at/open-access/open-access-policy/" TargetMode="External"/><Relationship Id="rId87" Type="http://schemas.openxmlformats.org/officeDocument/2006/relationships/hyperlink" Target="https://repository.ist.ac.at/" TargetMode="External"/><Relationship Id="rId88" Type="http://schemas.openxmlformats.org/officeDocument/2006/relationships/hyperlink" Target="http://roarmap.eprints.org/83/" TargetMode="External"/><Relationship Id="rId89" Type="http://schemas.openxmlformats.org/officeDocument/2006/relationships/hyperlink" Target="http://www.academielouvain.be/redirect.php3?id=410" TargetMode="External"/><Relationship Id="rId450" Type="http://schemas.openxmlformats.org/officeDocument/2006/relationships/hyperlink" Target="http://hub.hku.hk/" TargetMode="External"/><Relationship Id="rId451" Type="http://schemas.openxmlformats.org/officeDocument/2006/relationships/hyperlink" Target="http://roarmap.eprints.org/19/" TargetMode="External"/><Relationship Id="rId452" Type="http://schemas.openxmlformats.org/officeDocument/2006/relationships/hyperlink" Target="http://lib.hku.hk/" TargetMode="External"/><Relationship Id="rId453" Type="http://schemas.openxmlformats.org/officeDocument/2006/relationships/hyperlink" Target="http://hub.hku.hk/local/oaPolicy.jsp" TargetMode="External"/><Relationship Id="rId454" Type="http://schemas.openxmlformats.org/officeDocument/2006/relationships/hyperlink" Target="http://hub.hku.hk/" TargetMode="External"/><Relationship Id="rId455" Type="http://schemas.openxmlformats.org/officeDocument/2006/relationships/hyperlink" Target="http://roarmap.eprints.org/178/" TargetMode="External"/><Relationship Id="rId456" Type="http://schemas.openxmlformats.org/officeDocument/2006/relationships/hyperlink" Target="http://www.kormany.hu/en" TargetMode="External"/><Relationship Id="rId459" Type="http://schemas.openxmlformats.org/officeDocument/2006/relationships/hyperlink" Target="http://roarmap.eprints.org/606/1/bifrostmand.pdf" TargetMode="External"/><Relationship Id="rId457" Type="http://schemas.openxmlformats.org/officeDocument/2006/relationships/hyperlink" Target="http://roarmap.eprints.org/181/" TargetMode="External"/><Relationship Id="rId458" Type="http://schemas.openxmlformats.org/officeDocument/2006/relationships/hyperlink" Target="http://www.bifrost.is/" TargetMode="External"/><Relationship Id="rId1130" Type="http://schemas.openxmlformats.org/officeDocument/2006/relationships/hyperlink" Target="http://www.abertay.ac.uk/" TargetMode="External"/><Relationship Id="rId1131" Type="http://schemas.openxmlformats.org/officeDocument/2006/relationships/hyperlink" Target="http://www.abertay.ac.uk/media/Self-Archiving-and-Research-Repository-PolicyV1-1.pdf" TargetMode="External"/><Relationship Id="rId1132" Type="http://schemas.openxmlformats.org/officeDocument/2006/relationships/hyperlink" Target="https://repository.abertay.ac.uk/jspui/" TargetMode="External"/><Relationship Id="rId1133" Type="http://schemas.openxmlformats.org/officeDocument/2006/relationships/hyperlink" Target="http://roarmap.eprints.org/386/" TargetMode="External"/><Relationship Id="rId1134" Type="http://schemas.openxmlformats.org/officeDocument/2006/relationships/hyperlink" Target="http://www.bath.ac.uk/" TargetMode="External"/><Relationship Id="rId1135" Type="http://schemas.openxmlformats.org/officeDocument/2006/relationships/hyperlink" Target="http://roarmap.eprints.org/466/1/University_of_Bath_Open_Access_Publications_Policy_Why_do_this_v2.1.doc" TargetMode="External"/><Relationship Id="rId1136" Type="http://schemas.openxmlformats.org/officeDocument/2006/relationships/hyperlink" Target="http://opus.bath.ac.uk/" TargetMode="External"/><Relationship Id="rId1137" Type="http://schemas.openxmlformats.org/officeDocument/2006/relationships/hyperlink" Target="http://roarmap.eprints.org/387/" TargetMode="External"/><Relationship Id="rId1138" Type="http://schemas.openxmlformats.org/officeDocument/2006/relationships/hyperlink" Target="http://www.birmingham.ac.uk/index.aspx" TargetMode="External"/><Relationship Id="rId1139" Type="http://schemas.openxmlformats.org/officeDocument/2006/relationships/hyperlink" Target="http://etheses.bham.ac.uk/deposit.html" TargetMode="External"/><Relationship Id="rId130" Type="http://schemas.openxmlformats.org/officeDocument/2006/relationships/hyperlink" Target="https://pure.fundp.ac.be/admin/login.xhtml" TargetMode="External"/><Relationship Id="rId131" Type="http://schemas.openxmlformats.org/officeDocument/2006/relationships/hyperlink" Target="http://roarmap.eprints.org/95/" TargetMode="External"/><Relationship Id="rId132" Type="http://schemas.openxmlformats.org/officeDocument/2006/relationships/hyperlink" Target="http://www.ulb.ac.be" TargetMode="External"/><Relationship Id="rId133" Type="http://schemas.openxmlformats.org/officeDocument/2006/relationships/hyperlink" Target="http://www.bib.ulb.ac.be/fr/bibliotheque-electronique/depot-institutionnel-di-fusion/contexte-et-objectifs/index.html" TargetMode="External"/><Relationship Id="rId134" Type="http://schemas.openxmlformats.org/officeDocument/2006/relationships/hyperlink" Target="http://difusion.ulb.ac.be" TargetMode="External"/><Relationship Id="rId135" Type="http://schemas.openxmlformats.org/officeDocument/2006/relationships/hyperlink" Target="http://roarmap.eprints.org/607/" TargetMode="External"/><Relationship Id="rId136" Type="http://schemas.openxmlformats.org/officeDocument/2006/relationships/hyperlink" Target="http://www2.camara.leg.br/" TargetMode="External"/><Relationship Id="rId137" Type="http://schemas.openxmlformats.org/officeDocument/2006/relationships/hyperlink" Target="http://www.camara.gov.br/sileg/integras/461698.pdf" TargetMode="External"/><Relationship Id="rId138" Type="http://schemas.openxmlformats.org/officeDocument/2006/relationships/hyperlink" Target="http://roarmap.eprints.org/608/" TargetMode="External"/><Relationship Id="rId139" Type="http://schemas.openxmlformats.org/officeDocument/2006/relationships/hyperlink" Target="http://www.ensp.fiocruz.br/" TargetMode="External"/><Relationship Id="rId900" Type="http://schemas.openxmlformats.org/officeDocument/2006/relationships/hyperlink" Target="http://openaccess.iyte.edu.tr:8080/xmlui/" TargetMode="External"/><Relationship Id="rId901" Type="http://schemas.openxmlformats.org/officeDocument/2006/relationships/hyperlink" Target="http://roarmap.eprints.org/50/" TargetMode="External"/><Relationship Id="rId902" Type="http://schemas.openxmlformats.org/officeDocument/2006/relationships/hyperlink" Target="http://www.metu.edu.tr/" TargetMode="External"/><Relationship Id="rId903" Type="http://schemas.openxmlformats.org/officeDocument/2006/relationships/hyperlink" Target="http://etd.lib.metu.edu.tr/oai" TargetMode="External"/><Relationship Id="rId904" Type="http://schemas.openxmlformats.org/officeDocument/2006/relationships/hyperlink" Target="http://roarmap.eprints.org/65/" TargetMode="External"/><Relationship Id="rId905" Type="http://schemas.openxmlformats.org/officeDocument/2006/relationships/hyperlink" Target="http://www.sinop.edu.tr/" TargetMode="External"/><Relationship Id="rId906" Type="http://schemas.openxmlformats.org/officeDocument/2006/relationships/hyperlink" Target="http://roarmap.eprints.org/53/" TargetMode="External"/><Relationship Id="rId907" Type="http://schemas.openxmlformats.org/officeDocument/2006/relationships/hyperlink" Target="http://www.tedankara.k12.tr/public/english/" TargetMode="External"/><Relationship Id="rId908" Type="http://schemas.openxmlformats.org/officeDocument/2006/relationships/hyperlink" Target="http://tedprints.tedankara.k12.tr/policies.html" TargetMode="External"/><Relationship Id="rId909" Type="http://schemas.openxmlformats.org/officeDocument/2006/relationships/hyperlink" Target="http://tedprints.tedankara.k12.tr/" TargetMode="External"/><Relationship Id="rId780" Type="http://schemas.openxmlformats.org/officeDocument/2006/relationships/hyperlink" Target="http://e-archivo.uc3m.es" TargetMode="External"/><Relationship Id="rId781" Type="http://schemas.openxmlformats.org/officeDocument/2006/relationships/hyperlink" Target="http://roarmap.eprints.org/673/" TargetMode="External"/><Relationship Id="rId782" Type="http://schemas.openxmlformats.org/officeDocument/2006/relationships/hyperlink" Target="http://www.ucm.es/" TargetMode="External"/><Relationship Id="rId783" Type="http://schemas.openxmlformats.org/officeDocument/2006/relationships/hyperlink" Target="http://biblioteca.ucm.es/data/cont/docs/politica_acceso_abierto_20140527.pdf" TargetMode="External"/><Relationship Id="rId784" Type="http://schemas.openxmlformats.org/officeDocument/2006/relationships/hyperlink" Target="http://eprints.ucm.es/" TargetMode="External"/><Relationship Id="rId785" Type="http://schemas.openxmlformats.org/officeDocument/2006/relationships/hyperlink" Target="http://roarmap.eprints.org/300/" TargetMode="External"/><Relationship Id="rId786" Type="http://schemas.openxmlformats.org/officeDocument/2006/relationships/hyperlink" Target="http://www.urjc.es/" TargetMode="External"/><Relationship Id="rId787" Type="http://schemas.openxmlformats.org/officeDocument/2006/relationships/hyperlink" Target="http://roarmap.eprints.org/704/1/ESFmandateRec.pdf" TargetMode="External"/><Relationship Id="rId788" Type="http://schemas.openxmlformats.org/officeDocument/2006/relationships/hyperlink" Target="http://eciencia.urjc.es/dspace/" TargetMode="External"/><Relationship Id="rId789" Type="http://schemas.openxmlformats.org/officeDocument/2006/relationships/hyperlink" Target="http://roarmap.eprints.org/686/" TargetMode="External"/><Relationship Id="rId1460" Type="http://schemas.openxmlformats.org/officeDocument/2006/relationships/hyperlink" Target="http://roarmap.eprints.org/542/" TargetMode="External"/><Relationship Id="rId1461" Type="http://schemas.openxmlformats.org/officeDocument/2006/relationships/hyperlink" Target="http://www.umd.edu/" TargetMode="External"/><Relationship Id="rId1462" Type="http://schemas.openxmlformats.org/officeDocument/2006/relationships/hyperlink" Target="http://drum.lib.umd.edu/" TargetMode="External"/><Relationship Id="rId1463" Type="http://schemas.openxmlformats.org/officeDocument/2006/relationships/hyperlink" Target="http://roarmap.eprints.org/544/" TargetMode="External"/><Relationship Id="rId1464" Type="http://schemas.openxmlformats.org/officeDocument/2006/relationships/hyperlink" Target="http://www.uncg.edu/" TargetMode="External"/><Relationship Id="rId1465" Type="http://schemas.openxmlformats.org/officeDocument/2006/relationships/hyperlink" Target="http://library.uncg.edu/services/scholarly_communication/open_access_policy.aspx" TargetMode="External"/><Relationship Id="rId1466" Type="http://schemas.openxmlformats.org/officeDocument/2006/relationships/hyperlink" Target="http://libres.uncg.edu/ir/" TargetMode="External"/><Relationship Id="rId1467" Type="http://schemas.openxmlformats.org/officeDocument/2006/relationships/hyperlink" Target="http://roarmap.eprints.org/545/" TargetMode="External"/><Relationship Id="rId1468" Type="http://schemas.openxmlformats.org/officeDocument/2006/relationships/hyperlink" Target="http://www.unf.edu/" TargetMode="External"/><Relationship Id="rId1469" Type="http://schemas.openxmlformats.org/officeDocument/2006/relationships/hyperlink" Target="http://lgdata.s3-website-us-east-1.amazonaws.com/docs/1652/740785/Thesis_deposit_policy_and_guide_2012_rev.pdf" TargetMode="External"/><Relationship Id="rId90" Type="http://schemas.openxmlformats.org/officeDocument/2006/relationships/hyperlink" Target="http://openaccess.eprints.org/index.php?/archives/71-guid.html" TargetMode="External"/><Relationship Id="rId91" Type="http://schemas.openxmlformats.org/officeDocument/2006/relationships/hyperlink" Target="http://dial.academielouvain.be/vital/access/manager/Index?site_name=BOREAL" TargetMode="External"/><Relationship Id="rId92" Type="http://schemas.openxmlformats.org/officeDocument/2006/relationships/hyperlink" Target="http://roarmap.eprints.org/85/" TargetMode="External"/><Relationship Id="rId93" Type="http://schemas.openxmlformats.org/officeDocument/2006/relationships/hyperlink" Target="http://www.uclouvain.be/index.html" TargetMode="External"/><Relationship Id="rId94" Type="http://schemas.openxmlformats.org/officeDocument/2006/relationships/hyperlink" Target="http://dial.academielouvain.be/vital/access/manager/FAQ" TargetMode="External"/><Relationship Id="rId95" Type="http://schemas.openxmlformats.org/officeDocument/2006/relationships/hyperlink" Target="http://dial.academielouvain.be/vital/access/manager/Index?site_name=BOREAL" TargetMode="External"/><Relationship Id="rId96" Type="http://schemas.openxmlformats.org/officeDocument/2006/relationships/hyperlink" Target="http://roarmap.eprints.org/680/" TargetMode="External"/><Relationship Id="rId97" Type="http://schemas.openxmlformats.org/officeDocument/2006/relationships/hyperlink" Target="http://ec.europa.eu/programmes/horizon2020/en" TargetMode="External"/><Relationship Id="rId98" Type="http://schemas.openxmlformats.org/officeDocument/2006/relationships/hyperlink" Target="http://ec.europa.eu/research/participants/data/ref/h2020/grants_manual/hi/oa_pilot/h2020-hi-oa-pilot-guide_en.pdf" TargetMode="External"/><Relationship Id="rId99" Type="http://schemas.openxmlformats.org/officeDocument/2006/relationships/hyperlink" Target="http://roarmap.eprints.org/86/" TargetMode="External"/><Relationship Id="rId460" Type="http://schemas.openxmlformats.org/officeDocument/2006/relationships/hyperlink" Target="http://skemman.is/en/" TargetMode="External"/><Relationship Id="rId461" Type="http://schemas.openxmlformats.org/officeDocument/2006/relationships/hyperlink" Target="http://roarmap.eprints.org/758/" TargetMode="External"/><Relationship Id="rId462" Type="http://schemas.openxmlformats.org/officeDocument/2006/relationships/hyperlink" Target="http://www.hi.is" TargetMode="External"/><Relationship Id="rId463" Type="http://schemas.openxmlformats.org/officeDocument/2006/relationships/hyperlink" Target="http://www.hi.is/adalvefur/stefna_um_opinn_adgang" TargetMode="External"/><Relationship Id="rId464" Type="http://schemas.openxmlformats.org/officeDocument/2006/relationships/hyperlink" Target="http://www.skemman.is" TargetMode="External"/><Relationship Id="rId465" Type="http://schemas.openxmlformats.org/officeDocument/2006/relationships/hyperlink" Target="http://roarmap.eprints.org/20/" TargetMode="External"/><Relationship Id="rId466" Type="http://schemas.openxmlformats.org/officeDocument/2006/relationships/hyperlink" Target="http://www.bdu.ac.in/" TargetMode="External"/><Relationship Id="rId467" Type="http://schemas.openxmlformats.org/officeDocument/2006/relationships/hyperlink" Target="http://www.bdu.ac.in/about-ckr/" TargetMode="External"/><Relationship Id="rId468" Type="http://schemas.openxmlformats.org/officeDocument/2006/relationships/hyperlink" Target="http://roarmap.eprints.org/21/" TargetMode="External"/><Relationship Id="rId469" Type="http://schemas.openxmlformats.org/officeDocument/2006/relationships/hyperlink" Target="http://www.cgiar.org/" TargetMode="External"/><Relationship Id="rId1140" Type="http://schemas.openxmlformats.org/officeDocument/2006/relationships/hyperlink" Target="http://www.ubira.bham.ac.uk" TargetMode="External"/><Relationship Id="rId1141" Type="http://schemas.openxmlformats.org/officeDocument/2006/relationships/hyperlink" Target="http://roarmap.eprints.org/389/" TargetMode="External"/><Relationship Id="rId1142" Type="http://schemas.openxmlformats.org/officeDocument/2006/relationships/hyperlink" Target="http://www.cam.ac.uk/" TargetMode="External"/><Relationship Id="rId1143" Type="http://schemas.openxmlformats.org/officeDocument/2006/relationships/hyperlink" Target="https://www.openaccess.cam.ac.uk/changing" TargetMode="External"/><Relationship Id="rId1144" Type="http://schemas.openxmlformats.org/officeDocument/2006/relationships/hyperlink" Target="https://www.repository.cam.ac.uk/" TargetMode="External"/><Relationship Id="rId1145" Type="http://schemas.openxmlformats.org/officeDocument/2006/relationships/hyperlink" Target="http://roarmap.eprints.org/390/" TargetMode="External"/><Relationship Id="rId1146" Type="http://schemas.openxmlformats.org/officeDocument/2006/relationships/hyperlink" Target="http://www.uclan.ac.uk/" TargetMode="External"/><Relationship Id="rId1147" Type="http://schemas.openxmlformats.org/officeDocument/2006/relationships/hyperlink" Target="http://clok.uclan.ac.uk/policies.html" TargetMode="External"/><Relationship Id="rId1148" Type="http://schemas.openxmlformats.org/officeDocument/2006/relationships/hyperlink" Target="http://clok.uclan.ac.uk/" TargetMode="External"/><Relationship Id="rId1149" Type="http://schemas.openxmlformats.org/officeDocument/2006/relationships/hyperlink" Target="http://roarmap.eprints.org/391/" TargetMode="External"/><Relationship Id="rId140" Type="http://schemas.openxmlformats.org/officeDocument/2006/relationships/hyperlink" Target="http://roarmap.eprints.org/700/1/portaria_acesso.pdf" TargetMode="External"/><Relationship Id="rId141" Type="http://schemas.openxmlformats.org/officeDocument/2006/relationships/hyperlink" Target="http://www6.ensp.fiocruz.br/repositorio/" TargetMode="External"/><Relationship Id="rId142" Type="http://schemas.openxmlformats.org/officeDocument/2006/relationships/hyperlink" Target="http://roarmap.eprints.org/622/" TargetMode="External"/><Relationship Id="rId143" Type="http://schemas.openxmlformats.org/officeDocument/2006/relationships/hyperlink" Target="https://portal.fiocruz.br/pt-br" TargetMode="External"/><Relationship Id="rId144" Type="http://schemas.openxmlformats.org/officeDocument/2006/relationships/hyperlink" Target="https://portal.fiocruz.br/sites/portal.fiocruz.br/files/documentos/portaria_-_politica_de_acesso_aberto_ao_conhecimento_na_fiocruz.pdf" TargetMode="External"/><Relationship Id="rId145" Type="http://schemas.openxmlformats.org/officeDocument/2006/relationships/hyperlink" Target="http://www.arca.fiocruz.br/" TargetMode="External"/><Relationship Id="rId146" Type="http://schemas.openxmlformats.org/officeDocument/2006/relationships/hyperlink" Target="http://roarmap.eprints.org/615/" TargetMode="External"/><Relationship Id="rId147" Type="http://schemas.openxmlformats.org/officeDocument/2006/relationships/hyperlink" Target="https://www.ufba.br/" TargetMode="External"/><Relationship Id="rId148" Type="http://schemas.openxmlformats.org/officeDocument/2006/relationships/hyperlink" Target="https://repositorio.ufba.br/ri/about/politica%20institucional.pdf" TargetMode="External"/><Relationship Id="rId149" Type="http://schemas.openxmlformats.org/officeDocument/2006/relationships/hyperlink" Target="https://repositorio.ufba.br/ri/" TargetMode="External"/><Relationship Id="rId910" Type="http://schemas.openxmlformats.org/officeDocument/2006/relationships/hyperlink" Target="http://roarmap.eprints.org/55/" TargetMode="External"/><Relationship Id="rId911" Type="http://schemas.openxmlformats.org/officeDocument/2006/relationships/hyperlink" Target="http://www.yalova.edu.tr/" TargetMode="External"/><Relationship Id="rId912" Type="http://schemas.openxmlformats.org/officeDocument/2006/relationships/hyperlink" Target="http://dspace.yalova.edu.tr/bitstream/handle/123456789/8/acikerisim.pdf?sequence=1" TargetMode="External"/><Relationship Id="rId913" Type="http://schemas.openxmlformats.org/officeDocument/2006/relationships/hyperlink" Target="http://dspace.yalova.edu.tr/" TargetMode="External"/><Relationship Id="rId914" Type="http://schemas.openxmlformats.org/officeDocument/2006/relationships/hyperlink" Target="http://roarmap.eprints.org/330/" TargetMode="External"/><Relationship Id="rId915" Type="http://schemas.openxmlformats.org/officeDocument/2006/relationships/hyperlink" Target="http://donntu.edu.ua" TargetMode="External"/><Relationship Id="rId916" Type="http://schemas.openxmlformats.org/officeDocument/2006/relationships/hyperlink" Target="http://roarmap.eprints.org/607/1/prikaz.jpg" TargetMode="External"/><Relationship Id="rId917" Type="http://schemas.openxmlformats.org/officeDocument/2006/relationships/hyperlink" Target="http://ea.donntu.edu.ua:8080/jspui/" TargetMode="External"/><Relationship Id="rId918" Type="http://schemas.openxmlformats.org/officeDocument/2006/relationships/hyperlink" Target="http://roarmap.eprints.org/332/" TargetMode="External"/><Relationship Id="rId919" Type="http://schemas.openxmlformats.org/officeDocument/2006/relationships/hyperlink" Target="http://www.knmu.kharkov.ua/" TargetMode="External"/><Relationship Id="rId790" Type="http://schemas.openxmlformats.org/officeDocument/2006/relationships/hyperlink" Target="http://www.uhu.es/index.php" TargetMode="External"/><Relationship Id="rId791" Type="http://schemas.openxmlformats.org/officeDocument/2006/relationships/hyperlink" Target="http://hdl.handle.net/10272/10023" TargetMode="External"/><Relationship Id="rId792" Type="http://schemas.openxmlformats.org/officeDocument/2006/relationships/hyperlink" Target="http://rabida.uhu.es/dspace/" TargetMode="External"/><Relationship Id="rId793" Type="http://schemas.openxmlformats.org/officeDocument/2006/relationships/hyperlink" Target="http://roarmap.eprints.org/296/" TargetMode="External"/><Relationship Id="rId794" Type="http://schemas.openxmlformats.org/officeDocument/2006/relationships/hyperlink" Target="http://www.unileon.es" TargetMode="External"/><Relationship Id="rId795" Type="http://schemas.openxmlformats.org/officeDocument/2006/relationships/hyperlink" Target="https://buleria.unileon.es/handle/10612/1850" TargetMode="External"/><Relationship Id="rId796" Type="http://schemas.openxmlformats.org/officeDocument/2006/relationships/hyperlink" Target="https://buleria.unileon.es/" TargetMode="External"/><Relationship Id="rId797" Type="http://schemas.openxmlformats.org/officeDocument/2006/relationships/hyperlink" Target="http://roarmap.eprints.org/301/" TargetMode="External"/><Relationship Id="rId798" Type="http://schemas.openxmlformats.org/officeDocument/2006/relationships/hyperlink" Target="http://www.usal.es" TargetMode="External"/><Relationship Id="rId799" Type="http://schemas.openxmlformats.org/officeDocument/2006/relationships/hyperlink" Target="http://www.agenciasinc.es/Noticias/Tesis-Proyectos-Fin-de-Masters-y-Proyectos-de-Investigacion-en-Open-Access" TargetMode="External"/><Relationship Id="rId1470" Type="http://schemas.openxmlformats.org/officeDocument/2006/relationships/hyperlink" Target="http://digitalcommons.unf.edu/" TargetMode="External"/><Relationship Id="rId1471" Type="http://schemas.openxmlformats.org/officeDocument/2006/relationships/hyperlink" Target="http://roarmap.eprints.org/546/" TargetMode="External"/><Relationship Id="rId1472" Type="http://schemas.openxmlformats.org/officeDocument/2006/relationships/hyperlink" Target="http://www.unt.edu/" TargetMode="External"/><Relationship Id="rId1473" Type="http://schemas.openxmlformats.org/officeDocument/2006/relationships/hyperlink" Target="https://policy.unt.edu/sites/default/files/untpolicy/17.5_Open%20Access_Self-Archiving_and%20Long-Term%20Digital%20Stewardship%20for%20UNT%20Scholarly%20Works.pdf" TargetMode="External"/><Relationship Id="rId1474" Type="http://schemas.openxmlformats.org/officeDocument/2006/relationships/hyperlink" Target="http://digital.library.unt.edu/" TargetMode="External"/><Relationship Id="rId1475" Type="http://schemas.openxmlformats.org/officeDocument/2006/relationships/hyperlink" Target="http://roarmap.eprints.org/551/" TargetMode="External"/><Relationship Id="rId1476" Type="http://schemas.openxmlformats.org/officeDocument/2006/relationships/hyperlink" Target="http://www.law.upr.edu/" TargetMode="External"/><Relationship Id="rId1477" Type="http://schemas.openxmlformats.org/officeDocument/2006/relationships/hyperlink" Target="https://mx2.arl.org/Lists/SPARC-OAForum/Message/5436.html" TargetMode="External"/><Relationship Id="rId1478" Type="http://schemas.openxmlformats.org/officeDocument/2006/relationships/hyperlink" Target="http://repositorio.upr.edu:8080/jspui/" TargetMode="External"/><Relationship Id="rId1479" Type="http://schemas.openxmlformats.org/officeDocument/2006/relationships/hyperlink" Target="http://roarmap.eprints.org/552/" TargetMode="External"/><Relationship Id="rId470" Type="http://schemas.openxmlformats.org/officeDocument/2006/relationships/hyperlink" Target="http://www.cgiar.org/resources/open/" TargetMode="External"/><Relationship Id="rId471" Type="http://schemas.openxmlformats.org/officeDocument/2006/relationships/hyperlink" Target="http://roarmap.eprints.org/22/" TargetMode="External"/><Relationship Id="rId472" Type="http://schemas.openxmlformats.org/officeDocument/2006/relationships/hyperlink" Target="http://rdpp.csir.res.in/csir_acsir/Home.aspx" TargetMode="External"/><Relationship Id="rId473" Type="http://schemas.openxmlformats.org/officeDocument/2006/relationships/hyperlink" Target="http://www.csircentral.net/mandate.pdf" TargetMode="External"/><Relationship Id="rId474" Type="http://schemas.openxmlformats.org/officeDocument/2006/relationships/hyperlink" Target="http://opendepot.org/" TargetMode="External"/><Relationship Id="rId475" Type="http://schemas.openxmlformats.org/officeDocument/2006/relationships/hyperlink" Target="http://roarmap.eprints.org/651/" TargetMode="External"/><Relationship Id="rId476" Type="http://schemas.openxmlformats.org/officeDocument/2006/relationships/hyperlink" Target="http://dst.gov.in/" TargetMode="External"/><Relationship Id="rId477" Type="http://schemas.openxmlformats.org/officeDocument/2006/relationships/hyperlink" Target="http://dst.gov.in/whats_new/whats_new14/APPROVED%20OPEN%20ACCESS%20POLICY-DBT&amp;DST(12.12.2014).pdf" TargetMode="External"/><Relationship Id="rId478" Type="http://schemas.openxmlformats.org/officeDocument/2006/relationships/hyperlink" Target="http://roarmap.eprints.org/23/" TargetMode="External"/><Relationship Id="rId479" Type="http://schemas.openxmlformats.org/officeDocument/2006/relationships/hyperlink" Target="http://www.icar.org.in/" TargetMode="External"/><Relationship Id="rId1150" Type="http://schemas.openxmlformats.org/officeDocument/2006/relationships/hyperlink" Target="http://www.dundee.ac.uk/" TargetMode="External"/><Relationship Id="rId1151" Type="http://schemas.openxmlformats.org/officeDocument/2006/relationships/hyperlink" Target="http://roarmap.eprints.org/1047/1/Open_Access_Policy_V1_Final_November_2012%283%29.pdf" TargetMode="External"/><Relationship Id="rId1152" Type="http://schemas.openxmlformats.org/officeDocument/2006/relationships/hyperlink" Target="http://discovery.dundee.ac.uk/portal/" TargetMode="External"/><Relationship Id="rId1153" Type="http://schemas.openxmlformats.org/officeDocument/2006/relationships/hyperlink" Target="http://roarmap.eprints.org/392/" TargetMode="External"/><Relationship Id="rId1154" Type="http://schemas.openxmlformats.org/officeDocument/2006/relationships/hyperlink" Target="http://www.uea.ac.uk/" TargetMode="External"/><Relationship Id="rId1155" Type="http://schemas.openxmlformats.org/officeDocument/2006/relationships/hyperlink" Target="https://ueaeprints.uea.ac.uk/policies.html" TargetMode="External"/><Relationship Id="rId1156" Type="http://schemas.openxmlformats.org/officeDocument/2006/relationships/hyperlink" Target="http://ueaeprints.uea.ac.uk/" TargetMode="External"/><Relationship Id="rId1157" Type="http://schemas.openxmlformats.org/officeDocument/2006/relationships/hyperlink" Target="http://roarmap.eprints.org/393/" TargetMode="External"/><Relationship Id="rId1158" Type="http://schemas.openxmlformats.org/officeDocument/2006/relationships/hyperlink" Target="http://www.uel.ac.uk/" TargetMode="External"/><Relationship Id="rId1159" Type="http://schemas.openxmlformats.org/officeDocument/2006/relationships/hyperlink" Target="http://dx.doi.org/10.15123/PUB.4048" TargetMode="External"/><Relationship Id="rId150" Type="http://schemas.openxmlformats.org/officeDocument/2006/relationships/hyperlink" Target="http://roarmap.eprints.org/619/" TargetMode="External"/><Relationship Id="rId151" Type="http://schemas.openxmlformats.org/officeDocument/2006/relationships/hyperlink" Target="http://www.ufop.br/" TargetMode="External"/><Relationship Id="rId152" Type="http://schemas.openxmlformats.org/officeDocument/2006/relationships/hyperlink" Target="http://www.proad.ufop.br/cgp/arquivos/boletins/2013/Boletim_Administrativo_n_64_2013.pdf" TargetMode="External"/><Relationship Id="rId153" Type="http://schemas.openxmlformats.org/officeDocument/2006/relationships/hyperlink" Target="http://www.repositorio.ufop.br/" TargetMode="External"/><Relationship Id="rId154" Type="http://schemas.openxmlformats.org/officeDocument/2006/relationships/hyperlink" Target="http://roarmap.eprints.org/610/" TargetMode="External"/><Relationship Id="rId155" Type="http://schemas.openxmlformats.org/officeDocument/2006/relationships/hyperlink" Target="http://www.ufs.br/" TargetMode="External"/><Relationship Id="rId156" Type="http://schemas.openxmlformats.org/officeDocument/2006/relationships/hyperlink" Target="https://ri.ufs.br/files/politica-ri-ufs.pdf" TargetMode="External"/><Relationship Id="rId157" Type="http://schemas.openxmlformats.org/officeDocument/2006/relationships/hyperlink" Target="https://ri.ufs.br/" TargetMode="External"/><Relationship Id="rId158" Type="http://schemas.openxmlformats.org/officeDocument/2006/relationships/hyperlink" Target="http://roarmap.eprints.org/616/" TargetMode="External"/><Relationship Id="rId159" Type="http://schemas.openxmlformats.org/officeDocument/2006/relationships/hyperlink" Target="http://www.ufc.br/" TargetMode="External"/><Relationship Id="rId920" Type="http://schemas.openxmlformats.org/officeDocument/2006/relationships/hyperlink" Target="http://roarmap.eprints.org/531/" TargetMode="External"/><Relationship Id="rId921" Type="http://schemas.openxmlformats.org/officeDocument/2006/relationships/hyperlink" Target="http://repo.knmu.edu.ua/" TargetMode="External"/><Relationship Id="rId922" Type="http://schemas.openxmlformats.org/officeDocument/2006/relationships/hyperlink" Target="http://roarmap.eprints.org/664/" TargetMode="External"/><Relationship Id="rId923" Type="http://schemas.openxmlformats.org/officeDocument/2006/relationships/hyperlink" Target="http://repository.kpi.kharkov.ua" TargetMode="External"/><Relationship Id="rId924" Type="http://schemas.openxmlformats.org/officeDocument/2006/relationships/hyperlink" Target="http://www.kpi.kharkov.ua" TargetMode="External"/><Relationship Id="rId925" Type="http://schemas.openxmlformats.org/officeDocument/2006/relationships/hyperlink" Target="http://library.kpi.kharkov.ua" TargetMode="External"/><Relationship Id="rId926" Type="http://schemas.openxmlformats.org/officeDocument/2006/relationships/hyperlink" Target="http://repository.kpi.kharkov.ua" TargetMode="External"/><Relationship Id="rId927" Type="http://schemas.openxmlformats.org/officeDocument/2006/relationships/hyperlink" Target="http://roarmap.eprints.org/336/" TargetMode="External"/><Relationship Id="rId928" Type="http://schemas.openxmlformats.org/officeDocument/2006/relationships/hyperlink" Target="http://www.sumdu.edu.ua/ukr/" TargetMode="External"/><Relationship Id="rId929" Type="http://schemas.openxmlformats.org/officeDocument/2006/relationships/hyperlink" Target="http://essuir.sumdu.edu.ua/position.jsp" TargetMode="External"/><Relationship Id="rId600" Type="http://schemas.openxmlformats.org/officeDocument/2006/relationships/hyperlink" Target="http://www.jkuat.ac.ke" TargetMode="External"/><Relationship Id="rId601" Type="http://schemas.openxmlformats.org/officeDocument/2006/relationships/hyperlink" Target="http://www.jkuat.ac.ke/?wpdmact=process&amp;did=NjguaG90bGluaw==" TargetMode="External"/><Relationship Id="rId602" Type="http://schemas.openxmlformats.org/officeDocument/2006/relationships/hyperlink" Target="http://41.204.187.24:8080/jspui/" TargetMode="External"/><Relationship Id="rId603" Type="http://schemas.openxmlformats.org/officeDocument/2006/relationships/hyperlink" Target="http://roarmap.eprints.org/3/" TargetMode="External"/><Relationship Id="rId604" Type="http://schemas.openxmlformats.org/officeDocument/2006/relationships/hyperlink" Target="http://www.ku.ac.ke" TargetMode="External"/><Relationship Id="rId605" Type="http://schemas.openxmlformats.org/officeDocument/2006/relationships/hyperlink" Target="http://library.ku.ac.ke/wp-content/uploads/2013/01/Library-IR-Policy.pdf" TargetMode="External"/><Relationship Id="rId606" Type="http://schemas.openxmlformats.org/officeDocument/2006/relationships/hyperlink" Target="http://ir-library.ku.ac.ke/" TargetMode="External"/><Relationship Id="rId607" Type="http://schemas.openxmlformats.org/officeDocument/2006/relationships/hyperlink" Target="http://roarmap.eprints.org/656/" TargetMode="External"/><Relationship Id="rId608" Type="http://schemas.openxmlformats.org/officeDocument/2006/relationships/hyperlink" Target="http://pu.ac.ke/" TargetMode="External"/><Relationship Id="rId609" Type="http://schemas.openxmlformats.org/officeDocument/2006/relationships/hyperlink" Target="http://elibrary.pu.ac.ke/ir/" TargetMode="External"/><Relationship Id="rId1480" Type="http://schemas.openxmlformats.org/officeDocument/2006/relationships/hyperlink" Target="http://ww2.uri.edu/" TargetMode="External"/><Relationship Id="rId1481" Type="http://schemas.openxmlformats.org/officeDocument/2006/relationships/hyperlink" Target="http://www.uri.edu/facsen/about/legislation/legislation_documents/2012-13/Bill_12-13-29.pdf" TargetMode="External"/><Relationship Id="rId1482" Type="http://schemas.openxmlformats.org/officeDocument/2006/relationships/hyperlink" Target="http://digitalcommons.uri.edu/" TargetMode="External"/><Relationship Id="rId1483" Type="http://schemas.openxmlformats.org/officeDocument/2006/relationships/hyperlink" Target="http://roarmap.eprints.org/553/" TargetMode="External"/><Relationship Id="rId1484" Type="http://schemas.openxmlformats.org/officeDocument/2006/relationships/hyperlink" Target="http://www.utk.edu/" TargetMode="External"/><Relationship Id="rId1485" Type="http://schemas.openxmlformats.org/officeDocument/2006/relationships/hyperlink" Target="http://www.trace.tennessee.edu/" TargetMode="External"/><Relationship Id="rId1486" Type="http://schemas.openxmlformats.org/officeDocument/2006/relationships/hyperlink" Target="http://roarmap.eprints.org/557/" TargetMode="External"/><Relationship Id="rId1487" Type="http://schemas.openxmlformats.org/officeDocument/2006/relationships/hyperlink" Target="http://www.valpo.edu/" TargetMode="External"/><Relationship Id="rId1488" Type="http://schemas.openxmlformats.org/officeDocument/2006/relationships/hyperlink" Target="http://library.valpo.edu/policies/openaccess.html" TargetMode="External"/><Relationship Id="rId1489" Type="http://schemas.openxmlformats.org/officeDocument/2006/relationships/hyperlink" Target="http://scholar.valpo.edu/" TargetMode="External"/><Relationship Id="rId480" Type="http://schemas.openxmlformats.org/officeDocument/2006/relationships/hyperlink" Target="http://icar.org.in/en/node/6609" TargetMode="External"/><Relationship Id="rId481" Type="http://schemas.openxmlformats.org/officeDocument/2006/relationships/hyperlink" Target="http://roarmap.eprints.org/24/" TargetMode="External"/><Relationship Id="rId482" Type="http://schemas.openxmlformats.org/officeDocument/2006/relationships/hyperlink" Target="http://www.iihr.ernet.in/" TargetMode="External"/><Relationship Id="rId483" Type="http://schemas.openxmlformats.org/officeDocument/2006/relationships/hyperlink" Target="http://erepo.iihr.ernet.in/" TargetMode="External"/><Relationship Id="rId484" Type="http://schemas.openxmlformats.org/officeDocument/2006/relationships/hyperlink" Target="http://www.erepo.iihr.ernet.in/" TargetMode="External"/><Relationship Id="rId485" Type="http://schemas.openxmlformats.org/officeDocument/2006/relationships/hyperlink" Target="http://roarmap.eprints.org/28/" TargetMode="External"/><Relationship Id="rId486" Type="http://schemas.openxmlformats.org/officeDocument/2006/relationships/hyperlink" Target="http://www.mguniversity.edu/" TargetMode="External"/><Relationship Id="rId487" Type="http://schemas.openxmlformats.org/officeDocument/2006/relationships/hyperlink" Target="http://mgutheses.in/" TargetMode="External"/><Relationship Id="rId488" Type="http://schemas.openxmlformats.org/officeDocument/2006/relationships/hyperlink" Target="http://roarmap.eprints.org/29/" TargetMode="External"/><Relationship Id="rId489" Type="http://schemas.openxmlformats.org/officeDocument/2006/relationships/hyperlink" Target="http://www.nio.org/" TargetMode="External"/><Relationship Id="rId1160" Type="http://schemas.openxmlformats.org/officeDocument/2006/relationships/hyperlink" Target="http://roar.uel.ac.uk/" TargetMode="External"/><Relationship Id="rId1161" Type="http://schemas.openxmlformats.org/officeDocument/2006/relationships/hyperlink" Target="http://roarmap.eprints.org/394/" TargetMode="External"/><Relationship Id="rId1162" Type="http://schemas.openxmlformats.org/officeDocument/2006/relationships/hyperlink" Target="http://www.ed.ac.uk/home" TargetMode="External"/><Relationship Id="rId1163" Type="http://schemas.openxmlformats.org/officeDocument/2006/relationships/hyperlink" Target="http://www.ed.ac.uk/polopoly_fs/1.14203!/fileManager/research-publications-policy.pdf" TargetMode="External"/><Relationship Id="rId1164" Type="http://schemas.openxmlformats.org/officeDocument/2006/relationships/hyperlink" Target="https://www.era.lib.ed.ac.uk/" TargetMode="External"/><Relationship Id="rId1165" Type="http://schemas.openxmlformats.org/officeDocument/2006/relationships/hyperlink" Target="http://roarmap.eprints.org/395/" TargetMode="External"/><Relationship Id="rId1166" Type="http://schemas.openxmlformats.org/officeDocument/2006/relationships/hyperlink" Target="http://www.exeter.ac.uk/" TargetMode="External"/><Relationship Id="rId1167" Type="http://schemas.openxmlformats.org/officeDocument/2006/relationships/hyperlink" Target="https://ore.exeter.ac.uk/repository/bitstream/handle/10036/4280/OA_RDM_Policy_Final.pdf?sequence=4" TargetMode="External"/><Relationship Id="rId1168" Type="http://schemas.openxmlformats.org/officeDocument/2006/relationships/hyperlink" Target="https://ore.exeter.ac.uk/repository/" TargetMode="External"/><Relationship Id="rId1169" Type="http://schemas.openxmlformats.org/officeDocument/2006/relationships/hyperlink" Target="http://roarmap.eprints.org/396/" TargetMode="External"/><Relationship Id="rId160" Type="http://schemas.openxmlformats.org/officeDocument/2006/relationships/hyperlink" Target="http://www.repositorio.ufc.br/ri/sobre/Resolucao02_Consuni_2011.pdf" TargetMode="External"/><Relationship Id="rId161" Type="http://schemas.openxmlformats.org/officeDocument/2006/relationships/hyperlink" Target="http://www.repositorio.ufc.br/" TargetMode="External"/><Relationship Id="rId162" Type="http://schemas.openxmlformats.org/officeDocument/2006/relationships/hyperlink" Target="http://roarmap.eprints.org/612/" TargetMode="External"/><Relationship Id="rId163" Type="http://schemas.openxmlformats.org/officeDocument/2006/relationships/hyperlink" Target="http://www.furg.br/" TargetMode="External"/><Relationship Id="rId164" Type="http://schemas.openxmlformats.org/officeDocument/2006/relationships/hyperlink" Target="http://roarmap.eprints.org/434/1/PII___FURG.pdf" TargetMode="External"/><Relationship Id="rId165" Type="http://schemas.openxmlformats.org/officeDocument/2006/relationships/hyperlink" Target="http://repositorio.furg.br/" TargetMode="External"/><Relationship Id="rId166" Type="http://schemas.openxmlformats.org/officeDocument/2006/relationships/hyperlink" Target="http://roarmap.eprints.org/617/" TargetMode="External"/><Relationship Id="rId167" Type="http://schemas.openxmlformats.org/officeDocument/2006/relationships/hyperlink" Target="http://www.ufrn.br/" TargetMode="External"/><Relationship Id="rId168" Type="http://schemas.openxmlformats.org/officeDocument/2006/relationships/hyperlink" Target="http://repositorio.ufrn.br:8080/jspui/sobre/resolucao_592010_consepe_riufrn.pdf" TargetMode="External"/><Relationship Id="rId169" Type="http://schemas.openxmlformats.org/officeDocument/2006/relationships/hyperlink" Target="http://repositorio.ufrn.br:8080/jspui/" TargetMode="External"/><Relationship Id="rId930" Type="http://schemas.openxmlformats.org/officeDocument/2006/relationships/hyperlink" Target="http://essuir.sumdu.edu.ua" TargetMode="External"/><Relationship Id="rId931" Type="http://schemas.openxmlformats.org/officeDocument/2006/relationships/hyperlink" Target="http://roarmap.eprints.org/339/" TargetMode="External"/><Relationship Id="rId932" Type="http://schemas.openxmlformats.org/officeDocument/2006/relationships/hyperlink" Target="http://www.tntu.edu.ua/" TargetMode="External"/><Relationship Id="rId933" Type="http://schemas.openxmlformats.org/officeDocument/2006/relationships/hyperlink" Target="http://roarmap.eprints.org/125/" TargetMode="External"/><Relationship Id="rId934" Type="http://schemas.openxmlformats.org/officeDocument/2006/relationships/hyperlink" Target="http://elartu.tntu.edu.ua/" TargetMode="External"/><Relationship Id="rId935" Type="http://schemas.openxmlformats.org/officeDocument/2006/relationships/hyperlink" Target="http://roarmap.eprints.org/337/" TargetMode="External"/><Relationship Id="rId936" Type="http://schemas.openxmlformats.org/officeDocument/2006/relationships/hyperlink" Target="http://vsau.org" TargetMode="External"/><Relationship Id="rId937" Type="http://schemas.openxmlformats.org/officeDocument/2006/relationships/hyperlink" Target="http://roarmap.eprints.org/952/" TargetMode="External"/><Relationship Id="rId938" Type="http://schemas.openxmlformats.org/officeDocument/2006/relationships/hyperlink" Target="http://repository.vsau.org" TargetMode="External"/><Relationship Id="rId939" Type="http://schemas.openxmlformats.org/officeDocument/2006/relationships/hyperlink" Target="http://roarmap.eprints.org/338/" TargetMode="External"/><Relationship Id="rId610" Type="http://schemas.openxmlformats.org/officeDocument/2006/relationships/hyperlink" Target="http://roarmap.eprints.org/4/" TargetMode="External"/><Relationship Id="rId611" Type="http://schemas.openxmlformats.org/officeDocument/2006/relationships/hyperlink" Target="http://www.strathmore.edu/" TargetMode="External"/><Relationship Id="rId612" Type="http://schemas.openxmlformats.org/officeDocument/2006/relationships/hyperlink" Target="http://www.eifl.net/news/strathmore-university-open-access-policy-keny" TargetMode="External"/><Relationship Id="rId613" Type="http://schemas.openxmlformats.org/officeDocument/2006/relationships/hyperlink" Target="http://ir.library.strathmore.edu/" TargetMode="External"/><Relationship Id="rId614" Type="http://schemas.openxmlformats.org/officeDocument/2006/relationships/hyperlink" Target="http://roarmap.eprints.org/5/" TargetMode="External"/><Relationship Id="rId615" Type="http://schemas.openxmlformats.org/officeDocument/2006/relationships/hyperlink" Target="http://www.uonbi.ac.ke" TargetMode="External"/><Relationship Id="rId616" Type="http://schemas.openxmlformats.org/officeDocument/2006/relationships/hyperlink" Target="http://erepository.uonbi.ac.ke:8080/xmlui/handle/11295/7447?show=full" TargetMode="External"/><Relationship Id="rId617" Type="http://schemas.openxmlformats.org/officeDocument/2006/relationships/hyperlink" Target="http://erepository.uonbi.ac.ke" TargetMode="External"/><Relationship Id="rId618" Type="http://schemas.openxmlformats.org/officeDocument/2006/relationships/hyperlink" Target="http://roarmap.eprints.org/239/" TargetMode="External"/><Relationship Id="rId619" Type="http://schemas.openxmlformats.org/officeDocument/2006/relationships/hyperlink" Target="http://www.uni.lu" TargetMode="External"/><Relationship Id="rId1490" Type="http://schemas.openxmlformats.org/officeDocument/2006/relationships/hyperlink" Target="http://roarmap.eprints.org/558/" TargetMode="External"/><Relationship Id="rId1491" Type="http://schemas.openxmlformats.org/officeDocument/2006/relationships/hyperlink" Target="http://www.vt.edu/" TargetMode="External"/><Relationship Id="rId1492" Type="http://schemas.openxmlformats.org/officeDocument/2006/relationships/hyperlink" Target="http://etd.vt.edu/index.html" TargetMode="External"/><Relationship Id="rId1493" Type="http://schemas.openxmlformats.org/officeDocument/2006/relationships/hyperlink" Target="http://vtechworks.lib.vt.edu/" TargetMode="External"/><Relationship Id="rId1494" Type="http://schemas.openxmlformats.org/officeDocument/2006/relationships/hyperlink" Target="http://roarmap.eprints.org/559/" TargetMode="External"/><Relationship Id="rId1495" Type="http://schemas.openxmlformats.org/officeDocument/2006/relationships/hyperlink" Target="http://www.lib.vt.edu/" TargetMode="External"/><Relationship Id="rId1496" Type="http://schemas.openxmlformats.org/officeDocument/2006/relationships/hyperlink" Target="http://www.lib.vt.edu/openaccess/lfa-oa-policy.pdf" TargetMode="External"/><Relationship Id="rId1497" Type="http://schemas.openxmlformats.org/officeDocument/2006/relationships/hyperlink" Target="http://vtechworks.lib.vt.edu/" TargetMode="External"/><Relationship Id="rId1498" Type="http://schemas.openxmlformats.org/officeDocument/2006/relationships/hyperlink" Target="http://roarmap.eprints.org/560/" TargetMode="External"/><Relationship Id="rId1499" Type="http://schemas.openxmlformats.org/officeDocument/2006/relationships/hyperlink" Target="http://www.wfu.edu/" TargetMode="External"/><Relationship Id="rId490" Type="http://schemas.openxmlformats.org/officeDocument/2006/relationships/hyperlink" Target="http://drs.nio.org/drs/index.jsp" TargetMode="External"/><Relationship Id="rId491" Type="http://schemas.openxmlformats.org/officeDocument/2006/relationships/hyperlink" Target="http://roarmap.eprints.org/30/" TargetMode="External"/><Relationship Id="rId492" Type="http://schemas.openxmlformats.org/officeDocument/2006/relationships/hyperlink" Target="http://www.nitrkl.ac.in/" TargetMode="External"/><Relationship Id="rId493" Type="http://schemas.openxmlformats.org/officeDocument/2006/relationships/hyperlink" Target="http://dspace.nitrkl.ac.in/dspace/" TargetMode="External"/><Relationship Id="rId494" Type="http://schemas.openxmlformats.org/officeDocument/2006/relationships/hyperlink" Target="http://roarmap.eprints.org/34/" TargetMode="External"/><Relationship Id="rId495" Type="http://schemas.openxmlformats.org/officeDocument/2006/relationships/hyperlink" Target="http://www.unsri.ac.id/" TargetMode="External"/><Relationship Id="rId496" Type="http://schemas.openxmlformats.org/officeDocument/2006/relationships/hyperlink" Target="http://roarmap.eprints.org/592/1/policies.html" TargetMode="External"/><Relationship Id="rId497" Type="http://schemas.openxmlformats.org/officeDocument/2006/relationships/hyperlink" Target="http://eprints.unsri.ac.id/" TargetMode="External"/><Relationship Id="rId498" Type="http://schemas.openxmlformats.org/officeDocument/2006/relationships/hyperlink" Target="http://roarmap.eprints.org/37/" TargetMode="External"/><Relationship Id="rId499" Type="http://schemas.openxmlformats.org/officeDocument/2006/relationships/hyperlink" Target="http://www.ubaya.ac.id/" TargetMode="External"/><Relationship Id="rId1170" Type="http://schemas.openxmlformats.org/officeDocument/2006/relationships/hyperlink" Target="http://www.gla.ac.uk/" TargetMode="External"/><Relationship Id="rId1171" Type="http://schemas.openxmlformats.org/officeDocument/2006/relationships/hyperlink" Target="http://www.lib.gla.ac.uk/enlighten/publicationspolicy/index.html" TargetMode="External"/><Relationship Id="rId1172" Type="http://schemas.openxmlformats.org/officeDocument/2006/relationships/hyperlink" Target="http://www.lib.gla.ac.uk/enlighten/" TargetMode="External"/><Relationship Id="rId1173" Type="http://schemas.openxmlformats.org/officeDocument/2006/relationships/hyperlink" Target="http://roarmap.eprints.org/696/" TargetMode="External"/><Relationship Id="rId1174" Type="http://schemas.openxmlformats.org/officeDocument/2006/relationships/hyperlink" Target="http://www2.hull.ac.uk/" TargetMode="External"/><Relationship Id="rId1175" Type="http://schemas.openxmlformats.org/officeDocument/2006/relationships/hyperlink" Target="https://hydra.hull.ac.uk/assets/hull:10503/content" TargetMode="External"/><Relationship Id="rId1176" Type="http://schemas.openxmlformats.org/officeDocument/2006/relationships/hyperlink" Target="https://hydra.hull.ac.uk/" TargetMode="External"/><Relationship Id="rId1177" Type="http://schemas.openxmlformats.org/officeDocument/2006/relationships/hyperlink" Target="http://roarmap.eprints.org/397/" TargetMode="External"/><Relationship Id="rId1178" Type="http://schemas.openxmlformats.org/officeDocument/2006/relationships/hyperlink" Target="http://kent.ac.uk/" TargetMode="External"/><Relationship Id="rId1179" Type="http://schemas.openxmlformats.org/officeDocument/2006/relationships/hyperlink" Target="http://www.kent.ac.uk/researchservices/docs/open-access-policy-april-2013.pdf" TargetMode="External"/><Relationship Id="rId170" Type="http://schemas.openxmlformats.org/officeDocument/2006/relationships/hyperlink" Target="http://roarmap.eprints.org/611/" TargetMode="External"/><Relationship Id="rId171" Type="http://schemas.openxmlformats.org/officeDocument/2006/relationships/hyperlink" Target="http://www.ufrgs.br/" TargetMode="External"/><Relationship Id="rId172" Type="http://schemas.openxmlformats.org/officeDocument/2006/relationships/hyperlink" Target="http://roarmap.eprints.org/468/1/Portaria-5068.pdf" TargetMode="External"/><Relationship Id="rId173" Type="http://schemas.openxmlformats.org/officeDocument/2006/relationships/hyperlink" Target="http://www.lume.ufrgs.br/" TargetMode="External"/><Relationship Id="rId174" Type="http://schemas.openxmlformats.org/officeDocument/2006/relationships/hyperlink" Target="http://roarmap.eprints.org/620/" TargetMode="External"/><Relationship Id="rId175" Type="http://schemas.openxmlformats.org/officeDocument/2006/relationships/hyperlink" Target="http://www.utfpr.edu.br/londrina" TargetMode="External"/><Relationship Id="rId176" Type="http://schemas.openxmlformats.org/officeDocument/2006/relationships/hyperlink" Target="http://repositorio.utfpr.edu.br/jspui/sobre/politica_repositorio_1.pdf" TargetMode="External"/><Relationship Id="rId177" Type="http://schemas.openxmlformats.org/officeDocument/2006/relationships/hyperlink" Target="http://repositorio.utfpr.edu.br/jspui/" TargetMode="External"/><Relationship Id="rId178" Type="http://schemas.openxmlformats.org/officeDocument/2006/relationships/hyperlink" Target="http://roarmap.eprints.org/613/" TargetMode="External"/><Relationship Id="rId179" Type="http://schemas.openxmlformats.org/officeDocument/2006/relationships/hyperlink" Target="http://www.unb.br/" TargetMode="External"/><Relationship Id="rId940" Type="http://schemas.openxmlformats.org/officeDocument/2006/relationships/hyperlink" Target="http://snu.edu.ua/" TargetMode="External"/><Relationship Id="rId941" Type="http://schemas.openxmlformats.org/officeDocument/2006/relationships/hyperlink" Target="http://roarmap.eprints.org/501/" TargetMode="External"/><Relationship Id="rId942" Type="http://schemas.openxmlformats.org/officeDocument/2006/relationships/hyperlink" Target="http://dspace.snu.edu.ua:8080/jspui/" TargetMode="External"/><Relationship Id="rId943" Type="http://schemas.openxmlformats.org/officeDocument/2006/relationships/hyperlink" Target="http://roarmap.eprints.org/340/" TargetMode="External"/><Relationship Id="rId944" Type="http://schemas.openxmlformats.org/officeDocument/2006/relationships/hyperlink" Target="http://www.aber.ac.uk" TargetMode="External"/><Relationship Id="rId945" Type="http://schemas.openxmlformats.org/officeDocument/2006/relationships/hyperlink" Target="http://www.aber.ac.uk/en/is/help/openaccess/publish/" TargetMode="External"/><Relationship Id="rId946" Type="http://schemas.openxmlformats.org/officeDocument/2006/relationships/hyperlink" Target="http://cadair.aber.ac.uk/dspace/" TargetMode="External"/><Relationship Id="rId947" Type="http://schemas.openxmlformats.org/officeDocument/2006/relationships/hyperlink" Target="http://roarmap.eprints.org/341/" TargetMode="External"/><Relationship Id="rId948" Type="http://schemas.openxmlformats.org/officeDocument/2006/relationships/hyperlink" Target="http://www.arthritisresearchuk.org/" TargetMode="External"/><Relationship Id="rId949" Type="http://schemas.openxmlformats.org/officeDocument/2006/relationships/hyperlink" Target="http://www.arthritisresearchuk.org/research/our-research-policies/open-access-policy.aspx" TargetMode="External"/><Relationship Id="rId620" Type="http://schemas.openxmlformats.org/officeDocument/2006/relationships/hyperlink" Target="http://roarmap.eprints.org/825/1/Mandate-ORBilu.pdf" TargetMode="External"/><Relationship Id="rId621" Type="http://schemas.openxmlformats.org/officeDocument/2006/relationships/hyperlink" Target="http://orbilu.uni.lu" TargetMode="External"/><Relationship Id="rId622" Type="http://schemas.openxmlformats.org/officeDocument/2006/relationships/hyperlink" Target="http://roarmap.eprints.org/242/" TargetMode="External"/><Relationship Id="rId623" Type="http://schemas.openxmlformats.org/officeDocument/2006/relationships/hyperlink" Target="http://w3.tue.nl/en/" TargetMode="External"/><Relationship Id="rId624" Type="http://schemas.openxmlformats.org/officeDocument/2006/relationships/hyperlink" Target="http://w3.tue.nl/en/services/library/about/openaccesscoach/oa_and_tue/tue_policy/" TargetMode="External"/><Relationship Id="rId625" Type="http://schemas.openxmlformats.org/officeDocument/2006/relationships/hyperlink" Target="http://repository.tue.nl/" TargetMode="External"/><Relationship Id="rId626" Type="http://schemas.openxmlformats.org/officeDocument/2006/relationships/hyperlink" Target="http://roarmap.eprints.org/243/" TargetMode="External"/><Relationship Id="rId627" Type="http://schemas.openxmlformats.org/officeDocument/2006/relationships/hyperlink" Target="http://www.eur.nl/english/" TargetMode="External"/><Relationship Id="rId628" Type="http://schemas.openxmlformats.org/officeDocument/2006/relationships/hyperlink" Target="http://www.eur.nl/researchmatters/open_access/eur_policy/" TargetMode="External"/><Relationship Id="rId629" Type="http://schemas.openxmlformats.org/officeDocument/2006/relationships/hyperlink" Target="http://repub.eur.nl/" TargetMode="External"/><Relationship Id="rId1300" Type="http://schemas.openxmlformats.org/officeDocument/2006/relationships/hyperlink" Target="http://roarmap.eprints.org/465/" TargetMode="External"/><Relationship Id="rId1301" Type="http://schemas.openxmlformats.org/officeDocument/2006/relationships/hyperlink" Target="http://duke.edu/" TargetMode="External"/><Relationship Id="rId1302" Type="http://schemas.openxmlformats.org/officeDocument/2006/relationships/hyperlink" Target="http://provost.duke.edu/wp-content/uploads/FHB_App_P.pdf" TargetMode="External"/><Relationship Id="rId1303" Type="http://schemas.openxmlformats.org/officeDocument/2006/relationships/hyperlink" Target="http://dukespace.lib.duke.edu/dspace/" TargetMode="External"/><Relationship Id="rId1304" Type="http://schemas.openxmlformats.org/officeDocument/2006/relationships/hyperlink" Target="http://roarmap.eprints.org/466/" TargetMode="External"/><Relationship Id="rId1305" Type="http://schemas.openxmlformats.org/officeDocument/2006/relationships/hyperlink" Target="http://gradschool.duke.edu/" TargetMode="External"/><Relationship Id="rId1306" Type="http://schemas.openxmlformats.org/officeDocument/2006/relationships/hyperlink" Target="http://gradschool.duke.edu/sites/default/files/documents/ElectronicThesisDissGuide.pdf" TargetMode="External"/><Relationship Id="rId1307" Type="http://schemas.openxmlformats.org/officeDocument/2006/relationships/hyperlink" Target="http://dukespace.lib.duke.edu/dspace/handle/10161/1" TargetMode="External"/><Relationship Id="rId1308" Type="http://schemas.openxmlformats.org/officeDocument/2006/relationships/hyperlink" Target="http://roarmap.eprints.org/469/" TargetMode="External"/><Relationship Id="rId1309" Type="http://schemas.openxmlformats.org/officeDocument/2006/relationships/hyperlink" Target="http://www.gatech.edu/" TargetMode="External"/><Relationship Id="rId300" Type="http://schemas.openxmlformats.org/officeDocument/2006/relationships/hyperlink" Target="http://www.arcada.fi/en" TargetMode="External"/><Relationship Id="rId301" Type="http://schemas.openxmlformats.org/officeDocument/2006/relationships/hyperlink" Target="http://www.arene.fi/data/dokumentit/52bd599d-66f6-41a9-8cb7-6e151ec677d5_open%20access%20julkilausuma.pdf" TargetMode="External"/><Relationship Id="rId302" Type="http://schemas.openxmlformats.org/officeDocument/2006/relationships/hyperlink" Target="http://www.theseus.fi/" TargetMode="External"/><Relationship Id="rId303" Type="http://schemas.openxmlformats.org/officeDocument/2006/relationships/hyperlink" Target="http://roarmap.eprints.org/109/" TargetMode="External"/><Relationship Id="rId304" Type="http://schemas.openxmlformats.org/officeDocument/2006/relationships/hyperlink" Target="http://web.centria.fi/Default.aspx" TargetMode="External"/><Relationship Id="rId305" Type="http://schemas.openxmlformats.org/officeDocument/2006/relationships/hyperlink" Target="http://www.arene.fi/data/dokumentit/52bd599d-66f6-41a9-8cb7-6e151ec677d5_open%20access%20julkilausuma.pdf" TargetMode="External"/><Relationship Id="rId306" Type="http://schemas.openxmlformats.org/officeDocument/2006/relationships/hyperlink" Target="http://www.theseus.fi/" TargetMode="External"/><Relationship Id="rId307" Type="http://schemas.openxmlformats.org/officeDocument/2006/relationships/hyperlink" Target="http://roarmap.eprints.org/110/" TargetMode="External"/><Relationship Id="rId308" Type="http://schemas.openxmlformats.org/officeDocument/2006/relationships/hyperlink" Target="http://www.diak.fi/Sivut/default.aspx" TargetMode="External"/><Relationship Id="rId309" Type="http://schemas.openxmlformats.org/officeDocument/2006/relationships/hyperlink" Target="http://www.arene.fi/data/dokumentit/52bd599d-66f6-41a9-8cb7-6e151ec677d5_open%20access%20julkilausuma.pdf" TargetMode="External"/><Relationship Id="rId1180" Type="http://schemas.openxmlformats.org/officeDocument/2006/relationships/hyperlink" Target="http://kar.kent.ac.uk/" TargetMode="External"/><Relationship Id="rId1181" Type="http://schemas.openxmlformats.org/officeDocument/2006/relationships/hyperlink" Target="http://roarmap.eprints.org/398/" TargetMode="External"/><Relationship Id="rId1182" Type="http://schemas.openxmlformats.org/officeDocument/2006/relationships/hyperlink" Target="http://www.leeds.ac.uk/" TargetMode="External"/><Relationship Id="rId1183" Type="http://schemas.openxmlformats.org/officeDocument/2006/relationships/hyperlink" Target="http://eprints.whiterose.ac.uk/" TargetMode="External"/><Relationship Id="rId1184" Type="http://schemas.openxmlformats.org/officeDocument/2006/relationships/hyperlink" Target="http://roarmap.eprints.org/399/" TargetMode="External"/><Relationship Id="rId1185" Type="http://schemas.openxmlformats.org/officeDocument/2006/relationships/hyperlink" Target="http://www.le.ac.uk/" TargetMode="External"/><Relationship Id="rId1186" Type="http://schemas.openxmlformats.org/officeDocument/2006/relationships/hyperlink" Target="http://www2.le.ac.uk/library/for/researchers/publish/nutshell" TargetMode="External"/><Relationship Id="rId1187" Type="http://schemas.openxmlformats.org/officeDocument/2006/relationships/hyperlink" Target="https://lra.le.ac.uk/" TargetMode="External"/><Relationship Id="rId1188" Type="http://schemas.openxmlformats.org/officeDocument/2006/relationships/hyperlink" Target="http://roarmap.eprints.org/400/" TargetMode="External"/><Relationship Id="rId1189" Type="http://schemas.openxmlformats.org/officeDocument/2006/relationships/hyperlink" Target="http://www.lincoln.ac.uk/home/" TargetMode="External"/><Relationship Id="rId180" Type="http://schemas.openxmlformats.org/officeDocument/2006/relationships/hyperlink" Target="http://repositorio.unb.br/termo/resolucao.pdf" TargetMode="External"/><Relationship Id="rId181" Type="http://schemas.openxmlformats.org/officeDocument/2006/relationships/hyperlink" Target="http://repositorio.unb.br/" TargetMode="External"/><Relationship Id="rId182" Type="http://schemas.openxmlformats.org/officeDocument/2006/relationships/hyperlink" Target="http://roarmap.eprints.org/614/" TargetMode="External"/><Relationship Id="rId183" Type="http://schemas.openxmlformats.org/officeDocument/2006/relationships/hyperlink" Target="http://www5.usp.br/" TargetMode="External"/><Relationship Id="rId184" Type="http://schemas.openxmlformats.org/officeDocument/2006/relationships/hyperlink" Target="http://www.producao.usp.br/page/politicaAcessoEnUS" TargetMode="External"/><Relationship Id="rId185" Type="http://schemas.openxmlformats.org/officeDocument/2006/relationships/hyperlink" Target="http://www.producao.usp.br" TargetMode="External"/><Relationship Id="rId186" Type="http://schemas.openxmlformats.org/officeDocument/2006/relationships/hyperlink" Target="http://roarmap.eprints.org/81/" TargetMode="External"/><Relationship Id="rId187" Type="http://schemas.openxmlformats.org/officeDocument/2006/relationships/hyperlink" Target="http://www.bntu.by/sclibrary.html" TargetMode="External"/><Relationship Id="rId188" Type="http://schemas.openxmlformats.org/officeDocument/2006/relationships/hyperlink" Target="http://rep.bntu.by/" TargetMode="External"/><Relationship Id="rId189" Type="http://schemas.openxmlformats.org/officeDocument/2006/relationships/hyperlink" Target="http://roarmap.eprints.org/82/" TargetMode="External"/><Relationship Id="rId950" Type="http://schemas.openxmlformats.org/officeDocument/2006/relationships/hyperlink" Target="http://europepmc.org/" TargetMode="External"/><Relationship Id="rId951" Type="http://schemas.openxmlformats.org/officeDocument/2006/relationships/hyperlink" Target="http://roarmap.eprints.org/342/" TargetMode="External"/><Relationship Id="rId952" Type="http://schemas.openxmlformats.org/officeDocument/2006/relationships/hyperlink" Target="http://www.ahrc.ac.uk/Pages/Home.aspx" TargetMode="External"/><Relationship Id="rId953" Type="http://schemas.openxmlformats.org/officeDocument/2006/relationships/hyperlink" Target="http://www.rcuk.ac.uk/RCUK-prod/assets/documents/documents/RCUKOpenAccessPolicy.pdf" TargetMode="External"/><Relationship Id="rId954" Type="http://schemas.openxmlformats.org/officeDocument/2006/relationships/hyperlink" Target="http://roarmap.eprints.org/343/" TargetMode="External"/><Relationship Id="rId955" Type="http://schemas.openxmlformats.org/officeDocument/2006/relationships/hyperlink" Target="http://www.aston.ac.uk/" TargetMode="External"/><Relationship Id="rId956" Type="http://schemas.openxmlformats.org/officeDocument/2006/relationships/hyperlink" Target="http://www.aston.ac.uk/library/additional-information-for/aston-authors/astons-open-access-policy/" TargetMode="External"/><Relationship Id="rId957" Type="http://schemas.openxmlformats.org/officeDocument/2006/relationships/hyperlink" Target="https://research.aston.ac.uk/portal/" TargetMode="External"/><Relationship Id="rId958" Type="http://schemas.openxmlformats.org/officeDocument/2006/relationships/hyperlink" Target="http://roarmap.eprints.org/344/" TargetMode="External"/><Relationship Id="rId959" Type="http://schemas.openxmlformats.org/officeDocument/2006/relationships/hyperlink" Target="http://www.bangor.ac.uk/" TargetMode="External"/><Relationship Id="rId630" Type="http://schemas.openxmlformats.org/officeDocument/2006/relationships/hyperlink" Target="http://roarmap.eprints.org/244/" TargetMode="External"/><Relationship Id="rId631" Type="http://schemas.openxmlformats.org/officeDocument/2006/relationships/hyperlink" Target="https://www.knaw.nl/en" TargetMode="External"/><Relationship Id="rId632" Type="http://schemas.openxmlformats.org/officeDocument/2006/relationships/hyperlink" Target="https://www.knaw.nl/en/openaccess" TargetMode="External"/><Relationship Id="rId633" Type="http://schemas.openxmlformats.org/officeDocument/2006/relationships/hyperlink" Target="https://pure.knaw.nl" TargetMode="External"/><Relationship Id="rId634" Type="http://schemas.openxmlformats.org/officeDocument/2006/relationships/hyperlink" Target="http://roarmap.eprints.org/247/" TargetMode="External"/><Relationship Id="rId635" Type="http://schemas.openxmlformats.org/officeDocument/2006/relationships/hyperlink" Target="http://www.wageningenur.nl/en.htm" TargetMode="External"/><Relationship Id="rId636" Type="http://schemas.openxmlformats.org/officeDocument/2006/relationships/hyperlink" Target="http://www.wageningenur.nl/en/Expertise-Services/Facilities/Library/Expertise/Write-cite/Open-Access/policy.htm" TargetMode="External"/><Relationship Id="rId637" Type="http://schemas.openxmlformats.org/officeDocument/2006/relationships/hyperlink" Target="http://www.wageningenur.nl/en/Expertise-Services/Facilities/Library/Expertise/Find-discover/Wageningen-Yield.htm" TargetMode="External"/><Relationship Id="rId638" Type="http://schemas.openxmlformats.org/officeDocument/2006/relationships/hyperlink" Target="http://roarmap.eprints.org/597/" TargetMode="External"/><Relationship Id="rId639" Type="http://schemas.openxmlformats.org/officeDocument/2006/relationships/hyperlink" Target="https://www.auckland.ac.nz/en.html" TargetMode="External"/><Relationship Id="rId1310" Type="http://schemas.openxmlformats.org/officeDocument/2006/relationships/hyperlink" Target="http://www.policylibrary.gatech.edu/faculty-handbook/5.5-policy-open-access-faculty-publications" TargetMode="External"/><Relationship Id="rId1311" Type="http://schemas.openxmlformats.org/officeDocument/2006/relationships/hyperlink" Target="https://smartech.gatech.edu/" TargetMode="External"/><Relationship Id="rId1312" Type="http://schemas.openxmlformats.org/officeDocument/2006/relationships/hyperlink" Target="http://roarmap.eprints.org/471/" TargetMode="External"/><Relationship Id="rId1313" Type="http://schemas.openxmlformats.org/officeDocument/2006/relationships/hyperlink" Target="http://www.hbs.edu/Pages/default.aspx" TargetMode="External"/><Relationship Id="rId1314" Type="http://schemas.openxmlformats.org/officeDocument/2006/relationships/hyperlink" Target="https://osc.hul.harvard.edu/hbspolicy" TargetMode="External"/><Relationship Id="rId1315" Type="http://schemas.openxmlformats.org/officeDocument/2006/relationships/hyperlink" Target="http://dash.harvard.edu/" TargetMode="External"/><Relationship Id="rId1316" Type="http://schemas.openxmlformats.org/officeDocument/2006/relationships/hyperlink" Target="http://roarmap.eprints.org/472/" TargetMode="External"/><Relationship Id="rId1317" Type="http://schemas.openxmlformats.org/officeDocument/2006/relationships/hyperlink" Target="http://hds.harvard.edu/" TargetMode="External"/><Relationship Id="rId1318" Type="http://schemas.openxmlformats.org/officeDocument/2006/relationships/hyperlink" Target="https://osc.hul.harvard.edu/hdspolicy" TargetMode="External"/><Relationship Id="rId1319" Type="http://schemas.openxmlformats.org/officeDocument/2006/relationships/hyperlink" Target="http://dash.harvard.edu/" TargetMode="External"/><Relationship Id="rId310" Type="http://schemas.openxmlformats.org/officeDocument/2006/relationships/hyperlink" Target="http://www.theseus.fi/" TargetMode="External"/><Relationship Id="rId311" Type="http://schemas.openxmlformats.org/officeDocument/2006/relationships/hyperlink" Target="http://roarmap.eprints.org/111/" TargetMode="External"/><Relationship Id="rId312" Type="http://schemas.openxmlformats.org/officeDocument/2006/relationships/hyperlink" Target="http://www.haaga-helia.fi/en/frontpage" TargetMode="External"/><Relationship Id="rId313" Type="http://schemas.openxmlformats.org/officeDocument/2006/relationships/hyperlink" Target="http://www.arene.fi/data/dokumentit/52bd599d-66f6-41a9-8cb7-6e151ec677d5_open%20access%20julkilausuma.pdf" TargetMode="External"/><Relationship Id="rId314" Type="http://schemas.openxmlformats.org/officeDocument/2006/relationships/hyperlink" Target="http://www.theseus.fi/" TargetMode="External"/><Relationship Id="rId315" Type="http://schemas.openxmlformats.org/officeDocument/2006/relationships/hyperlink" Target="http://roarmap.eprints.org/112/" TargetMode="External"/><Relationship Id="rId316" Type="http://schemas.openxmlformats.org/officeDocument/2006/relationships/hyperlink" Target="http://portal.hamk.fi/portal/page/portal/HAMK/In_English" TargetMode="External"/><Relationship Id="rId317" Type="http://schemas.openxmlformats.org/officeDocument/2006/relationships/hyperlink" Target="http://www.arene.fi/data/dokumentit/52bd599d-66f6-41a9-8cb7-6e151ec677d5_open%20access%20julkilausuma.pdf" TargetMode="External"/><Relationship Id="rId318" Type="http://schemas.openxmlformats.org/officeDocument/2006/relationships/hyperlink" Target="http://www.theseus.fi/" TargetMode="External"/><Relationship Id="rId319" Type="http://schemas.openxmlformats.org/officeDocument/2006/relationships/hyperlink" Target="http://roarmap.eprints.org/113/" TargetMode="External"/><Relationship Id="rId1190" Type="http://schemas.openxmlformats.org/officeDocument/2006/relationships/hyperlink" Target="http://secretariat.blogs.lincoln.ac.uk/files/2013/08/Open-Access-Policy-2014.pdf" TargetMode="External"/><Relationship Id="rId1191" Type="http://schemas.openxmlformats.org/officeDocument/2006/relationships/hyperlink" Target="http://eprints.lincoln.ac.uk/" TargetMode="External"/><Relationship Id="rId1192" Type="http://schemas.openxmlformats.org/officeDocument/2006/relationships/hyperlink" Target="http://roarmap.eprints.org/401/" TargetMode="External"/><Relationship Id="rId1193" Type="http://schemas.openxmlformats.org/officeDocument/2006/relationships/hyperlink" Target="http://www.nottingham.ac.uk" TargetMode="External"/><Relationship Id="rId1194" Type="http://schemas.openxmlformats.org/officeDocument/2006/relationships/hyperlink" Target="http://eprints.nottingham.ac.uk/policies.html" TargetMode="External"/><Relationship Id="rId1195" Type="http://schemas.openxmlformats.org/officeDocument/2006/relationships/hyperlink" Target="http://eprints.nottingham.ac.uk/" TargetMode="External"/><Relationship Id="rId1196" Type="http://schemas.openxmlformats.org/officeDocument/2006/relationships/hyperlink" Target="http://roarmap.eprints.org/697/" TargetMode="External"/><Relationship Id="rId1197" Type="http://schemas.openxmlformats.org/officeDocument/2006/relationships/hyperlink" Target="http://www.port.ac.uk/" TargetMode="External"/><Relationship Id="rId1198" Type="http://schemas.openxmlformats.org/officeDocument/2006/relationships/hyperlink" Target="http://www.port.ac.uk/accesstoinformation/policies/humanresources/filetodownload,183267,en.pdf" TargetMode="External"/><Relationship Id="rId1199" Type="http://schemas.openxmlformats.org/officeDocument/2006/relationships/hyperlink" Target="http://eprints.port.ac.uk/" TargetMode="External"/><Relationship Id="rId190" Type="http://schemas.openxmlformats.org/officeDocument/2006/relationships/hyperlink" Target="http://www.bsu.by/" TargetMode="External"/><Relationship Id="rId191" Type="http://schemas.openxmlformats.org/officeDocument/2006/relationships/hyperlink" Target="http://roarmap.eprints.org/1001/1/%D0%9F%D0%BE%D0%BB%D0%BE%D0%B6%D0%B5%D0%BD%D0%B8%D0%B5%20%D0%BE%D0%B1%20%D0%AD%D0%91%20%D0%91%D0%93%D0%A3.pdf" TargetMode="External"/><Relationship Id="rId192" Type="http://schemas.openxmlformats.org/officeDocument/2006/relationships/hyperlink" Target="http://elib.bsu.by/" TargetMode="External"/><Relationship Id="rId193" Type="http://schemas.openxmlformats.org/officeDocument/2006/relationships/hyperlink" Target="http://roarmap.eprints.org/415/" TargetMode="External"/><Relationship Id="rId194" Type="http://schemas.openxmlformats.org/officeDocument/2006/relationships/hyperlink" Target="http://www.brocku.ca/" TargetMode="External"/><Relationship Id="rId195" Type="http://schemas.openxmlformats.org/officeDocument/2006/relationships/hyperlink" Target="http://brocku.ca/graduate-studies/current-students/thesis/e-thesis-submission" TargetMode="External"/><Relationship Id="rId196" Type="http://schemas.openxmlformats.org/officeDocument/2006/relationships/hyperlink" Target="https://dr.library.brocku.ca/" TargetMode="External"/><Relationship Id="rId197" Type="http://schemas.openxmlformats.org/officeDocument/2006/relationships/hyperlink" Target="http://roarmap.eprints.org/417/" TargetMode="External"/><Relationship Id="rId198" Type="http://schemas.openxmlformats.org/officeDocument/2006/relationships/hyperlink" Target="http://www.cancer.ca/" TargetMode="External"/><Relationship Id="rId199" Type="http://schemas.openxmlformats.org/officeDocument/2006/relationships/hyperlink" Target="http://www.cancer.ca/en/research/policies-and-administration/policies/open-access-policy/" TargetMode="External"/><Relationship Id="rId960" Type="http://schemas.openxmlformats.org/officeDocument/2006/relationships/hyperlink" Target="http://www.bangor.ac.uk/library/resources/documents/Bangor-University-Publications-Policy-02-1D.pdf" TargetMode="External"/><Relationship Id="rId961" Type="http://schemas.openxmlformats.org/officeDocument/2006/relationships/hyperlink" Target="http://dspace.bangor.ac.uk/dspace/" TargetMode="External"/><Relationship Id="rId962" Type="http://schemas.openxmlformats.org/officeDocument/2006/relationships/hyperlink" Target="http://roarmap.eprints.org/730/" TargetMode="External"/><Relationship Id="rId963" Type="http://schemas.openxmlformats.org/officeDocument/2006/relationships/hyperlink" Target="http://www.bathspa.ac.uk/" TargetMode="External"/><Relationship Id="rId964" Type="http://schemas.openxmlformats.org/officeDocument/2006/relationships/hyperlink" Target="http://www.bathspa.ac.uk/regulations/open-access-policy" TargetMode="External"/><Relationship Id="rId965" Type="http://schemas.openxmlformats.org/officeDocument/2006/relationships/hyperlink" Target="http://researchspace.bathspa.ac.uk/" TargetMode="External"/><Relationship Id="rId966" Type="http://schemas.openxmlformats.org/officeDocument/2006/relationships/hyperlink" Target="http://roarmap.eprints.org/345/" TargetMode="External"/><Relationship Id="rId967" Type="http://schemas.openxmlformats.org/officeDocument/2006/relationships/hyperlink" Target="http://www.bbsrc.ac.uk/home/home.aspx" TargetMode="External"/><Relationship Id="rId968" Type="http://schemas.openxmlformats.org/officeDocument/2006/relationships/hyperlink" Target="http://europepmc.org/" TargetMode="External"/><Relationship Id="rId969" Type="http://schemas.openxmlformats.org/officeDocument/2006/relationships/hyperlink" Target="http://roarmap.eprints.org/347/" TargetMode="External"/><Relationship Id="rId640" Type="http://schemas.openxmlformats.org/officeDocument/2006/relationships/hyperlink" Target="http://www.calendar.auckland.ac.nz/regulations/doctoral/PhD.html" TargetMode="External"/><Relationship Id="rId641" Type="http://schemas.openxmlformats.org/officeDocument/2006/relationships/hyperlink" Target="https://researchspace.auckland.ac.nz/" TargetMode="External"/><Relationship Id="rId642" Type="http://schemas.openxmlformats.org/officeDocument/2006/relationships/hyperlink" Target="http://roarmap.eprints.org/600/" TargetMode="External"/><Relationship Id="rId643" Type="http://schemas.openxmlformats.org/officeDocument/2006/relationships/hyperlink" Target="http://www.waikato.ac.nz/" TargetMode="External"/><Relationship Id="rId644" Type="http://schemas.openxmlformats.org/officeDocument/2006/relationships/hyperlink" Target="http://www.waikato.ac.nz/__data/assets/pdf_file/0007/186586/open-access-guidlines.pdf" TargetMode="External"/><Relationship Id="rId645" Type="http://schemas.openxmlformats.org/officeDocument/2006/relationships/hyperlink" Target="http://researchcommons.waikato.ac.nz/" TargetMode="External"/><Relationship Id="rId646" Type="http://schemas.openxmlformats.org/officeDocument/2006/relationships/hyperlink" Target="http://roarmap.eprints.org/601/" TargetMode="External"/><Relationship Id="rId647" Type="http://schemas.openxmlformats.org/officeDocument/2006/relationships/hyperlink" Target="http://www.victoria.ac.nz/home/" TargetMode="External"/><Relationship Id="rId648" Type="http://schemas.openxmlformats.org/officeDocument/2006/relationships/hyperlink" Target="http://www.victoria.ac.nz/documents/policy/library-and-information-systems/library-statute.pdf" TargetMode="External"/><Relationship Id="rId649" Type="http://schemas.openxmlformats.org/officeDocument/2006/relationships/hyperlink" Target="http://researcharchive.vuw.ac.nz/" TargetMode="External"/><Relationship Id="rId1320" Type="http://schemas.openxmlformats.org/officeDocument/2006/relationships/hyperlink" Target="http://roarmap.eprints.org/473/" TargetMode="External"/><Relationship Id="rId1321" Type="http://schemas.openxmlformats.org/officeDocument/2006/relationships/hyperlink" Target="http://www.law.harvard.edu/" TargetMode="External"/><Relationship Id="rId1322" Type="http://schemas.openxmlformats.org/officeDocument/2006/relationships/hyperlink" Target="https://osc.hul.harvard.edu/hlspolicy" TargetMode="External"/><Relationship Id="rId1323" Type="http://schemas.openxmlformats.org/officeDocument/2006/relationships/hyperlink" Target="http://dash.harvard.edu/" TargetMode="External"/><Relationship Id="rId1324" Type="http://schemas.openxmlformats.org/officeDocument/2006/relationships/hyperlink" Target="http://roarmap.eprints.org/474/" TargetMode="External"/><Relationship Id="rId1325" Type="http://schemas.openxmlformats.org/officeDocument/2006/relationships/hyperlink" Target="http://www.hsph.harvard.edu/" TargetMode="External"/><Relationship Id="rId1326" Type="http://schemas.openxmlformats.org/officeDocument/2006/relationships/hyperlink" Target="https://osc.hul.harvard.edu/hsphpolicy" TargetMode="External"/><Relationship Id="rId1327" Type="http://schemas.openxmlformats.org/officeDocument/2006/relationships/hyperlink" Target="http://dash.harvard.edu/" TargetMode="External"/><Relationship Id="rId1328" Type="http://schemas.openxmlformats.org/officeDocument/2006/relationships/hyperlink" Target="http://roarmap.eprints.org/477/" TargetMode="External"/><Relationship Id="rId1329" Type="http://schemas.openxmlformats.org/officeDocument/2006/relationships/hyperlink" Target="http://www.fas.harvard.edu/" TargetMode="External"/><Relationship Id="rId320" Type="http://schemas.openxmlformats.org/officeDocument/2006/relationships/hyperlink" Target="http://www.humak.fi/en" TargetMode="External"/><Relationship Id="rId321" Type="http://schemas.openxmlformats.org/officeDocument/2006/relationships/hyperlink" Target="http://www.arene.fi/data/dokumentit/52bd599d-66f6-41a9-8cb7-6e151ec677d5_open%20access%20julkilausuma.pdf" TargetMode="External"/><Relationship Id="rId322" Type="http://schemas.openxmlformats.org/officeDocument/2006/relationships/hyperlink" Target="http://theseus.fi/" TargetMode="External"/><Relationship Id="rId323" Type="http://schemas.openxmlformats.org/officeDocument/2006/relationships/hyperlink" Target="http://roarmap.eprints.org/114/" TargetMode="External"/><Relationship Id="rId324" Type="http://schemas.openxmlformats.org/officeDocument/2006/relationships/hyperlink" Target="http://www.metropolia.fi/en/" TargetMode="External"/><Relationship Id="rId325" Type="http://schemas.openxmlformats.org/officeDocument/2006/relationships/hyperlink" Target="http://www.arene.fi/data/dokumentit/52bd599d-66f6-41a9-8cb7-6e151ec677d5_open%20access%20julkilausuma.pdf" TargetMode="External"/><Relationship Id="rId1000" Type="http://schemas.openxmlformats.org/officeDocument/2006/relationships/hyperlink" Target="http://orca.cf.ac.uk/" TargetMode="External"/><Relationship Id="rId1001" Type="http://schemas.openxmlformats.org/officeDocument/2006/relationships/hyperlink" Target="http://roarmap.eprints.org/352/" TargetMode="External"/><Relationship Id="rId1002" Type="http://schemas.openxmlformats.org/officeDocument/2006/relationships/hyperlink" Target="http://www.cso.scot.nhs.uk/" TargetMode="External"/><Relationship Id="rId1003" Type="http://schemas.openxmlformats.org/officeDocument/2006/relationships/hyperlink" Target="http://www.cso.scot.nhs.uk/about/publications/cso-open-access-policy/compliance-with-cso-open-access-policy/" TargetMode="External"/><Relationship Id="rId1004" Type="http://schemas.openxmlformats.org/officeDocument/2006/relationships/hyperlink" Target="http://europepmc.org/" TargetMode="External"/><Relationship Id="rId1005" Type="http://schemas.openxmlformats.org/officeDocument/2006/relationships/hyperlink" Target="http://roarmap.eprints.org/353/" TargetMode="External"/><Relationship Id="rId1006" Type="http://schemas.openxmlformats.org/officeDocument/2006/relationships/hyperlink" Target="http://www.city.ac.uk/" TargetMode="External"/><Relationship Id="rId1007" Type="http://schemas.openxmlformats.org/officeDocument/2006/relationships/hyperlink" Target="http://www.city.ac.uk/research/research/support-for-staff/open-access-to-research" TargetMode="External"/><Relationship Id="rId1008" Type="http://schemas.openxmlformats.org/officeDocument/2006/relationships/hyperlink" Target="http://openaccess.city.ac.uk/" TargetMode="External"/><Relationship Id="rId1009" Type="http://schemas.openxmlformats.org/officeDocument/2006/relationships/hyperlink" Target="http://roarmap.eprints.org/354/" TargetMode="External"/><Relationship Id="rId326" Type="http://schemas.openxmlformats.org/officeDocument/2006/relationships/hyperlink" Target="http://www.theseus.fi/" TargetMode="External"/><Relationship Id="rId327" Type="http://schemas.openxmlformats.org/officeDocument/2006/relationships/hyperlink" Target="http://roarmap.eprints.org/115/" TargetMode="External"/><Relationship Id="rId328" Type="http://schemas.openxmlformats.org/officeDocument/2006/relationships/hyperlink" Target="https://www.jamk.fi/en/Home/" TargetMode="External"/><Relationship Id="rId329" Type="http://schemas.openxmlformats.org/officeDocument/2006/relationships/hyperlink" Target="http://www.arene.fi/data/dokumentit/52bd599d-66f6-41a9-8cb7-6e151ec677d5_open%20access%20julkilausuma.pdf" TargetMode="External"/><Relationship Id="rId970" Type="http://schemas.openxmlformats.org/officeDocument/2006/relationships/hyperlink" Target="http://www.bbk.ac.uk/law/" TargetMode="External"/><Relationship Id="rId971" Type="http://schemas.openxmlformats.org/officeDocument/2006/relationships/hyperlink" Target="http://www.bbk.ac.uk/lib/elib/BIROn/mandate-to-deposit" TargetMode="External"/><Relationship Id="rId972" Type="http://schemas.openxmlformats.org/officeDocument/2006/relationships/hyperlink" Target="http://eprints.bbk.ac.uk/" TargetMode="External"/><Relationship Id="rId973" Type="http://schemas.openxmlformats.org/officeDocument/2006/relationships/hyperlink" Target="http://roarmap.eprints.org/346/" TargetMode="External"/><Relationship Id="rId974" Type="http://schemas.openxmlformats.org/officeDocument/2006/relationships/hyperlink" Target="http://www.bbk.ac.uk/front-page" TargetMode="External"/><Relationship Id="rId975" Type="http://schemas.openxmlformats.org/officeDocument/2006/relationships/hyperlink" Target="http://www.bbk.ac.uk/lib/elib/BIROn/mandate-to-deposit" TargetMode="External"/><Relationship Id="rId976" Type="http://schemas.openxmlformats.org/officeDocument/2006/relationships/hyperlink" Target="http://eprints.bbk.ac.uk/" TargetMode="External"/><Relationship Id="rId977" Type="http://schemas.openxmlformats.org/officeDocument/2006/relationships/hyperlink" Target="http://roarmap.eprints.org/728/" TargetMode="External"/><Relationship Id="rId978" Type="http://schemas.openxmlformats.org/officeDocument/2006/relationships/hyperlink" Target="http://www.breastcancercampaign.org/" TargetMode="External"/><Relationship Id="rId979" Type="http://schemas.openxmlformats.org/officeDocument/2006/relationships/hyperlink" Target="http://www.breastcancercampaign.org/documents/research/open-access-policy-sept2014-update.pdf" TargetMode="External"/><Relationship Id="rId650" Type="http://schemas.openxmlformats.org/officeDocument/2006/relationships/hyperlink" Target="http://roarmap.eprints.org/6/" TargetMode="External"/><Relationship Id="rId651" Type="http://schemas.openxmlformats.org/officeDocument/2006/relationships/hyperlink" Target="http://covenantuniversity.edu.ng/" TargetMode="External"/><Relationship Id="rId652" Type="http://schemas.openxmlformats.org/officeDocument/2006/relationships/hyperlink" Target="http://eprints.covenantuniversity.edu.ng/policies.html" TargetMode="External"/><Relationship Id="rId653" Type="http://schemas.openxmlformats.org/officeDocument/2006/relationships/hyperlink" Target="http://eprints.covenantuniversity.edu.ng/" TargetMode="External"/><Relationship Id="rId654" Type="http://schemas.openxmlformats.org/officeDocument/2006/relationships/hyperlink" Target="http://roarmap.eprints.org/248/" TargetMode="External"/><Relationship Id="rId655" Type="http://schemas.openxmlformats.org/officeDocument/2006/relationships/hyperlink" Target="http://www.kunnskapssenteret.no/" TargetMode="External"/><Relationship Id="rId656" Type="http://schemas.openxmlformats.org/officeDocument/2006/relationships/hyperlink" Target="http://hera.openrepository.com/hera/bitstream/10143/41633/7/OApolicy_NOKC_251108.pdf" TargetMode="External"/><Relationship Id="rId657" Type="http://schemas.openxmlformats.org/officeDocument/2006/relationships/hyperlink" Target="http://hera.helsebiblioteket.no/" TargetMode="External"/><Relationship Id="rId658" Type="http://schemas.openxmlformats.org/officeDocument/2006/relationships/hyperlink" Target="http://roarmap.eprints.org/249/" TargetMode="External"/><Relationship Id="rId659" Type="http://schemas.openxmlformats.org/officeDocument/2006/relationships/hyperlink" Target="http://www.regjeringen.no/nb.html?id=4" TargetMode="External"/><Relationship Id="rId1330" Type="http://schemas.openxmlformats.org/officeDocument/2006/relationships/hyperlink" Target="https://osc.hul.harvard.edu/hfaspolicy" TargetMode="External"/><Relationship Id="rId1331" Type="http://schemas.openxmlformats.org/officeDocument/2006/relationships/hyperlink" Target="http://dash.harvard.edu/" TargetMode="External"/><Relationship Id="rId1332" Type="http://schemas.openxmlformats.org/officeDocument/2006/relationships/hyperlink" Target="http://roarmap.eprints.org/475/" TargetMode="External"/><Relationship Id="rId1333" Type="http://schemas.openxmlformats.org/officeDocument/2006/relationships/hyperlink" Target="http://www.gsd.harvard.edu/" TargetMode="External"/><Relationship Id="rId1334" Type="http://schemas.openxmlformats.org/officeDocument/2006/relationships/hyperlink" Target="https://osc.hul.harvard.edu/hgsdpolicy" TargetMode="External"/><Relationship Id="rId1335" Type="http://schemas.openxmlformats.org/officeDocument/2006/relationships/hyperlink" Target="http://dash.harvard.edu/" TargetMode="External"/><Relationship Id="rId1336" Type="http://schemas.openxmlformats.org/officeDocument/2006/relationships/hyperlink" Target="http://roarmap.eprints.org/476/" TargetMode="External"/><Relationship Id="rId1337" Type="http://schemas.openxmlformats.org/officeDocument/2006/relationships/hyperlink" Target="http://www.gse.harvard.edu/" TargetMode="External"/><Relationship Id="rId1338" Type="http://schemas.openxmlformats.org/officeDocument/2006/relationships/hyperlink" Target="https://osc.hul.harvard.edu/hgsepolicy" TargetMode="External"/><Relationship Id="rId1339" Type="http://schemas.openxmlformats.org/officeDocument/2006/relationships/hyperlink" Target="http://dash.harvard.edu/" TargetMode="External"/><Relationship Id="rId330" Type="http://schemas.openxmlformats.org/officeDocument/2006/relationships/hyperlink" Target="http://theseus.fi/" TargetMode="External"/><Relationship Id="rId331" Type="http://schemas.openxmlformats.org/officeDocument/2006/relationships/hyperlink" Target="http://roarmap.eprints.org/116/" TargetMode="External"/><Relationship Id="rId332" Type="http://schemas.openxmlformats.org/officeDocument/2006/relationships/hyperlink" Target="http://www.kamk.fi/en" TargetMode="External"/><Relationship Id="rId333" Type="http://schemas.openxmlformats.org/officeDocument/2006/relationships/hyperlink" Target="http://www.arene.fi/data/dokumentit/52bd599d-66f6-41a9-8cb7-6e151ec677d5_open%20access%20julkilausuma.pdf" TargetMode="External"/><Relationship Id="rId334" Type="http://schemas.openxmlformats.org/officeDocument/2006/relationships/hyperlink" Target="http://theseus.fi/" TargetMode="External"/><Relationship Id="rId335" Type="http://schemas.openxmlformats.org/officeDocument/2006/relationships/hyperlink" Target="http://roarmap.eprints.org/117/" TargetMode="External"/><Relationship Id="rId1010" Type="http://schemas.openxmlformats.org/officeDocument/2006/relationships/hyperlink" Target="http://www.coventry.ac.uk/life-on-campus/faculties-and-schools/coventry-school-of-art-and-design/departments/media/" TargetMode="External"/><Relationship Id="rId1011" Type="http://schemas.openxmlformats.org/officeDocument/2006/relationships/hyperlink" Target="https://curve.coventry.ac.uk/open/access/home.do" TargetMode="External"/><Relationship Id="rId1012" Type="http://schemas.openxmlformats.org/officeDocument/2006/relationships/hyperlink" Target="http://roarmap.eprints.org/357/" TargetMode="External"/><Relationship Id="rId1013" Type="http://schemas.openxmlformats.org/officeDocument/2006/relationships/hyperlink" Target="http://www.dmu.ac.uk" TargetMode="External"/><Relationship Id="rId1014" Type="http://schemas.openxmlformats.org/officeDocument/2006/relationships/hyperlink" Target="http://www.dmu.ac.uk/documents/research-documents/research-support/doramandaterevisedmarch13.docx" TargetMode="External"/><Relationship Id="rId1015" Type="http://schemas.openxmlformats.org/officeDocument/2006/relationships/hyperlink" Target="https://www.dora.dmu.ac.uk/" TargetMode="External"/><Relationship Id="rId1016" Type="http://schemas.openxmlformats.org/officeDocument/2006/relationships/hyperlink" Target="http://roarmap.eprints.org/356/" TargetMode="External"/><Relationship Id="rId1017" Type="http://schemas.openxmlformats.org/officeDocument/2006/relationships/hyperlink" Target="https://www.gov.uk/government/organisations/department-of-health" TargetMode="External"/><Relationship Id="rId1018" Type="http://schemas.openxmlformats.org/officeDocument/2006/relationships/hyperlink" Target="http://europepmc.org/" TargetMode="External"/><Relationship Id="rId1019" Type="http://schemas.openxmlformats.org/officeDocument/2006/relationships/hyperlink" Target="http://roarmap.eprints.org/729/" TargetMode="External"/><Relationship Id="rId336" Type="http://schemas.openxmlformats.org/officeDocument/2006/relationships/hyperlink" Target="http://www.lapinamk.fi/en" TargetMode="External"/><Relationship Id="rId337" Type="http://schemas.openxmlformats.org/officeDocument/2006/relationships/hyperlink" Target="http://www.arene.fi/data/dokumentit/52bd599d-66f6-41a9-8cb7-6e151ec677d5_open%20access%20julkilausuma.pdf" TargetMode="External"/><Relationship Id="rId338" Type="http://schemas.openxmlformats.org/officeDocument/2006/relationships/hyperlink" Target="http://theseus.fi/" TargetMode="External"/><Relationship Id="rId339" Type="http://schemas.openxmlformats.org/officeDocument/2006/relationships/hyperlink" Target="http://roarmap.eprints.org/118/" TargetMode="External"/><Relationship Id="rId980" Type="http://schemas.openxmlformats.org/officeDocument/2006/relationships/hyperlink" Target="http://europepmc.org/" TargetMode="External"/><Relationship Id="rId981" Type="http://schemas.openxmlformats.org/officeDocument/2006/relationships/hyperlink" Target="http://roarmap.eprints.org/348/" TargetMode="External"/><Relationship Id="rId982" Type="http://schemas.openxmlformats.org/officeDocument/2006/relationships/hyperlink" Target="http://www.bhf.org.uk/" TargetMode="External"/><Relationship Id="rId983" Type="http://schemas.openxmlformats.org/officeDocument/2006/relationships/hyperlink" Target="http://www.bhf.org.uk/research/research-grants/managing-your-grant/open-access-policy.aspx" TargetMode="External"/><Relationship Id="rId984" Type="http://schemas.openxmlformats.org/officeDocument/2006/relationships/hyperlink" Target="http://europepmc.org/" TargetMode="External"/><Relationship Id="rId985" Type="http://schemas.openxmlformats.org/officeDocument/2006/relationships/hyperlink" Target="http://roarmap.eprints.org/349/" TargetMode="External"/><Relationship Id="rId986" Type="http://schemas.openxmlformats.org/officeDocument/2006/relationships/hyperlink" Target="http://www.brunel.ac.uk/" TargetMode="External"/><Relationship Id="rId987" Type="http://schemas.openxmlformats.org/officeDocument/2006/relationships/hyperlink" Target="http://www.brunel.ac.uk/__data/assets/pdf_file/0007/384235/research-integrity-code.pdf" TargetMode="External"/><Relationship Id="rId988" Type="http://schemas.openxmlformats.org/officeDocument/2006/relationships/hyperlink" Target="http://bura.brunel.ac.uk/" TargetMode="External"/><Relationship Id="rId989" Type="http://schemas.openxmlformats.org/officeDocument/2006/relationships/hyperlink" Target="http://roarmap.eprints.org/351/" TargetMode="External"/><Relationship Id="rId660" Type="http://schemas.openxmlformats.org/officeDocument/2006/relationships/hyperlink" Target="http://www.uhr.no/documents/fra_KD_om_OA.pdf" TargetMode="External"/><Relationship Id="rId661" Type="http://schemas.openxmlformats.org/officeDocument/2006/relationships/hyperlink" Target="http://utdanning.no/" TargetMode="External"/><Relationship Id="rId662" Type="http://schemas.openxmlformats.org/officeDocument/2006/relationships/hyperlink" Target="http://roarmap.eprints.org/252/" TargetMode="External"/><Relationship Id="rId663" Type="http://schemas.openxmlformats.org/officeDocument/2006/relationships/hyperlink" Target="http://en.uit.no/inenglish" TargetMode="External"/><Relationship Id="rId664" Type="http://schemas.openxmlformats.org/officeDocument/2006/relationships/hyperlink" Target="http://uit.no/Content/375533/OA%20policy%20UiT%20141010.pdf" TargetMode="External"/><Relationship Id="rId665" Type="http://schemas.openxmlformats.org/officeDocument/2006/relationships/hyperlink" Target="http://munin.uit.no/" TargetMode="External"/><Relationship Id="rId666" Type="http://schemas.openxmlformats.org/officeDocument/2006/relationships/hyperlink" Target="http://roarmap.eprints.org/710/" TargetMode="External"/><Relationship Id="rId667" Type="http://schemas.openxmlformats.org/officeDocument/2006/relationships/hyperlink" Target="http://genesandcells.com/" TargetMode="External"/><Relationship Id="rId668" Type="http://schemas.openxmlformats.org/officeDocument/2006/relationships/hyperlink" Target="http://genesandcells.com/" TargetMode="External"/><Relationship Id="rId669" Type="http://schemas.openxmlformats.org/officeDocument/2006/relationships/hyperlink" Target="http://genesandcells.com/index.php/gnc/oai" TargetMode="External"/><Relationship Id="rId1340" Type="http://schemas.openxmlformats.org/officeDocument/2006/relationships/hyperlink" Target="http://roarmap.eprints.org/478/" TargetMode="External"/><Relationship Id="rId1341" Type="http://schemas.openxmlformats.org/officeDocument/2006/relationships/hyperlink" Target="http://www.hks.harvard.edu/" TargetMode="External"/><Relationship Id="rId1342" Type="http://schemas.openxmlformats.org/officeDocument/2006/relationships/hyperlink" Target="https://osc.hul.harvard.edu/hksgpolicy" TargetMode="External"/><Relationship Id="rId1343" Type="http://schemas.openxmlformats.org/officeDocument/2006/relationships/hyperlink" Target="http://dash.harvard.edu/" TargetMode="External"/><Relationship Id="rId1344" Type="http://schemas.openxmlformats.org/officeDocument/2006/relationships/hyperlink" Target="http://roarmap.eprints.org/479/" TargetMode="External"/><Relationship Id="rId1345" Type="http://schemas.openxmlformats.org/officeDocument/2006/relationships/hyperlink" Target="http://hms.harvard.edu/" TargetMode="External"/><Relationship Id="rId1346" Type="http://schemas.openxmlformats.org/officeDocument/2006/relationships/hyperlink" Target="https://osc.hul.harvard.edu/hmspolicy" TargetMode="External"/><Relationship Id="rId1347" Type="http://schemas.openxmlformats.org/officeDocument/2006/relationships/hyperlink" Target="http://repository.countway.harvard.edu/" TargetMode="External"/><Relationship Id="rId1348" Type="http://schemas.openxmlformats.org/officeDocument/2006/relationships/hyperlink" Target="http://roarmap.eprints.org/652/" TargetMode="External"/><Relationship Id="rId1349" Type="http://schemas.openxmlformats.org/officeDocument/2006/relationships/hyperlink" Target="http://shorensteincenter.org/" TargetMode="External"/><Relationship Id="rId340" Type="http://schemas.openxmlformats.org/officeDocument/2006/relationships/hyperlink" Target="http://www.kyamk.fi/Frontpage" TargetMode="External"/><Relationship Id="rId341" Type="http://schemas.openxmlformats.org/officeDocument/2006/relationships/hyperlink" Target="http://www.arene.fi/data/dokumentit/52bd599d-66f6-41a9-8cb7-6e151ec677d5_open%20access%20julkilausuma.pdf" TargetMode="External"/><Relationship Id="rId342" Type="http://schemas.openxmlformats.org/officeDocument/2006/relationships/hyperlink" Target="http://theseus.fi/" TargetMode="External"/><Relationship Id="rId343" Type="http://schemas.openxmlformats.org/officeDocument/2006/relationships/hyperlink" Target="http://roarmap.eprints.org/119/" TargetMode="External"/><Relationship Id="rId344" Type="http://schemas.openxmlformats.org/officeDocument/2006/relationships/hyperlink" Target="http://www.lamk.fi/english/Sivut/default.aspx" TargetMode="External"/><Relationship Id="rId345" Type="http://schemas.openxmlformats.org/officeDocument/2006/relationships/hyperlink" Target="http://www.arene.fi/data/dokumentit/52bd599d-66f6-41a9-8cb7-6e151ec677d5_open%20access%20julkilausuma.pdf" TargetMode="External"/><Relationship Id="rId1020" Type="http://schemas.openxmlformats.org/officeDocument/2006/relationships/hyperlink" Target="http://www.diabetes.org.uk/" TargetMode="External"/><Relationship Id="rId1021" Type="http://schemas.openxmlformats.org/officeDocument/2006/relationships/hyperlink" Target="http://www.diabetes.org.uk/Research/For-researchers/Apply-for-a-grant/Grant-conditions/" TargetMode="External"/><Relationship Id="rId1022" Type="http://schemas.openxmlformats.org/officeDocument/2006/relationships/hyperlink" Target="http://roarmap.eprints.org/358/" TargetMode="External"/><Relationship Id="rId1023" Type="http://schemas.openxmlformats.org/officeDocument/2006/relationships/hyperlink" Target="https://www.dur.ac.uk/" TargetMode="External"/><Relationship Id="rId1024" Type="http://schemas.openxmlformats.org/officeDocument/2006/relationships/hyperlink" Target="http://dro.dur.ac.uk/du_oa_policy_summary.pdf" TargetMode="External"/><Relationship Id="rId1025" Type="http://schemas.openxmlformats.org/officeDocument/2006/relationships/hyperlink" Target="http://dro.dur.ac.uk/" TargetMode="External"/><Relationship Id="rId1026" Type="http://schemas.openxmlformats.org/officeDocument/2006/relationships/hyperlink" Target="http://roarmap.eprints.org/359/" TargetMode="External"/><Relationship Id="rId1027" Type="http://schemas.openxmlformats.org/officeDocument/2006/relationships/hyperlink" Target="http://www.esrc.ac.uk/" TargetMode="External"/><Relationship Id="rId1028" Type="http://schemas.openxmlformats.org/officeDocument/2006/relationships/hyperlink" Target="http://www.esrc.ac.uk/research/research-catalogue/index.aspx" TargetMode="External"/><Relationship Id="rId1029" Type="http://schemas.openxmlformats.org/officeDocument/2006/relationships/hyperlink" Target="http://roarmap.eprints.org/360/" TargetMode="External"/><Relationship Id="rId346" Type="http://schemas.openxmlformats.org/officeDocument/2006/relationships/hyperlink" Target="http://theseus.fi/" TargetMode="External"/><Relationship Id="rId347" Type="http://schemas.openxmlformats.org/officeDocument/2006/relationships/hyperlink" Target="http://roarmap.eprints.org/120/" TargetMode="External"/><Relationship Id="rId348" Type="http://schemas.openxmlformats.org/officeDocument/2006/relationships/hyperlink" Target="http://www.laurea.fi/en/pages/default.aspx" TargetMode="External"/><Relationship Id="rId349" Type="http://schemas.openxmlformats.org/officeDocument/2006/relationships/hyperlink" Target="http://www.arene.fi/data/dokumentit/52bd599d-66f6-41a9-8cb7-6e151ec677d5_open%20access%20julkilausuma.pdf" TargetMode="External"/><Relationship Id="rId990" Type="http://schemas.openxmlformats.org/officeDocument/2006/relationships/hyperlink" Target="http://www.cancerresearchuk.org/" TargetMode="External"/><Relationship Id="rId991" Type="http://schemas.openxmlformats.org/officeDocument/2006/relationships/hyperlink" Target="http://www.cancerresearchuk.org/funding-for-researchers/applying-for-funding/policies-that-affect-your-grant/policy-on-open-access-and-pubmed-central" TargetMode="External"/><Relationship Id="rId992" Type="http://schemas.openxmlformats.org/officeDocument/2006/relationships/hyperlink" Target="http://europepmc.org/" TargetMode="External"/><Relationship Id="rId993" Type="http://schemas.openxmlformats.org/officeDocument/2006/relationships/hyperlink" Target="http://roarmap.eprints.org/689/" TargetMode="External"/><Relationship Id="rId994" Type="http://schemas.openxmlformats.org/officeDocument/2006/relationships/hyperlink" Target="http://www.canterbury.ac.uk/" TargetMode="External"/><Relationship Id="rId995" Type="http://schemas.openxmlformats.org/officeDocument/2006/relationships/hyperlink" Target="http://www.canterbury.ac.uk/centres/red/open-access/open-access-policy-CCCU-Feb2015.pdf" TargetMode="External"/><Relationship Id="rId996" Type="http://schemas.openxmlformats.org/officeDocument/2006/relationships/hyperlink" Target="http://create.canterbury.ac.uk/" TargetMode="External"/><Relationship Id="rId997" Type="http://schemas.openxmlformats.org/officeDocument/2006/relationships/hyperlink" Target="http://roarmap.eprints.org/744/" TargetMode="External"/><Relationship Id="rId998" Type="http://schemas.openxmlformats.org/officeDocument/2006/relationships/hyperlink" Target="http://www.cardiff.ac.uk" TargetMode="External"/><Relationship Id="rId999" Type="http://schemas.openxmlformats.org/officeDocument/2006/relationships/hyperlink" Target="http://www.cardiff.ac.uk/insrv/forresearchers/openaccess/policy/index.html" TargetMode="External"/><Relationship Id="rId670" Type="http://schemas.openxmlformats.org/officeDocument/2006/relationships/hyperlink" Target="http://roarmap.eprints.org/734/" TargetMode="External"/><Relationship Id="rId671" Type="http://schemas.openxmlformats.org/officeDocument/2006/relationships/hyperlink" Target="http://www.upc.edu.pe" TargetMode="External"/><Relationship Id="rId672" Type="http://schemas.openxmlformats.org/officeDocument/2006/relationships/hyperlink" Target="http://repositorioacademico.upc.edu.pe/upc/PoliticaRAUPC.pdf" TargetMode="External"/><Relationship Id="rId673" Type="http://schemas.openxmlformats.org/officeDocument/2006/relationships/hyperlink" Target="http://repositorioacademico.upc.edu.pe" TargetMode="External"/><Relationship Id="rId674" Type="http://schemas.openxmlformats.org/officeDocument/2006/relationships/hyperlink" Target="http://roarmap.eprints.org/257/" TargetMode="External"/><Relationship Id="rId675" Type="http://schemas.openxmlformats.org/officeDocument/2006/relationships/hyperlink" Target="http://www.ibb.waw.pl" TargetMode="External"/><Relationship Id="rId676" Type="http://schemas.openxmlformats.org/officeDocument/2006/relationships/hyperlink" Target="http://roarmap.eprints.org/258/" TargetMode="External"/><Relationship Id="rId677" Type="http://schemas.openxmlformats.org/officeDocument/2006/relationships/hyperlink" Target="http://www.chlc.min-saude.pt/homepage.aspx?menuid=1" TargetMode="External"/><Relationship Id="rId678" Type="http://schemas.openxmlformats.org/officeDocument/2006/relationships/hyperlink" Target="http://repositorio.chlc.min-saude.pt/resources/politica_repositorio_chlc.pdf" TargetMode="External"/><Relationship Id="rId679" Type="http://schemas.openxmlformats.org/officeDocument/2006/relationships/hyperlink" Target="http://repositorio.chlc.min-saude.pt/" TargetMode="External"/><Relationship Id="rId1350" Type="http://schemas.openxmlformats.org/officeDocument/2006/relationships/hyperlink" Target="https://osc.hul.harvard.edu/shorensteinpolicy" TargetMode="External"/><Relationship Id="rId1351" Type="http://schemas.openxmlformats.org/officeDocument/2006/relationships/hyperlink" Target="https://osc.hul.harvard.edu/dash/" TargetMode="External"/><Relationship Id="rId1352" Type="http://schemas.openxmlformats.org/officeDocument/2006/relationships/hyperlink" Target="http://roarmap.eprints.org/756/" TargetMode="External"/><Relationship Id="rId1353" Type="http://schemas.openxmlformats.org/officeDocument/2006/relationships/hyperlink" Target="http://library.ipfw.edu/" TargetMode="External"/><Relationship Id="rId1354" Type="http://schemas.openxmlformats.org/officeDocument/2006/relationships/hyperlink" Target="http://opus.ipfw.edu/" TargetMode="External"/><Relationship Id="rId1355" Type="http://schemas.openxmlformats.org/officeDocument/2006/relationships/hyperlink" Target="http://roarmap.eprints.org/481/" TargetMode="External"/><Relationship Id="rId1356" Type="http://schemas.openxmlformats.org/officeDocument/2006/relationships/hyperlink" Target="http://www.ulib.iupui.edu/" TargetMode="External"/><Relationship Id="rId1357" Type="http://schemas.openxmlformats.org/officeDocument/2006/relationships/hyperlink" Target="http://www.ulib.iupui.edu/OAMandate" TargetMode="External"/><Relationship Id="rId1358" Type="http://schemas.openxmlformats.org/officeDocument/2006/relationships/hyperlink" Target="https://scholarworks.iupui.edu/" TargetMode="External"/><Relationship Id="rId1359" Type="http://schemas.openxmlformats.org/officeDocument/2006/relationships/hyperlink" Target="http://roarmap.eprints.org/482/" TargetMode="External"/><Relationship Id="rId350" Type="http://schemas.openxmlformats.org/officeDocument/2006/relationships/hyperlink" Target="http://theseus.fi/" TargetMode="External"/><Relationship Id="rId351" Type="http://schemas.openxmlformats.org/officeDocument/2006/relationships/hyperlink" Target="http://roarmap.eprints.org/121/" TargetMode="External"/><Relationship Id="rId352" Type="http://schemas.openxmlformats.org/officeDocument/2006/relationships/hyperlink" Target="http://www.mamk.fi/front_page" TargetMode="External"/><Relationship Id="rId353" Type="http://schemas.openxmlformats.org/officeDocument/2006/relationships/hyperlink" Target="http://www.arene.fi/data/dokumentit/52bd599d-66f6-41a9-8cb7-6e151ec677d5_open%20access%20julkilausuma.pdf" TargetMode="External"/><Relationship Id="rId354" Type="http://schemas.openxmlformats.org/officeDocument/2006/relationships/hyperlink" Target="http://theseus.fi/" TargetMode="External"/><Relationship Id="rId355" Type="http://schemas.openxmlformats.org/officeDocument/2006/relationships/hyperlink" Target="http://roarmap.eprints.org/122/" TargetMode="External"/><Relationship Id="rId1030" Type="http://schemas.openxmlformats.org/officeDocument/2006/relationships/hyperlink" Target="http://www.epsrc.ac.uk/Pages/default.aspx" TargetMode="External"/><Relationship Id="rId1031" Type="http://schemas.openxmlformats.org/officeDocument/2006/relationships/hyperlink" Target="http://roarmap.eprints.org/361/" TargetMode="External"/><Relationship Id="rId1032" Type="http://schemas.openxmlformats.org/officeDocument/2006/relationships/hyperlink" Target="http://www.falmouth.ac.uk/" TargetMode="External"/><Relationship Id="rId1033" Type="http://schemas.openxmlformats.org/officeDocument/2006/relationships/hyperlink" Target="http://www.falmouth.ac.uk/repository/policies" TargetMode="External"/><Relationship Id="rId1034" Type="http://schemas.openxmlformats.org/officeDocument/2006/relationships/hyperlink" Target="http://roarmap.eprints.org/362/" TargetMode="External"/><Relationship Id="rId1035" Type="http://schemas.openxmlformats.org/officeDocument/2006/relationships/hyperlink" Target="http://www.hefce.ac.uk/" TargetMode="External"/><Relationship Id="rId1036" Type="http://schemas.openxmlformats.org/officeDocument/2006/relationships/hyperlink" Target="https://www.hefce.ac.uk/pubs/year/2014/201407/name,86771,en.html" TargetMode="External"/><Relationship Id="rId1037" Type="http://schemas.openxmlformats.org/officeDocument/2006/relationships/hyperlink" Target="http://roarmap.eprints.org/363/" TargetMode="External"/><Relationship Id="rId1038" Type="http://schemas.openxmlformats.org/officeDocument/2006/relationships/hyperlink" Target="http://www3.imperial.ac.uk/" TargetMode="External"/><Relationship Id="rId1039" Type="http://schemas.openxmlformats.org/officeDocument/2006/relationships/hyperlink" Target="http://www3.imperial.ac.uk/library/subjectsandsupport/spiral/oamandate" TargetMode="External"/><Relationship Id="rId356" Type="http://schemas.openxmlformats.org/officeDocument/2006/relationships/hyperlink" Target="http://www.karelia.fi/en/" TargetMode="External"/><Relationship Id="rId357" Type="http://schemas.openxmlformats.org/officeDocument/2006/relationships/hyperlink" Target="http://www.arene.fi/data/dokumentit/52bd599d-66f6-41a9-8cb7-6e151ec677d5_open%20access%20julkilausuma.pdf" TargetMode="External"/><Relationship Id="rId358" Type="http://schemas.openxmlformats.org/officeDocument/2006/relationships/hyperlink" Target="http://theseus.fi/" TargetMode="External"/><Relationship Id="rId359" Type="http://schemas.openxmlformats.org/officeDocument/2006/relationships/hyperlink" Target="http://roarmap.eprints.org/123/" TargetMode="External"/><Relationship Id="rId800" Type="http://schemas.openxmlformats.org/officeDocument/2006/relationships/hyperlink" Target="http://gredos.usal.es" TargetMode="External"/><Relationship Id="rId801" Type="http://schemas.openxmlformats.org/officeDocument/2006/relationships/hyperlink" Target="http://roarmap.eprints.org/750/" TargetMode="External"/><Relationship Id="rId802" Type="http://schemas.openxmlformats.org/officeDocument/2006/relationships/hyperlink" Target="http://www.us.es/" TargetMode="External"/><Relationship Id="rId803" Type="http://schemas.openxmlformats.org/officeDocument/2006/relationships/hyperlink" Target="http://bous.us.es/2014/BOUS-04-2014/numero%204/10" TargetMode="External"/><Relationship Id="rId804" Type="http://schemas.openxmlformats.org/officeDocument/2006/relationships/hyperlink" Target="https://idus.us.es/xmlui/" TargetMode="External"/><Relationship Id="rId805" Type="http://schemas.openxmlformats.org/officeDocument/2006/relationships/hyperlink" Target="http://roarmap.eprints.org/310/" TargetMode="External"/><Relationship Id="rId806" Type="http://schemas.openxmlformats.org/officeDocument/2006/relationships/hyperlink" Target="http://www.uva.es" TargetMode="External"/><Relationship Id="rId807" Type="http://schemas.openxmlformats.org/officeDocument/2006/relationships/hyperlink" Target="http://bocyl.jcyl.es/boletines/2012/12/19/pdf/BOCYL-D-19122012-18.pdf" TargetMode="External"/><Relationship Id="rId808" Type="http://schemas.openxmlformats.org/officeDocument/2006/relationships/hyperlink" Target="http://uvadoc.uva.es" TargetMode="External"/><Relationship Id="rId809" Type="http://schemas.openxmlformats.org/officeDocument/2006/relationships/hyperlink" Target="http://roarmap.eprints.org/303/" TargetMode="External"/><Relationship Id="rId680" Type="http://schemas.openxmlformats.org/officeDocument/2006/relationships/hyperlink" Target="http://roarmap.eprints.org/260/" TargetMode="External"/><Relationship Id="rId681" Type="http://schemas.openxmlformats.org/officeDocument/2006/relationships/hyperlink" Target="http://www.fct.pt/" TargetMode="External"/><Relationship Id="rId682" Type="http://schemas.openxmlformats.org/officeDocument/2006/relationships/hyperlink" Target="http://roarmap.eprints.org/262/" TargetMode="External"/><Relationship Id="rId683" Type="http://schemas.openxmlformats.org/officeDocument/2006/relationships/hyperlink" Target="http://www.hff.min-saude.pt/" TargetMode="External"/><Relationship Id="rId684" Type="http://schemas.openxmlformats.org/officeDocument/2006/relationships/hyperlink" Target="http://www.chuc.min-saude.pt/media/Deliberacao_CA-CHUC_nordm_25-2013.pdf" TargetMode="External"/><Relationship Id="rId685" Type="http://schemas.openxmlformats.org/officeDocument/2006/relationships/hyperlink" Target="http://rihuc.huc.min-saude.pt/" TargetMode="External"/><Relationship Id="rId686" Type="http://schemas.openxmlformats.org/officeDocument/2006/relationships/hyperlink" Target="http://roarmap.eprints.org/261/" TargetMode="External"/><Relationship Id="rId687" Type="http://schemas.openxmlformats.org/officeDocument/2006/relationships/hyperlink" Target="http://www.hff.min-saude.pt/" TargetMode="External"/><Relationship Id="rId688" Type="http://schemas.openxmlformats.org/officeDocument/2006/relationships/hyperlink" Target="http://www.hff.min-saude.pt/media/content/DA_0281_T_CA_v01_-_Politica_de_Acesso_Aberto_do_Hospital_Prof_Dr_Fernando_Fonseca_EPE.pdf" TargetMode="External"/><Relationship Id="rId689" Type="http://schemas.openxmlformats.org/officeDocument/2006/relationships/hyperlink" Target="http://repositorio.hff.min-saude.pt/" TargetMode="External"/><Relationship Id="rId1360" Type="http://schemas.openxmlformats.org/officeDocument/2006/relationships/hyperlink" Target="http://ies.ed.gov/" TargetMode="External"/><Relationship Id="rId1361" Type="http://schemas.openxmlformats.org/officeDocument/2006/relationships/hyperlink" Target="http://ies.ed.gov/funding/researchaccess.asp" TargetMode="External"/><Relationship Id="rId1362" Type="http://schemas.openxmlformats.org/officeDocument/2006/relationships/hyperlink" Target="http://eric.ed.gov/" TargetMode="External"/><Relationship Id="rId1363" Type="http://schemas.openxmlformats.org/officeDocument/2006/relationships/hyperlink" Target="http://roarmap.eprints.org/486/" TargetMode="External"/><Relationship Id="rId1364" Type="http://schemas.openxmlformats.org/officeDocument/2006/relationships/hyperlink" Target="http://web.mit.edu/" TargetMode="External"/><Relationship Id="rId1365" Type="http://schemas.openxmlformats.org/officeDocument/2006/relationships/hyperlink" Target="http://libraries.mit.edu/scholarly/mit-open-access/open-access-at-mit/mit-open-access-policy/" TargetMode="External"/><Relationship Id="rId1366" Type="http://schemas.openxmlformats.org/officeDocument/2006/relationships/hyperlink" Target="http://dspace.mit.edu/" TargetMode="External"/><Relationship Id="rId1367" Type="http://schemas.openxmlformats.org/officeDocument/2006/relationships/hyperlink" Target="http://roarmap.eprints.org/487/" TargetMode="External"/><Relationship Id="rId1368" Type="http://schemas.openxmlformats.org/officeDocument/2006/relationships/hyperlink" Target="http://www.lib.miamioh.edu/" TargetMode="External"/><Relationship Id="rId1369" Type="http://schemas.openxmlformats.org/officeDocument/2006/relationships/hyperlink" Target="http://www.lib.miamioh.edu/policies/others/open_access_policy" TargetMode="External"/><Relationship Id="rId360" Type="http://schemas.openxmlformats.org/officeDocument/2006/relationships/hyperlink" Target="http://www.novia.fi/" TargetMode="External"/><Relationship Id="rId361" Type="http://schemas.openxmlformats.org/officeDocument/2006/relationships/hyperlink" Target="http://www.arene.fi/data/dokumentit/52bd599d-66f6-41a9-8cb7-6e151ec677d5_open%20access%20julkilausuma.pdf" TargetMode="External"/><Relationship Id="rId362" Type="http://schemas.openxmlformats.org/officeDocument/2006/relationships/hyperlink" Target="http://theseus.fi/" TargetMode="External"/><Relationship Id="rId363" Type="http://schemas.openxmlformats.org/officeDocument/2006/relationships/hyperlink" Target="http://roarmap.eprints.org/124/" TargetMode="External"/><Relationship Id="rId364" Type="http://schemas.openxmlformats.org/officeDocument/2006/relationships/hyperlink" Target="http://www.oamk.fi/english/" TargetMode="External"/><Relationship Id="rId365" Type="http://schemas.openxmlformats.org/officeDocument/2006/relationships/hyperlink" Target="http://www.arene.fi/data/dokumentit/52bd599d-66f6-41a9-8cb7-6e151ec677d5_open%20access%20julkilausuma.pdf" TargetMode="External"/><Relationship Id="rId1040" Type="http://schemas.openxmlformats.org/officeDocument/2006/relationships/hyperlink" Target="http://www3.imperial.ac.uk/library/subjectsandsupport/spiral" TargetMode="External"/><Relationship Id="rId1041" Type="http://schemas.openxmlformats.org/officeDocument/2006/relationships/hyperlink" Target="http://roarmap.eprints.org/690/" TargetMode="External"/><Relationship Id="rId1042" Type="http://schemas.openxmlformats.org/officeDocument/2006/relationships/hyperlink" Target="http://www.kcl.ac.uk/index.aspx" TargetMode="External"/><Relationship Id="rId1043" Type="http://schemas.openxmlformats.org/officeDocument/2006/relationships/hyperlink" Target="http://www.kcl.ac.uk/college/policyzone/assets/files/information_policies/Kings_Open_Access_Policy.pdf" TargetMode="External"/><Relationship Id="rId1044" Type="http://schemas.openxmlformats.org/officeDocument/2006/relationships/hyperlink" Target="https://kclpure.kcl.ac.uk/portal/en/" TargetMode="External"/><Relationship Id="rId1045" Type="http://schemas.openxmlformats.org/officeDocument/2006/relationships/hyperlink" Target="http://roarmap.eprints.org/365/" TargetMode="External"/><Relationship Id="rId1046" Type="http://schemas.openxmlformats.org/officeDocument/2006/relationships/hyperlink" Target="http://www.lancaster.ac.uk/" TargetMode="External"/><Relationship Id="rId1047" Type="http://schemas.openxmlformats.org/officeDocument/2006/relationships/hyperlink" Target="http://lancaster.libguides.com/loader.php?type=d&amp;id=702037" TargetMode="External"/><Relationship Id="rId1048" Type="http://schemas.openxmlformats.org/officeDocument/2006/relationships/hyperlink" Target="http://eprints.lancs.ac.uk/" TargetMode="External"/><Relationship Id="rId1049" Type="http://schemas.openxmlformats.org/officeDocument/2006/relationships/hyperlink" Target="http://roarmap.eprints.org/727/" TargetMode="External"/><Relationship Id="rId366" Type="http://schemas.openxmlformats.org/officeDocument/2006/relationships/hyperlink" Target="http://theseus.fi/" TargetMode="External"/><Relationship Id="rId367" Type="http://schemas.openxmlformats.org/officeDocument/2006/relationships/hyperlink" Target="http://roarmap.eprints.org/127/" TargetMode="External"/><Relationship Id="rId368" Type="http://schemas.openxmlformats.org/officeDocument/2006/relationships/hyperlink" Target="http://www.saimia.fi/en-FI/general-information" TargetMode="External"/><Relationship Id="rId369" Type="http://schemas.openxmlformats.org/officeDocument/2006/relationships/hyperlink" Target="http://www.arene.fi/data/dokumentit/52bd599d-66f6-41a9-8cb7-6e151ec677d5_open%20access%20julkilausuma.pdf" TargetMode="External"/><Relationship Id="rId810" Type="http://schemas.openxmlformats.org/officeDocument/2006/relationships/hyperlink" Target="http://www.uab.cat/" TargetMode="External"/><Relationship Id="rId811" Type="http://schemas.openxmlformats.org/officeDocument/2006/relationships/hyperlink" Target="http://ddd.uab.cat/record/89641" TargetMode="External"/><Relationship Id="rId812" Type="http://schemas.openxmlformats.org/officeDocument/2006/relationships/hyperlink" Target="http://ddd.uab.cat" TargetMode="External"/><Relationship Id="rId813" Type="http://schemas.openxmlformats.org/officeDocument/2006/relationships/hyperlink" Target="http://roarmap.eprints.org/304/" TargetMode="External"/><Relationship Id="rId814" Type="http://schemas.openxmlformats.org/officeDocument/2006/relationships/hyperlink" Target="http://www.uoc.edu/portal/en/index.html" TargetMode="External"/><Relationship Id="rId815" Type="http://schemas.openxmlformats.org/officeDocument/2006/relationships/hyperlink" Target="http://openaccess.uoc.edu/webapps/o2/bitstream/10609/4966/8/InstitucionalMandateUOC_eng.pdf" TargetMode="External"/><Relationship Id="rId816" Type="http://schemas.openxmlformats.org/officeDocument/2006/relationships/hyperlink" Target="http://openaccess.uoc.edu/webapps/o2/" TargetMode="External"/><Relationship Id="rId817" Type="http://schemas.openxmlformats.org/officeDocument/2006/relationships/hyperlink" Target="http://roarmap.eprints.org/308/" TargetMode="External"/><Relationship Id="rId818" Type="http://schemas.openxmlformats.org/officeDocument/2006/relationships/hyperlink" Target="http://www.upf.edu/" TargetMode="External"/><Relationship Id="rId819" Type="http://schemas.openxmlformats.org/officeDocument/2006/relationships/hyperlink" Target="http://roarmap.eprints.org/428/1/politica_AO_UPF.pdf" TargetMode="External"/><Relationship Id="rId690" Type="http://schemas.openxmlformats.org/officeDocument/2006/relationships/hyperlink" Target="http://roarmap.eprints.org/263/" TargetMode="External"/><Relationship Id="rId691" Type="http://schemas.openxmlformats.org/officeDocument/2006/relationships/hyperlink" Target="http://www.iscte-iul.pt/home.aspx" TargetMode="External"/><Relationship Id="rId692" Type="http://schemas.openxmlformats.org/officeDocument/2006/relationships/hyperlink" Target="https://repositorio.iscte-iul.pt/" TargetMode="External"/><Relationship Id="rId693" Type="http://schemas.openxmlformats.org/officeDocument/2006/relationships/hyperlink" Target="http://roarmap.eprints.org/265/" TargetMode="External"/><Relationship Id="rId694" Type="http://schemas.openxmlformats.org/officeDocument/2006/relationships/hyperlink" Target="http://www.ipcb.pt/" TargetMode="External"/><Relationship Id="rId695" Type="http://schemas.openxmlformats.org/officeDocument/2006/relationships/hyperlink" Target="http://roarmap.eprints.org/598/3/POLITICA_MANDATORIA_FINAL.pdf" TargetMode="External"/><Relationship Id="rId696" Type="http://schemas.openxmlformats.org/officeDocument/2006/relationships/hyperlink" Target="http://repositorio.ipcb.pt/?locale=en" TargetMode="External"/><Relationship Id="rId697" Type="http://schemas.openxmlformats.org/officeDocument/2006/relationships/hyperlink" Target="http://roarmap.eprints.org/264/" TargetMode="External"/><Relationship Id="rId698" Type="http://schemas.openxmlformats.org/officeDocument/2006/relationships/hyperlink" Target="http://portal3.ipb.pt/index.php/pt/ipb" TargetMode="External"/><Relationship Id="rId699" Type="http://schemas.openxmlformats.org/officeDocument/2006/relationships/hyperlink" Target="http://www.ipb.pt/go/e852" TargetMode="External"/><Relationship Id="rId1370" Type="http://schemas.openxmlformats.org/officeDocument/2006/relationships/hyperlink" Target="http://sc.lib.miamioh.edu/" TargetMode="External"/><Relationship Id="rId1371" Type="http://schemas.openxmlformats.org/officeDocument/2006/relationships/hyperlink" Target="http://roarmap.eprints.org/488/" TargetMode="External"/><Relationship Id="rId1372" Type="http://schemas.openxmlformats.org/officeDocument/2006/relationships/hyperlink" Target="http://research.microsoft.com/en-us/" TargetMode="External"/><Relationship Id="rId1373" Type="http://schemas.openxmlformats.org/officeDocument/2006/relationships/hyperlink" Target="http://research.microsoft.com/en-us/help/openaccess.aspx" TargetMode="External"/><Relationship Id="rId1374" Type="http://schemas.openxmlformats.org/officeDocument/2006/relationships/hyperlink" Target="http://roarmap.eprints.org/491/" TargetMode="External"/><Relationship Id="rId1375" Type="http://schemas.openxmlformats.org/officeDocument/2006/relationships/hyperlink" Target="http://publicaccess.nih.gov/policy.htm" TargetMode="External"/><Relationship Id="rId1376" Type="http://schemas.openxmlformats.org/officeDocument/2006/relationships/hyperlink" Target="http://publicaccess.nih.gov/" TargetMode="External"/><Relationship Id="rId1377" Type="http://schemas.openxmlformats.org/officeDocument/2006/relationships/hyperlink" Target="http://www.ncbi.nlm.nih.gov/pmc/" TargetMode="External"/><Relationship Id="rId1378" Type="http://schemas.openxmlformats.org/officeDocument/2006/relationships/hyperlink" Target="http://roarmap.eprints.org/492/" TargetMode="External"/><Relationship Id="rId1379" Type="http://schemas.openxmlformats.org/officeDocument/2006/relationships/hyperlink" Target="https://home.oberlin.edu/" TargetMode="External"/><Relationship Id="rId370" Type="http://schemas.openxmlformats.org/officeDocument/2006/relationships/hyperlink" Target="http://theseus.fi/" TargetMode="External"/><Relationship Id="rId371" Type="http://schemas.openxmlformats.org/officeDocument/2006/relationships/hyperlink" Target="http://roarmap.eprints.org/128/" TargetMode="External"/><Relationship Id="rId372" Type="http://schemas.openxmlformats.org/officeDocument/2006/relationships/hyperlink" Target="http://www.samk.fi/" TargetMode="External"/><Relationship Id="rId373" Type="http://schemas.openxmlformats.org/officeDocument/2006/relationships/hyperlink" Target="http://www.arene.fi/data/dokumentit/52bd599d-66f6-41a9-8cb7-6e151ec677d5_open%20access%20julkilausuma.pdf" TargetMode="External"/><Relationship Id="rId374" Type="http://schemas.openxmlformats.org/officeDocument/2006/relationships/hyperlink" Target="http://theseus.fi/" TargetMode="External"/><Relationship Id="rId375" Type="http://schemas.openxmlformats.org/officeDocument/2006/relationships/hyperlink" Target="http://roarmap.eprints.org/129/" TargetMode="External"/><Relationship Id="rId1050" Type="http://schemas.openxmlformats.org/officeDocument/2006/relationships/hyperlink" Target="https://leukaemialymphomaresearch.org.uk" TargetMode="External"/><Relationship Id="rId1051" Type="http://schemas.openxmlformats.org/officeDocument/2006/relationships/hyperlink" Target="https://leukaemialymphomaresearch.org.uk/node/58188" TargetMode="External"/><Relationship Id="rId1052" Type="http://schemas.openxmlformats.org/officeDocument/2006/relationships/hyperlink" Target="http://europepmc.org/" TargetMode="External"/><Relationship Id="rId1053" Type="http://schemas.openxmlformats.org/officeDocument/2006/relationships/hyperlink" Target="http://roarmap.eprints.org/366/" TargetMode="External"/><Relationship Id="rId1054" Type="http://schemas.openxmlformats.org/officeDocument/2006/relationships/hyperlink" Target="http://www.lboro.ac.uk/" TargetMode="External"/><Relationship Id="rId1055" Type="http://schemas.openxmlformats.org/officeDocument/2006/relationships/hyperlink" Target="http://www.lboro.ac.uk/media/wwwlboroacuk/content/library/downloads/researchsupport/Lboro-OA-Policy.pdf" TargetMode="External"/><Relationship Id="rId1056" Type="http://schemas.openxmlformats.org/officeDocument/2006/relationships/hyperlink" Target="https://dspace.lboro.ac.uk/dspace-jspui/" TargetMode="External"/><Relationship Id="rId1057" Type="http://schemas.openxmlformats.org/officeDocument/2006/relationships/hyperlink" Target="http://roarmap.eprints.org/692/" TargetMode="External"/><Relationship Id="rId1058" Type="http://schemas.openxmlformats.org/officeDocument/2006/relationships/hyperlink" Target="http://www2.mmu.ac.uk/" TargetMode="External"/><Relationship Id="rId1059" Type="http://schemas.openxmlformats.org/officeDocument/2006/relationships/hyperlink" Target="http://libguides.mmu.ac.uk/openaccess/policy" TargetMode="External"/><Relationship Id="rId376" Type="http://schemas.openxmlformats.org/officeDocument/2006/relationships/hyperlink" Target="http://portal.savonia.fi/amk/en/" TargetMode="External"/><Relationship Id="rId377" Type="http://schemas.openxmlformats.org/officeDocument/2006/relationships/hyperlink" Target="http://www.arene.fi/data/dokumentit/52bd599d-66f6-41a9-8cb7-6e151ec677d5_open%20access%20julkilausuma.pdf" TargetMode="External"/><Relationship Id="rId378" Type="http://schemas.openxmlformats.org/officeDocument/2006/relationships/hyperlink" Target="http://theseus.fi/" TargetMode="External"/><Relationship Id="rId379" Type="http://schemas.openxmlformats.org/officeDocument/2006/relationships/hyperlink" Target="http://roarmap.eprints.org/130/" TargetMode="External"/><Relationship Id="rId820" Type="http://schemas.openxmlformats.org/officeDocument/2006/relationships/hyperlink" Target="http://repositori.upf.edu/" TargetMode="External"/><Relationship Id="rId821" Type="http://schemas.openxmlformats.org/officeDocument/2006/relationships/hyperlink" Target="http://roarmap.eprints.org/312/" TargetMode="External"/><Relationship Id="rId822" Type="http://schemas.openxmlformats.org/officeDocument/2006/relationships/hyperlink" Target="http://www.bth.se/eng" TargetMode="External"/><Relationship Id="rId823" Type="http://schemas.openxmlformats.org/officeDocument/2006/relationships/hyperlink" Target="http://www.bth.se/fou/forskinfo.nsf/textpages/bth-oa-policy" TargetMode="External"/><Relationship Id="rId824" Type="http://schemas.openxmlformats.org/officeDocument/2006/relationships/hyperlink" Target="http://www.bth.se/fou" TargetMode="External"/><Relationship Id="rId825" Type="http://schemas.openxmlformats.org/officeDocument/2006/relationships/hyperlink" Target="http://roarmap.eprints.org/313/" TargetMode="External"/><Relationship Id="rId826" Type="http://schemas.openxmlformats.org/officeDocument/2006/relationships/hyperlink" Target="http://www.chalmers.se/en/Pages/default.aspx" TargetMode="External"/><Relationship Id="rId827" Type="http://schemas.openxmlformats.org/officeDocument/2006/relationships/hyperlink" Target="http://www.chalmers.se/en/about-chalmers/policies-and-rules/Pages/open-access-policy.aspx" TargetMode="External"/><Relationship Id="rId828" Type="http://schemas.openxmlformats.org/officeDocument/2006/relationships/hyperlink" Target="http://publications.lib.chalmers.se/" TargetMode="External"/><Relationship Id="rId829" Type="http://schemas.openxmlformats.org/officeDocument/2006/relationships/hyperlink" Target="http://roarmap.eprints.org/316/" TargetMode="External"/><Relationship Id="rId1500" Type="http://schemas.openxmlformats.org/officeDocument/2006/relationships/hyperlink" Target="http://zsr.wfu.edu/documents/ZSR_Librarians_Assembly_Open_Access_Policy.pdf" TargetMode="External"/><Relationship Id="rId1501" Type="http://schemas.openxmlformats.org/officeDocument/2006/relationships/hyperlink" Target="http://wakespace.lib.wfu.edu/handle/10339/14934" TargetMode="External"/><Relationship Id="rId1502" Type="http://schemas.openxmlformats.org/officeDocument/2006/relationships/hyperlink" Target="http://roarmap.eprints.org/561/" TargetMode="External"/><Relationship Id="rId1503" Type="http://schemas.openxmlformats.org/officeDocument/2006/relationships/hyperlink" Target="http://www.wellesley.edu/" TargetMode="External"/><Relationship Id="rId1504" Type="http://schemas.openxmlformats.org/officeDocument/2006/relationships/hyperlink" Target="http://www.wellesley.edu/sites/default/files/assets/departments/provost/files/openaccesspolicy2.13.13.pdf" TargetMode="External"/><Relationship Id="rId1505" Type="http://schemas.openxmlformats.org/officeDocument/2006/relationships/hyperlink" Target="http://repository.wellesley.edu/" TargetMode="External"/><Relationship Id="rId1506" Type="http://schemas.openxmlformats.org/officeDocument/2006/relationships/hyperlink" Target="http://roarmap.eprints.org/562/" TargetMode="External"/><Relationship Id="rId1507" Type="http://schemas.openxmlformats.org/officeDocument/2006/relationships/hyperlink" Target="http://www.wvu.edu/" TargetMode="External"/><Relationship Id="rId1508" Type="http://schemas.openxmlformats.org/officeDocument/2006/relationships/hyperlink" Target="http://www.wvu.edu/~thesis/News/ETDpolicysummary.pdf" TargetMode="External"/><Relationship Id="rId1509" Type="http://schemas.openxmlformats.org/officeDocument/2006/relationships/hyperlink" Target="http://wvuscholar.wvu.edu:8881/R?RN=17903662" TargetMode="External"/><Relationship Id="rId500" Type="http://schemas.openxmlformats.org/officeDocument/2006/relationships/hyperlink" Target="http://elib.ubaya.ac.id/index.php/repository" TargetMode="External"/><Relationship Id="rId501" Type="http://schemas.openxmlformats.org/officeDocument/2006/relationships/hyperlink" Target="http://repository.ubaya.ac.id/" TargetMode="External"/><Relationship Id="rId502" Type="http://schemas.openxmlformats.org/officeDocument/2006/relationships/hyperlink" Target="http://roarmap.eprints.org/183/" TargetMode="External"/><Relationship Id="rId503" Type="http://schemas.openxmlformats.org/officeDocument/2006/relationships/hyperlink" Target="http://www.tcd.ie/" TargetMode="External"/><Relationship Id="rId504" Type="http://schemas.openxmlformats.org/officeDocument/2006/relationships/hyperlink" Target="http://arrow.dit.ie/National_Principles_on_Open_Access_Policy_Statement.pdf" TargetMode="External"/><Relationship Id="rId505" Type="http://schemas.openxmlformats.org/officeDocument/2006/relationships/hyperlink" Target="http://www.tara.tcd.ie/" TargetMode="External"/><Relationship Id="rId506" Type="http://schemas.openxmlformats.org/officeDocument/2006/relationships/hyperlink" Target="http://roarmap.eprints.org/184/" TargetMode="External"/><Relationship Id="rId507" Type="http://schemas.openxmlformats.org/officeDocument/2006/relationships/hyperlink" Target="http://www.dit.ie" TargetMode="External"/><Relationship Id="rId508" Type="http://schemas.openxmlformats.org/officeDocument/2006/relationships/hyperlink" Target="http://arrow.dit.ie/mandate.html" TargetMode="External"/><Relationship Id="rId509" Type="http://schemas.openxmlformats.org/officeDocument/2006/relationships/hyperlink" Target="http://arrow.dit.ie/" TargetMode="External"/><Relationship Id="rId1380" Type="http://schemas.openxmlformats.org/officeDocument/2006/relationships/hyperlink" Target="http://oberlin.edu/library/programs/openaccess/resolution.html" TargetMode="External"/><Relationship Id="rId1381" Type="http://schemas.openxmlformats.org/officeDocument/2006/relationships/hyperlink" Target="http://ohio5.openrepository.com/ohio5/handle/11282/293015" TargetMode="External"/><Relationship Id="rId1382" Type="http://schemas.openxmlformats.org/officeDocument/2006/relationships/hyperlink" Target="http://roarmap.eprints.org/493/" TargetMode="External"/><Relationship Id="rId1383" Type="http://schemas.openxmlformats.org/officeDocument/2006/relationships/hyperlink" Target="http://oregonstate.edu/" TargetMode="External"/><Relationship Id="rId1384" Type="http://schemas.openxmlformats.org/officeDocument/2006/relationships/hyperlink" Target="http://cdss.library.oregonstate.edu/sites/default/files/osu_openacesspolicy_final_single_page.pdf" TargetMode="External"/><Relationship Id="rId1385" Type="http://schemas.openxmlformats.org/officeDocument/2006/relationships/hyperlink" Target="http://ir.library.oregonstate.edu" TargetMode="External"/><Relationship Id="rId1386" Type="http://schemas.openxmlformats.org/officeDocument/2006/relationships/hyperlink" Target="http://roarmap.eprints.org/497/" TargetMode="External"/><Relationship Id="rId1387" Type="http://schemas.openxmlformats.org/officeDocument/2006/relationships/hyperlink" Target="http://www.rice.edu/" TargetMode="External"/><Relationship Id="rId1388" Type="http://schemas.openxmlformats.org/officeDocument/2006/relationships/hyperlink" Target="http://openaccess.rice.edu/rice-faculty-senate-policy/" TargetMode="External"/><Relationship Id="rId1389" Type="http://schemas.openxmlformats.org/officeDocument/2006/relationships/hyperlink" Target="http://scholarship.rice.edu/" TargetMode="External"/><Relationship Id="rId380" Type="http://schemas.openxmlformats.org/officeDocument/2006/relationships/hyperlink" Target="http://www.seamk.fi/en" TargetMode="External"/><Relationship Id="rId381" Type="http://schemas.openxmlformats.org/officeDocument/2006/relationships/hyperlink" Target="http://www.arene.fi/data/dokumentit/52bd599d-66f6-41a9-8cb7-6e151ec677d5_open%20access%20julkilausuma.pdf" TargetMode="External"/><Relationship Id="rId382" Type="http://schemas.openxmlformats.org/officeDocument/2006/relationships/hyperlink" Target="http://www.theseus.fi/" TargetMode="External"/><Relationship Id="rId383" Type="http://schemas.openxmlformats.org/officeDocument/2006/relationships/hyperlink" Target="http://roarmap.eprints.org/131/" TargetMode="External"/><Relationship Id="rId384" Type="http://schemas.openxmlformats.org/officeDocument/2006/relationships/hyperlink" Target="http://www.tamk.fi/cms/tamken.nsf" TargetMode="External"/><Relationship Id="rId385" Type="http://schemas.openxmlformats.org/officeDocument/2006/relationships/hyperlink" Target="http://www.arene.fi/data/dokumentit/52bd599d-66f6-41a9-8cb7-6e151ec677d5_open%20access%20julkilausuma.pdf" TargetMode="External"/><Relationship Id="rId1060" Type="http://schemas.openxmlformats.org/officeDocument/2006/relationships/hyperlink" Target="http://www.e-space.mmu.ac.uk/e-space/" TargetMode="External"/><Relationship Id="rId1061" Type="http://schemas.openxmlformats.org/officeDocument/2006/relationships/hyperlink" Target="http://roarmap.eprints.org/367/" TargetMode="External"/><Relationship Id="rId1062" Type="http://schemas.openxmlformats.org/officeDocument/2006/relationships/hyperlink" Target="http://www.mariecurie.org.uk/" TargetMode="External"/><Relationship Id="rId1063" Type="http://schemas.openxmlformats.org/officeDocument/2006/relationships/hyperlink" Target="http://www.mariecurie.org.uk/Global/Research/Open-Access-policy-March_2014.pdf" TargetMode="External"/><Relationship Id="rId1064" Type="http://schemas.openxmlformats.org/officeDocument/2006/relationships/hyperlink" Target="http://roarmap.eprints.org/368/" TargetMode="External"/><Relationship Id="rId1065" Type="http://schemas.openxmlformats.org/officeDocument/2006/relationships/hyperlink" Target="http://www.mrc.ac.uk/index.htm" TargetMode="External"/><Relationship Id="rId386" Type="http://schemas.openxmlformats.org/officeDocument/2006/relationships/hyperlink" Target="http://theseus.fi/" TargetMode="External"/><Relationship Id="rId387" Type="http://schemas.openxmlformats.org/officeDocument/2006/relationships/hyperlink" Target="http://roarmap.eprints.org/133/" TargetMode="External"/><Relationship Id="rId388" Type="http://schemas.openxmlformats.org/officeDocument/2006/relationships/hyperlink" Target="http://www.helsinki.fi/university/index.html" TargetMode="External"/><Relationship Id="rId389" Type="http://schemas.openxmlformats.org/officeDocument/2006/relationships/hyperlink" Target="http://www.helsinki.fi/openaccess/open%20access/english/decision260508_eng.pdf" TargetMode="External"/><Relationship Id="rId1066" Type="http://schemas.openxmlformats.org/officeDocument/2006/relationships/hyperlink" Target="http://www.rcuk.ac.uk/RCUK-prod/assets/documents/documents/RCUKOpenAccessPolicy.pdf" TargetMode="External"/><Relationship Id="rId1067" Type="http://schemas.openxmlformats.org/officeDocument/2006/relationships/hyperlink" Target="http://europepmc.org/" TargetMode="External"/><Relationship Id="rId1068" Type="http://schemas.openxmlformats.org/officeDocument/2006/relationships/hyperlink" Target="http://roarmap.eprints.org/369/" TargetMode="External"/><Relationship Id="rId1069" Type="http://schemas.openxmlformats.org/officeDocument/2006/relationships/hyperlink" Target="http://www.mdx.ac.uk/" TargetMode="External"/><Relationship Id="rId830" Type="http://schemas.openxmlformats.org/officeDocument/2006/relationships/hyperlink" Target="http://www.mah.se/english" TargetMode="External"/><Relationship Id="rId831" Type="http://schemas.openxmlformats.org/officeDocument/2006/relationships/hyperlink" Target="http://www.mah.se/bit/press/openaccess_eng" TargetMode="External"/><Relationship Id="rId832" Type="http://schemas.openxmlformats.org/officeDocument/2006/relationships/hyperlink" Target="http://dspace.mah.se/" TargetMode="External"/><Relationship Id="rId833" Type="http://schemas.openxmlformats.org/officeDocument/2006/relationships/hyperlink" Target="http://roarmap.eprints.org/317/" TargetMode="External"/><Relationship Id="rId834" Type="http://schemas.openxmlformats.org/officeDocument/2006/relationships/hyperlink" Target="http://www.su.se/" TargetMode="External"/><Relationship Id="rId835" Type="http://schemas.openxmlformats.org/officeDocument/2006/relationships/hyperlink" Target="http://www.sub.su.se/home/publish/open-access.aspx" TargetMode="External"/><Relationship Id="rId836" Type="http://schemas.openxmlformats.org/officeDocument/2006/relationships/hyperlink" Target="http://su.diva-portal.org/smash/search.jsf" TargetMode="External"/><Relationship Id="rId837" Type="http://schemas.openxmlformats.org/officeDocument/2006/relationships/hyperlink" Target="http://roarmap.eprints.org/318/" TargetMode="External"/><Relationship Id="rId838" Type="http://schemas.openxmlformats.org/officeDocument/2006/relationships/hyperlink" Target="http://www.kb.se/hjalp/english/" TargetMode="External"/><Relationship Id="rId839" Type="http://schemas.openxmlformats.org/officeDocument/2006/relationships/hyperlink" Target="http://www.kb.se/OpenAccess_english/OA-News/Open-Access-policy-for-the-National-Library-of-Sweden/" TargetMode="External"/><Relationship Id="rId1510" Type="http://schemas.openxmlformats.org/officeDocument/2006/relationships/hyperlink" Target="http://roarmap.eprints.org/720/" TargetMode="External"/><Relationship Id="rId1511" Type="http://schemas.openxmlformats.org/officeDocument/2006/relationships/hyperlink" Target="https://wikimediafoundation.org" TargetMode="External"/><Relationship Id="rId1512" Type="http://schemas.openxmlformats.org/officeDocument/2006/relationships/hyperlink" Target="https://wikimediafoundation.org/wiki/Open_access_policy" TargetMode="External"/><Relationship Id="rId1513" Type="http://schemas.openxmlformats.org/officeDocument/2006/relationships/hyperlink" Target="http://roarmap.eprints.org/631/" TargetMode="External"/><Relationship Id="rId1514" Type="http://schemas.openxmlformats.org/officeDocument/2006/relationships/hyperlink" Target="http://www.ula.ve/" TargetMode="External"/><Relationship Id="rId1515" Type="http://schemas.openxmlformats.org/officeDocument/2006/relationships/hyperlink" Target="http://www.cca.ula.ve/documentos/ResolucionCU0580del030308.pdf" TargetMode="External"/><Relationship Id="rId1516" Type="http://schemas.openxmlformats.org/officeDocument/2006/relationships/hyperlink" Target="http://www.saber.ula.ve/" TargetMode="External"/><Relationship Id="rId1517" Type="http://schemas.openxmlformats.org/officeDocument/2006/relationships/hyperlink" Target="http://roarmap.eprints.org/705/" TargetMode="External"/><Relationship Id="rId1518" Type="http://schemas.openxmlformats.org/officeDocument/2006/relationships/hyperlink" Target="http://www.luz.edu.ve/" TargetMode="External"/><Relationship Id="rId1519" Type="http://schemas.openxmlformats.org/officeDocument/2006/relationships/hyperlink" Target="http://www.serbi.luz.edu.ve/index.php/politica-de-acceso-abierto" TargetMode="External"/><Relationship Id="rId510" Type="http://schemas.openxmlformats.org/officeDocument/2006/relationships/hyperlink" Target="http://roarmap.eprints.org/185/" TargetMode="External"/><Relationship Id="rId511" Type="http://schemas.openxmlformats.org/officeDocument/2006/relationships/hyperlink" Target="http://www.hrb.ie/research-strategy-funding/policies-and-guidelines/policies/open-access/" TargetMode="External"/><Relationship Id="rId512" Type="http://schemas.openxmlformats.org/officeDocument/2006/relationships/hyperlink" Target="http://www.hrb.ie/uploads/media/HRB_Policy_on_Open_Access__1_May_2014__01.pdf" TargetMode="External"/><Relationship Id="rId513" Type="http://schemas.openxmlformats.org/officeDocument/2006/relationships/hyperlink" Target="http://roarmap.eprints.org/186/" TargetMode="External"/><Relationship Id="rId514" Type="http://schemas.openxmlformats.org/officeDocument/2006/relationships/hyperlink" Target="http://www.hea.ie/" TargetMode="External"/><Relationship Id="rId515" Type="http://schemas.openxmlformats.org/officeDocument/2006/relationships/hyperlink" Target="http://www.hea.ie/sites/default/files/national_principles_on_open_access_policy_statement_final_23_oct_2012_v1_3_0.pdf" TargetMode="External"/><Relationship Id="rId516" Type="http://schemas.openxmlformats.org/officeDocument/2006/relationships/hyperlink" Target="http://roarmap.eprints.org/187/" TargetMode="External"/><Relationship Id="rId517" Type="http://schemas.openxmlformats.org/officeDocument/2006/relationships/hyperlink" Target="http://research.ie/" TargetMode="External"/><Relationship Id="rId518" Type="http://schemas.openxmlformats.org/officeDocument/2006/relationships/hyperlink" Target="http://research.ie/sites/default/files/irc_open_access_policy_final.doc" TargetMode="External"/><Relationship Id="rId519" Type="http://schemas.openxmlformats.org/officeDocument/2006/relationships/hyperlink" Target="http://rian.ie/" TargetMode="External"/><Relationship Id="rId1390" Type="http://schemas.openxmlformats.org/officeDocument/2006/relationships/hyperlink" Target="http://roarmap.eprints.org/498/" TargetMode="External"/><Relationship Id="rId1391" Type="http://schemas.openxmlformats.org/officeDocument/2006/relationships/hyperlink" Target="http://www.rollins.edu/" TargetMode="External"/><Relationship Id="rId1392" Type="http://schemas.openxmlformats.org/officeDocument/2006/relationships/hyperlink" Target="http://scholarship.rollins.edu/open_access_policy.pdf" TargetMode="External"/><Relationship Id="rId1393" Type="http://schemas.openxmlformats.org/officeDocument/2006/relationships/hyperlink" Target="http://scholarship.rollins.edu" TargetMode="External"/><Relationship Id="rId1394" Type="http://schemas.openxmlformats.org/officeDocument/2006/relationships/hyperlink" Target="http://roarmap.eprints.org/499/" TargetMode="External"/><Relationship Id="rId1395" Type="http://schemas.openxmlformats.org/officeDocument/2006/relationships/hyperlink" Target="https://www.rutgers.edu/" TargetMode="External"/><Relationship Id="rId1396" Type="http://schemas.openxmlformats.org/officeDocument/2006/relationships/hyperlink" Target="http://policies.rutgers.edu/50317-currentpdf" TargetMode="External"/><Relationship Id="rId1397" Type="http://schemas.openxmlformats.org/officeDocument/2006/relationships/hyperlink" Target="https://rucore.libraries.rutgers.edu/" TargetMode="External"/><Relationship Id="rId1398" Type="http://schemas.openxmlformats.org/officeDocument/2006/relationships/hyperlink" Target="http://roarmap.eprints.org/502/" TargetMode="External"/><Relationship Id="rId1399" Type="http://schemas.openxmlformats.org/officeDocument/2006/relationships/hyperlink" Target="https://ed.stanford.edu/" TargetMode="External"/><Relationship Id="rId390" Type="http://schemas.openxmlformats.org/officeDocument/2006/relationships/hyperlink" Target="https://helda.helsinki.fi/" TargetMode="External"/><Relationship Id="rId391" Type="http://schemas.openxmlformats.org/officeDocument/2006/relationships/hyperlink" Target="http://roarmap.eprints.org/135/" TargetMode="External"/><Relationship Id="rId392" Type="http://schemas.openxmlformats.org/officeDocument/2006/relationships/hyperlink" Target="http://www.puv.fi/en/" TargetMode="External"/><Relationship Id="rId393" Type="http://schemas.openxmlformats.org/officeDocument/2006/relationships/hyperlink" Target="http://www.arene.fi/data/dokumentit/52bd599d-66f6-41a9-8cb7-6e151ec677d5_open%20access%20julkilausuma.pdf" TargetMode="External"/><Relationship Id="rId394" Type="http://schemas.openxmlformats.org/officeDocument/2006/relationships/hyperlink" Target="http://theseus.fi/" TargetMode="External"/><Relationship Id="rId395" Type="http://schemas.openxmlformats.org/officeDocument/2006/relationships/hyperlink" Target="http://roarmap.eprints.org/137/" TargetMode="External"/><Relationship Id="rId396" Type="http://schemas.openxmlformats.org/officeDocument/2006/relationships/hyperlink" Target="http://www.agence-nationale-recherche.fr/suivi-bilan/sciences-humaines-et-sociales/" TargetMode="External"/><Relationship Id="rId397" Type="http://schemas.openxmlformats.org/officeDocument/2006/relationships/hyperlink" Target="http://halshs.archives-ouvertes.fr/" TargetMode="External"/><Relationship Id="rId398" Type="http://schemas.openxmlformats.org/officeDocument/2006/relationships/hyperlink" Target="http://roarmap.eprints.org/741/" TargetMode="External"/><Relationship Id="rId399" Type="http://schemas.openxmlformats.org/officeDocument/2006/relationships/hyperlink" Target="http://www.ensam.eu/" TargetMode="External"/><Relationship Id="rId1070" Type="http://schemas.openxmlformats.org/officeDocument/2006/relationships/hyperlink" Target="http://eprints.mdx.ac.uk/policies.html" TargetMode="External"/><Relationship Id="rId1071" Type="http://schemas.openxmlformats.org/officeDocument/2006/relationships/hyperlink" Target="http://eprints.mdx.ac.uk/" TargetMode="External"/><Relationship Id="rId1072" Type="http://schemas.openxmlformats.org/officeDocument/2006/relationships/hyperlink" Target="http://roarmap.eprints.org/725/" TargetMode="External"/><Relationship Id="rId1073" Type="http://schemas.openxmlformats.org/officeDocument/2006/relationships/hyperlink" Target="http://www.mndassociation.org/" TargetMode="External"/><Relationship Id="rId1074" Type="http://schemas.openxmlformats.org/officeDocument/2006/relationships/hyperlink" Target="http://www.mndassociation.org/Resources/MNDA/Research/MND-Association-Grantee-Guide-to-Open-Access---30Oct12-v1.pdf" TargetMode="External"/><Relationship Id="rId1075" Type="http://schemas.openxmlformats.org/officeDocument/2006/relationships/hyperlink" Target="http://europepmc.org/" TargetMode="External"/><Relationship Id="rId1076" Type="http://schemas.openxmlformats.org/officeDocument/2006/relationships/hyperlink" Target="http://roarmap.eprints.org/370/" TargetMode="External"/><Relationship Id="rId1077" Type="http://schemas.openxmlformats.org/officeDocument/2006/relationships/hyperlink" Target="http://www.mssociety.org.uk/" TargetMode="External"/><Relationship Id="rId1078" Type="http://schemas.openxmlformats.org/officeDocument/2006/relationships/hyperlink" Target="http://www.mssociety.org.uk/sites/default/files/MS%20Society%20Policy%20for%20Publishing%20Research.pdf" TargetMode="External"/><Relationship Id="rId1079" Type="http://schemas.openxmlformats.org/officeDocument/2006/relationships/hyperlink" Target="http://europepmc.org/" TargetMode="External"/><Relationship Id="rId840" Type="http://schemas.openxmlformats.org/officeDocument/2006/relationships/hyperlink" Target="http://www.kb.se/" TargetMode="External"/><Relationship Id="rId841" Type="http://schemas.openxmlformats.org/officeDocument/2006/relationships/hyperlink" Target="http://roarmap.eprints.org/319/" TargetMode="External"/><Relationship Id="rId842" Type="http://schemas.openxmlformats.org/officeDocument/2006/relationships/hyperlink" Target="http://www.formas.se/en/" TargetMode="External"/><Relationship Id="rId843" Type="http://schemas.openxmlformats.org/officeDocument/2006/relationships/hyperlink" Target="http://www.formas.se/Global/Handbook%20english/140306_Formas_Handbook_2014.pdf" TargetMode="External"/><Relationship Id="rId844" Type="http://schemas.openxmlformats.org/officeDocument/2006/relationships/hyperlink" Target="http://www.formas.se/en/" TargetMode="External"/><Relationship Id="rId845" Type="http://schemas.openxmlformats.org/officeDocument/2006/relationships/hyperlink" Target="http://roarmap.eprints.org/320/" TargetMode="External"/><Relationship Id="rId846" Type="http://schemas.openxmlformats.org/officeDocument/2006/relationships/hyperlink" Target="http://www.vr.se/" TargetMode="External"/><Relationship Id="rId847" Type="http://schemas.openxmlformats.org/officeDocument/2006/relationships/hyperlink" Target="http://bit.ly/cbc8r6" TargetMode="External"/><Relationship Id="rId848" Type="http://schemas.openxmlformats.org/officeDocument/2006/relationships/hyperlink" Target="http://roarmap.eprints.org/321/" TargetMode="External"/><Relationship Id="rId849" Type="http://schemas.openxmlformats.org/officeDocument/2006/relationships/hyperlink" Target="http://www.umu.se/" TargetMode="External"/><Relationship Id="rId1520" Type="http://schemas.openxmlformats.org/officeDocument/2006/relationships/hyperlink" Target="http://repositorio.luz.edu.ve/" TargetMode="External"/><Relationship Id="rId1521" Type="http://schemas.openxmlformats.org/officeDocument/2006/relationships/hyperlink" Target="http://roarmap.eprints.org/47/" TargetMode="External"/><Relationship Id="rId1522" Type="http://schemas.openxmlformats.org/officeDocument/2006/relationships/hyperlink" Target="http://www.nchu.edu.tw/en-index.php" TargetMode="External"/><Relationship Id="rId1523" Type="http://schemas.openxmlformats.org/officeDocument/2006/relationships/hyperlink" Target="http://nchuir.lib.nchu.edu.tw/?locale=en-US" TargetMode="External"/><Relationship Id="rId1524" Type="http://schemas.openxmlformats.org/officeDocument/2006/relationships/hyperlink" Target="http://roarmap.eprints.org/241/" TargetMode="External"/><Relationship Id="rId1525" Type="http://schemas.openxmlformats.org/officeDocument/2006/relationships/hyperlink" Target="http://www.nwo.nl/" TargetMode="External"/><Relationship Id="rId1526" Type="http://schemas.openxmlformats.org/officeDocument/2006/relationships/hyperlink" Target="http://www.nwo.nl/en/news-and-events/dossiers/open+access" TargetMode="External"/><Relationship Id="rId520" Type="http://schemas.openxmlformats.org/officeDocument/2006/relationships/hyperlink" Target="http://roarmap.eprints.org/189/" TargetMode="External"/><Relationship Id="rId521" Type="http://schemas.openxmlformats.org/officeDocument/2006/relationships/hyperlink" Target="http://www.sfi.ie/" TargetMode="External"/><Relationship Id="rId522" Type="http://schemas.openxmlformats.org/officeDocument/2006/relationships/hyperlink" Target="http://www.sfi.ie/assets/files/downloads/Funding/grant_policies/open%20access%20dec%2010.pdf" TargetMode="External"/><Relationship Id="rId523" Type="http://schemas.openxmlformats.org/officeDocument/2006/relationships/hyperlink" Target="http://roarmap.eprints.org/193/" TargetMode="External"/><Relationship Id="rId524" Type="http://schemas.openxmlformats.org/officeDocument/2006/relationships/hyperlink" Target="http://www.iss.it/" TargetMode="External"/><Relationship Id="rId525" Type="http://schemas.openxmlformats.org/officeDocument/2006/relationships/hyperlink" Target="http://dspace.iss.it/dspace/bitstream/2198/352/1/Policy_ISS_IT.pdf" TargetMode="External"/><Relationship Id="rId526" Type="http://schemas.openxmlformats.org/officeDocument/2006/relationships/hyperlink" Target="http://dspace.iss.it/dspace/" TargetMode="External"/><Relationship Id="rId527" Type="http://schemas.openxmlformats.org/officeDocument/2006/relationships/hyperlink" Target="http://roarmap.eprints.org/194/" TargetMode="External"/><Relationship Id="rId528" Type="http://schemas.openxmlformats.org/officeDocument/2006/relationships/hyperlink" Target="http://attiministeriali.miur.it/" TargetMode="External"/><Relationship Id="rId529" Type="http://schemas.openxmlformats.org/officeDocument/2006/relationships/hyperlink" Target="http://roarmap.eprints.org/1000/1/dd-23012014.aspx" TargetMode="External"/><Relationship Id="rId1200" Type="http://schemas.openxmlformats.org/officeDocument/2006/relationships/hyperlink" Target="http://roarmap.eprints.org/403/" TargetMode="External"/><Relationship Id="rId1201" Type="http://schemas.openxmlformats.org/officeDocument/2006/relationships/hyperlink" Target="http://www.reading.ac.uk/" TargetMode="External"/><Relationship Id="rId1202" Type="http://schemas.openxmlformats.org/officeDocument/2006/relationships/hyperlink" Target="http://www.reading.ac.uk/web/FILES/library/uoropenaccesspolicy.pdf" TargetMode="External"/><Relationship Id="rId1203" Type="http://schemas.openxmlformats.org/officeDocument/2006/relationships/hyperlink" Target="http://centaur.reading.ac.uk/" TargetMode="External"/><Relationship Id="rId1204" Type="http://schemas.openxmlformats.org/officeDocument/2006/relationships/hyperlink" Target="http://roarmap.eprints.org/404/" TargetMode="External"/><Relationship Id="rId1205" Type="http://schemas.openxmlformats.org/officeDocument/2006/relationships/hyperlink" Target="http://www.salford.ac.uk/" TargetMode="External"/><Relationship Id="rId1206" Type="http://schemas.openxmlformats.org/officeDocument/2006/relationships/hyperlink" Target="http://www.salford.ac.uk/__data/assets/pdf_file/0010/508492/Senate_and_committee_report_template_2014-15_open-access-policy.pdf" TargetMode="External"/><Relationship Id="rId1207" Type="http://schemas.openxmlformats.org/officeDocument/2006/relationships/hyperlink" Target="http://usir.salford.ac.uk/" TargetMode="External"/><Relationship Id="rId1208" Type="http://schemas.openxmlformats.org/officeDocument/2006/relationships/hyperlink" Target="http://roarmap.eprints.org/405/" TargetMode="External"/><Relationship Id="rId1209" Type="http://schemas.openxmlformats.org/officeDocument/2006/relationships/hyperlink" Target="http://www.southampton.ac.uk/" TargetMode="External"/><Relationship Id="rId200" Type="http://schemas.openxmlformats.org/officeDocument/2006/relationships/hyperlink" Target="http://opendepot.org/" TargetMode="External"/><Relationship Id="rId201" Type="http://schemas.openxmlformats.org/officeDocument/2006/relationships/hyperlink" Target="http://roarmap.eprints.org/418/" TargetMode="External"/><Relationship Id="rId202" Type="http://schemas.openxmlformats.org/officeDocument/2006/relationships/hyperlink" Target="http://www.cfhi-fcass.ca/" TargetMode="External"/><Relationship Id="rId203" Type="http://schemas.openxmlformats.org/officeDocument/2006/relationships/hyperlink" Target="http://www.cfhi-fcass.ca/Migrated/PDF/OpenAccesstoResearchOutputs.pdf" TargetMode="External"/><Relationship Id="rId204" Type="http://schemas.openxmlformats.org/officeDocument/2006/relationships/hyperlink" Target="http://opendepot.org/" TargetMode="External"/><Relationship Id="rId205" Type="http://schemas.openxmlformats.org/officeDocument/2006/relationships/hyperlink" Target="http://roarmap.eprints.org/419/" TargetMode="External"/><Relationship Id="rId206" Type="http://schemas.openxmlformats.org/officeDocument/2006/relationships/hyperlink" Target="http://www.cihr-irsc.gc.ca/" TargetMode="External"/><Relationship Id="rId207" Type="http://schemas.openxmlformats.org/officeDocument/2006/relationships/hyperlink" Target="http://www.cihr-irsc.gc.ca/e/46068.html" TargetMode="External"/><Relationship Id="rId208" Type="http://schemas.openxmlformats.org/officeDocument/2006/relationships/hyperlink" Target="http://opendepot.org/" TargetMode="External"/><Relationship Id="rId209" Type="http://schemas.openxmlformats.org/officeDocument/2006/relationships/hyperlink" Target="http://roarmap.eprints.org/423/" TargetMode="External"/><Relationship Id="rId1080" Type="http://schemas.openxmlformats.org/officeDocument/2006/relationships/hyperlink" Target="http://roarmap.eprints.org/723/" TargetMode="External"/><Relationship Id="rId1081" Type="http://schemas.openxmlformats.org/officeDocument/2006/relationships/hyperlink" Target="http://www.myrovlytistrust.org" TargetMode="External"/><Relationship Id="rId1082" Type="http://schemas.openxmlformats.org/officeDocument/2006/relationships/hyperlink" Target="http://www.myrovlytistrust.org/wp-content/uploads/2011/06/Open-Access-Policy-20122.pdf" TargetMode="External"/><Relationship Id="rId1083" Type="http://schemas.openxmlformats.org/officeDocument/2006/relationships/hyperlink" Target="http://europepmc.org/" TargetMode="External"/><Relationship Id="rId1084" Type="http://schemas.openxmlformats.org/officeDocument/2006/relationships/hyperlink" Target="http://roarmap.eprints.org/371/" TargetMode="External"/><Relationship Id="rId1085" Type="http://schemas.openxmlformats.org/officeDocument/2006/relationships/hyperlink" Target="http://www.napier.ac.uk/Pages/home.aspx" TargetMode="External"/><Relationship Id="rId1086" Type="http://schemas.openxmlformats.org/officeDocument/2006/relationships/hyperlink" Target="http://researchrepository.napier.ac.uk/mandate.html" TargetMode="External"/><Relationship Id="rId1087" Type="http://schemas.openxmlformats.org/officeDocument/2006/relationships/hyperlink" Target="http://www.napier.ac.uk/research/Pages/Research-repository.aspx" TargetMode="External"/><Relationship Id="rId1088" Type="http://schemas.openxmlformats.org/officeDocument/2006/relationships/hyperlink" Target="http://roarmap.eprints.org/372/" TargetMode="External"/><Relationship Id="rId1089" Type="http://schemas.openxmlformats.org/officeDocument/2006/relationships/hyperlink" Target="http://www.nerc.ac.uk/" TargetMode="External"/><Relationship Id="rId850" Type="http://schemas.openxmlformats.org/officeDocument/2006/relationships/hyperlink" Target="http://www.ub.umu.se/en/about/news/open-access-policy-umea-university" TargetMode="External"/><Relationship Id="rId851" Type="http://schemas.openxmlformats.org/officeDocument/2006/relationships/hyperlink" Target="http://umu.diva-portal.org/smash/search.jsf" TargetMode="External"/><Relationship Id="rId852" Type="http://schemas.openxmlformats.org/officeDocument/2006/relationships/hyperlink" Target="http://roarmap.eprints.org/322/" TargetMode="External"/><Relationship Id="rId853" Type="http://schemas.openxmlformats.org/officeDocument/2006/relationships/hyperlink" Target="http://www.hb.se/en/" TargetMode="External"/><Relationship Id="rId854" Type="http://schemas.openxmlformats.org/officeDocument/2006/relationships/hyperlink" Target="http://www.hb.se/en/Library/Research-support/Publish/Rectors-resolution-on-publishing/" TargetMode="External"/><Relationship Id="rId855" Type="http://schemas.openxmlformats.org/officeDocument/2006/relationships/hyperlink" Target="http://bada.hb.se/" TargetMode="External"/><Relationship Id="rId856" Type="http://schemas.openxmlformats.org/officeDocument/2006/relationships/hyperlink" Target="http://roarmap.eprints.org/323/" TargetMode="External"/><Relationship Id="rId857" Type="http://schemas.openxmlformats.org/officeDocument/2006/relationships/hyperlink" Target="https://www.ethz.ch/de.html" TargetMode="External"/><Relationship Id="rId858" Type="http://schemas.openxmlformats.org/officeDocument/2006/relationships/hyperlink" Target="http://www.open-access.ethz.ch/oazurich/policy_EN" TargetMode="External"/><Relationship Id="rId859" Type="http://schemas.openxmlformats.org/officeDocument/2006/relationships/hyperlink" Target="http://e-collection.library.ethz.ch/" TargetMode="External"/><Relationship Id="rId530" Type="http://schemas.openxmlformats.org/officeDocument/2006/relationships/hyperlink" Target="http://roarmap.eprints.org/195/" TargetMode="External"/><Relationship Id="rId531" Type="http://schemas.openxmlformats.org/officeDocument/2006/relationships/hyperlink" Target="http://web.uniroma2.it/home.php?sr=1024" TargetMode="External"/><Relationship Id="rId532" Type="http://schemas.openxmlformats.org/officeDocument/2006/relationships/hyperlink" Target="http://roarmap.eprints.org/253/" TargetMode="External"/><Relationship Id="rId533" Type="http://schemas.openxmlformats.org/officeDocument/2006/relationships/hyperlink" Target="http://dspace.uniroma2.it/dspace/index.jsp" TargetMode="External"/><Relationship Id="rId534" Type="http://schemas.openxmlformats.org/officeDocument/2006/relationships/hyperlink" Target="http://roarmap.eprints.org/196/" TargetMode="External"/><Relationship Id="rId535" Type="http://schemas.openxmlformats.org/officeDocument/2006/relationships/hyperlink" Target="http://www.luiss.it/" TargetMode="External"/><Relationship Id="rId536" Type="http://schemas.openxmlformats.org/officeDocument/2006/relationships/hyperlink" Target="http://eprints.luiss.it/" TargetMode="External"/><Relationship Id="rId537" Type="http://schemas.openxmlformats.org/officeDocument/2006/relationships/hyperlink" Target="http://roarmap.eprints.org/199/" TargetMode="External"/><Relationship Id="rId538" Type="http://schemas.openxmlformats.org/officeDocument/2006/relationships/hyperlink" Target="http://www.imtlucca.it" TargetMode="External"/><Relationship Id="rId539" Type="http://schemas.openxmlformats.org/officeDocument/2006/relationships/hyperlink" Target="http://e-theses.imtlucca.it/images/FullDepositGuide.pdf" TargetMode="External"/><Relationship Id="rId1210" Type="http://schemas.openxmlformats.org/officeDocument/2006/relationships/hyperlink" Target="http://www.southampton.ac.uk/library/research/eprints/policies/oapolicy.html" TargetMode="External"/><Relationship Id="rId1211" Type="http://schemas.openxmlformats.org/officeDocument/2006/relationships/hyperlink" Target="http://eprints.soton.ac.uk/" TargetMode="External"/><Relationship Id="rId1212" Type="http://schemas.openxmlformats.org/officeDocument/2006/relationships/hyperlink" Target="http://roarmap.eprints.org/406/" TargetMode="External"/><Relationship Id="rId1213" Type="http://schemas.openxmlformats.org/officeDocument/2006/relationships/hyperlink" Target="http://www.ecs.soton.ac.uk/" TargetMode="External"/><Relationship Id="rId1214" Type="http://schemas.openxmlformats.org/officeDocument/2006/relationships/hyperlink" Target="http://eprints.soton.ac.uk/" TargetMode="External"/><Relationship Id="rId1215" Type="http://schemas.openxmlformats.org/officeDocument/2006/relationships/hyperlink" Target="http://roarmap.eprints.org/407/" TargetMode="External"/><Relationship Id="rId1216" Type="http://schemas.openxmlformats.org/officeDocument/2006/relationships/hyperlink" Target="http://www.st-andrews.ac.uk/" TargetMode="External"/><Relationship Id="rId1217" Type="http://schemas.openxmlformats.org/officeDocument/2006/relationships/hyperlink" Target="http://www.st-andrews.ac.uk/library/services/researchsupport/openaccess/oapolicy/" TargetMode="External"/><Relationship Id="rId1218" Type="http://schemas.openxmlformats.org/officeDocument/2006/relationships/hyperlink" Target="http://research-repository.st-andrews.ac.uk/" TargetMode="External"/><Relationship Id="rId1219" Type="http://schemas.openxmlformats.org/officeDocument/2006/relationships/hyperlink" Target="http://roarmap.eprints.org/408/" TargetMode="External"/><Relationship Id="rId210" Type="http://schemas.openxmlformats.org/officeDocument/2006/relationships/hyperlink" Target="http://www.heartandstroke.com/" TargetMode="External"/><Relationship Id="rId211" Type="http://schemas.openxmlformats.org/officeDocument/2006/relationships/hyperlink" Target="http://hsf.ca/research/en/hsf-open-access-research-outputs-policy-guidelines" TargetMode="External"/><Relationship Id="rId212" Type="http://schemas.openxmlformats.org/officeDocument/2006/relationships/hyperlink" Target="http://opendepot.org/" TargetMode="External"/><Relationship Id="rId213" Type="http://schemas.openxmlformats.org/officeDocument/2006/relationships/hyperlink" Target="http://roarmap.eprints.org/425/" TargetMode="External"/><Relationship Id="rId214" Type="http://schemas.openxmlformats.org/officeDocument/2006/relationships/hyperlink" Target="http://www.mcgill.ca/library/" TargetMode="External"/><Relationship Id="rId215" Type="http://schemas.openxmlformats.org/officeDocument/2006/relationships/hyperlink" Target="http://roarmap.eprints.org/806/1/McGillLibraryOAStatement.pdf" TargetMode="External"/><Relationship Id="rId216" Type="http://schemas.openxmlformats.org/officeDocument/2006/relationships/hyperlink" Target="http://digitool.library.mcgill.ca/R/" TargetMode="External"/><Relationship Id="rId217" Type="http://schemas.openxmlformats.org/officeDocument/2006/relationships/hyperlink" Target="http://roarmap.eprints.org/428/" TargetMode="External"/><Relationship Id="rId218" Type="http://schemas.openxmlformats.org/officeDocument/2006/relationships/hyperlink" Target="http://www.nrc-cnrc.gc.ca/eng/" TargetMode="External"/><Relationship Id="rId219" Type="http://schemas.openxmlformats.org/officeDocument/2006/relationships/hyperlink" Target="http://cisti-icist.nrc-cnrc.gc.ca/obj/cisti-icist/doc/nparc/NPArC-Statement-of-Responsibilities_e.pdf" TargetMode="External"/><Relationship Id="rId1090" Type="http://schemas.openxmlformats.org/officeDocument/2006/relationships/hyperlink" Target="http://www.rcuk.ac.uk/RCUK-prod/assets/documents/documents/RCUKOpenAccessPolicy.pdf" TargetMode="External"/><Relationship Id="rId1091" Type="http://schemas.openxmlformats.org/officeDocument/2006/relationships/hyperlink" Target="http://nora.nerc.ac.uk/" TargetMode="External"/><Relationship Id="rId1092" Type="http://schemas.openxmlformats.org/officeDocument/2006/relationships/hyperlink" Target="http://roarmap.eprints.org/374/" TargetMode="External"/><Relationship Id="rId1093" Type="http://schemas.openxmlformats.org/officeDocument/2006/relationships/hyperlink" Target="http://www.ntu.ac.uk" TargetMode="External"/><Relationship Id="rId1094" Type="http://schemas.openxmlformats.org/officeDocument/2006/relationships/hyperlink" Target="http://www.ntu.ac.uk/library/resources_collections/irep/general_faqs/index.html" TargetMode="External"/><Relationship Id="rId1095" Type="http://schemas.openxmlformats.org/officeDocument/2006/relationships/hyperlink" Target="http://irep.ntu.ac.uk/" TargetMode="External"/><Relationship Id="rId1096" Type="http://schemas.openxmlformats.org/officeDocument/2006/relationships/hyperlink" Target="http://roarmap.eprints.org/376/" TargetMode="External"/><Relationship Id="rId1097" Type="http://schemas.openxmlformats.org/officeDocument/2006/relationships/hyperlink" Target="http://www.qmu.ac.uk/" TargetMode="External"/><Relationship Id="rId1098" Type="http://schemas.openxmlformats.org/officeDocument/2006/relationships/hyperlink" Target="http://eresearch.qmu.ac.uk/policies.html" TargetMode="External"/><Relationship Id="rId1099" Type="http://schemas.openxmlformats.org/officeDocument/2006/relationships/hyperlink" Target="http://eresearch.qmu.ac.uk/" TargetMode="External"/><Relationship Id="rId860" Type="http://schemas.openxmlformats.org/officeDocument/2006/relationships/hyperlink" Target="http://roarmap.eprints.org/324/" TargetMode="External"/><Relationship Id="rId861" Type="http://schemas.openxmlformats.org/officeDocument/2006/relationships/hyperlink" Target="http://www.snf.ch/en/Pages/default.aspx" TargetMode="External"/><Relationship Id="rId862" Type="http://schemas.openxmlformats.org/officeDocument/2006/relationships/hyperlink" Target="http://www.snf.ch/SiteCollectionDocuments/Dossiers/dos_OA_regelung_auf_einen_blick_e.pdf" TargetMode="External"/><Relationship Id="rId863" Type="http://schemas.openxmlformats.org/officeDocument/2006/relationships/hyperlink" Target="http://www.snf.ch/en/Search/Pages/default.aspx?k=repository" TargetMode="External"/><Relationship Id="rId864" Type="http://schemas.openxmlformats.org/officeDocument/2006/relationships/hyperlink" Target="http://roarmap.eprints.org/325/" TargetMode="External"/><Relationship Id="rId865" Type="http://schemas.openxmlformats.org/officeDocument/2006/relationships/hyperlink" Target="http://www.unibas.ch/" TargetMode="External"/><Relationship Id="rId866" Type="http://schemas.openxmlformats.org/officeDocument/2006/relationships/hyperlink" Target="http://www.ub.unibas.ch/en/ub-hauptbibliothek/dienstleistungen/publizieren/open-access/open-access-policy/" TargetMode="External"/><Relationship Id="rId867" Type="http://schemas.openxmlformats.org/officeDocument/2006/relationships/hyperlink" Target="http://edoc.unibas.ch/" TargetMode="External"/><Relationship Id="rId868" Type="http://schemas.openxmlformats.org/officeDocument/2006/relationships/hyperlink" Target="http://roarmap.eprints.org/326/" TargetMode="External"/><Relationship Id="rId869" Type="http://schemas.openxmlformats.org/officeDocument/2006/relationships/hyperlink" Target="http://www.unibe.ch/" TargetMode="External"/><Relationship Id="rId540" Type="http://schemas.openxmlformats.org/officeDocument/2006/relationships/hyperlink" Target="http://e-theses.imtlucca.it/" TargetMode="External"/><Relationship Id="rId541" Type="http://schemas.openxmlformats.org/officeDocument/2006/relationships/hyperlink" Target="http://roarmap.eprints.org/204/" TargetMode="External"/><Relationship Id="rId542" Type="http://schemas.openxmlformats.org/officeDocument/2006/relationships/hyperlink" Target="http://www.units.it/" TargetMode="External"/><Relationship Id="rId543" Type="http://schemas.openxmlformats.org/officeDocument/2006/relationships/hyperlink" Target="http://hdl.handle.net/10077/8791" TargetMode="External"/><Relationship Id="rId544" Type="http://schemas.openxmlformats.org/officeDocument/2006/relationships/hyperlink" Target="http://www.openstarts.units.it" TargetMode="External"/><Relationship Id="rId545" Type="http://schemas.openxmlformats.org/officeDocument/2006/relationships/hyperlink" Target="http://roarmap.eprints.org/229/" TargetMode="External"/><Relationship Id="rId546" Type="http://schemas.openxmlformats.org/officeDocument/2006/relationships/hyperlink" Target="http://www.unipi.it/" TargetMode="External"/><Relationship Id="rId547" Type="http://schemas.openxmlformats.org/officeDocument/2006/relationships/hyperlink" Target="http://www.unipi.it/index.php/phoca-ateneo/category/6-area-didattica-e-studenti?download=29%3Aregolamento-per-il-deposito-elettronico-degli-elaborati-finali-e-delle-tesi" TargetMode="External"/><Relationship Id="rId548" Type="http://schemas.openxmlformats.org/officeDocument/2006/relationships/hyperlink" Target="http://etd.adm.unipi.it/" TargetMode="External"/><Relationship Id="rId549" Type="http://schemas.openxmlformats.org/officeDocument/2006/relationships/hyperlink" Target="http://roarmap.eprints.org/203/" TargetMode="External"/><Relationship Id="rId1220" Type="http://schemas.openxmlformats.org/officeDocument/2006/relationships/hyperlink" Target="http://www.stir.ac.uk/" TargetMode="External"/><Relationship Id="rId1221" Type="http://schemas.openxmlformats.org/officeDocument/2006/relationships/hyperlink" Target="http://www.stir.ac.uk/is/researchers/writing/publishingimpact/openaccesspublishing/" TargetMode="External"/><Relationship Id="rId1222" Type="http://schemas.openxmlformats.org/officeDocument/2006/relationships/hyperlink" Target="https://dspace.stir.ac.uk/" TargetMode="External"/><Relationship Id="rId1223" Type="http://schemas.openxmlformats.org/officeDocument/2006/relationships/hyperlink" Target="http://roarmap.eprints.org/409/" TargetMode="External"/><Relationship Id="rId1224" Type="http://schemas.openxmlformats.org/officeDocument/2006/relationships/hyperlink" Target="http://www.strath.ac.uk/" TargetMode="External"/><Relationship Id="rId1225" Type="http://schemas.openxmlformats.org/officeDocument/2006/relationships/hyperlink" Target="http://strathprints.strath.ac.uk/Strathclyde_Publications_Mandate2v4.pdf" TargetMode="External"/><Relationship Id="rId1226" Type="http://schemas.openxmlformats.org/officeDocument/2006/relationships/hyperlink" Target="http://strathprints.strath.ac.uk/" TargetMode="External"/><Relationship Id="rId1227" Type="http://schemas.openxmlformats.org/officeDocument/2006/relationships/hyperlink" Target="http://roarmap.eprints.org/410/" TargetMode="External"/><Relationship Id="rId1228" Type="http://schemas.openxmlformats.org/officeDocument/2006/relationships/hyperlink" Target="http://www2.surrey.ac.uk/" TargetMode="External"/><Relationship Id="rId1229" Type="http://schemas.openxmlformats.org/officeDocument/2006/relationships/hyperlink" Target="http://epubs.surrey.ac.uk/policies.html" TargetMode="External"/><Relationship Id="rId220" Type="http://schemas.openxmlformats.org/officeDocument/2006/relationships/hyperlink" Target="http://nparc.cisti-icist.nrc-cnrc.gc.ca/npsi/ctrl" TargetMode="External"/><Relationship Id="rId221" Type="http://schemas.openxmlformats.org/officeDocument/2006/relationships/hyperlink" Target="http://roarmap.eprints.org/429/" TargetMode="External"/><Relationship Id="rId222" Type="http://schemas.openxmlformats.org/officeDocument/2006/relationships/hyperlink" Target="http://www.nserc-crsng.gc.ca/" TargetMode="External"/><Relationship Id="rId223" Type="http://schemas.openxmlformats.org/officeDocument/2006/relationships/hyperlink" Target="http://www.science.gc.ca/default.asp?lang=En&amp;n=F6765465-1" TargetMode="External"/><Relationship Id="rId224" Type="http://schemas.openxmlformats.org/officeDocument/2006/relationships/hyperlink" Target="http://opendepot.org/" TargetMode="External"/><Relationship Id="rId225" Type="http://schemas.openxmlformats.org/officeDocument/2006/relationships/hyperlink" Target="http://roarmap.eprints.org/430/" TargetMode="External"/><Relationship Id="rId226" Type="http://schemas.openxmlformats.org/officeDocument/2006/relationships/hyperlink" Target="http://oicr.on.ca/" TargetMode="External"/><Relationship Id="rId227" Type="http://schemas.openxmlformats.org/officeDocument/2006/relationships/hyperlink" Target="http://oicr.on.ca/files/public/november2009cancerresearchfundpolicies.pdf" TargetMode="External"/><Relationship Id="rId228" Type="http://schemas.openxmlformats.org/officeDocument/2006/relationships/hyperlink" Target="http://opendepot.org/" TargetMode="External"/><Relationship Id="rId229" Type="http://schemas.openxmlformats.org/officeDocument/2006/relationships/hyperlink" Target="http://roarmap.eprints.org/682/" TargetMode="External"/><Relationship Id="rId870" Type="http://schemas.openxmlformats.org/officeDocument/2006/relationships/hyperlink" Target="http://boris.unibe.ch/" TargetMode="External"/><Relationship Id="rId871" Type="http://schemas.openxmlformats.org/officeDocument/2006/relationships/hyperlink" Target="http://roarmap.eprints.org/328/" TargetMode="External"/><Relationship Id="rId872" Type="http://schemas.openxmlformats.org/officeDocument/2006/relationships/hyperlink" Target="http://www.unisg.ch/" TargetMode="External"/><Relationship Id="rId873" Type="http://schemas.openxmlformats.org/officeDocument/2006/relationships/hyperlink" Target="https://www.alexandria.unisg.ch/Open-Access-at-the-University-of-St-Gallen" TargetMode="External"/><Relationship Id="rId874" Type="http://schemas.openxmlformats.org/officeDocument/2006/relationships/hyperlink" Target="http://www.unisg.ch/en/forschung/forschungsplattformalexandria" TargetMode="External"/><Relationship Id="rId875" Type="http://schemas.openxmlformats.org/officeDocument/2006/relationships/hyperlink" Target="http://roarmap.eprints.org/329/" TargetMode="External"/><Relationship Id="rId876" Type="http://schemas.openxmlformats.org/officeDocument/2006/relationships/hyperlink" Target="http://www.uzh.ch/index.html" TargetMode="External"/><Relationship Id="rId877" Type="http://schemas.openxmlformats.org/officeDocument/2006/relationships/hyperlink" Target="http://www.oai.uzh.ch/en/working-with-zora/regulations/guidelines" TargetMode="External"/><Relationship Id="rId878" Type="http://schemas.openxmlformats.org/officeDocument/2006/relationships/hyperlink" Target="http://www.zora.unizh.ch/" TargetMode="External"/><Relationship Id="rId879" Type="http://schemas.openxmlformats.org/officeDocument/2006/relationships/hyperlink" Target="http://roarmap.eprints.org/63/" TargetMode="External"/><Relationship Id="rId550" Type="http://schemas.openxmlformats.org/officeDocument/2006/relationships/hyperlink" Target="http://www.unicattolica.it/" TargetMode="External"/><Relationship Id="rId551" Type="http://schemas.openxmlformats.org/officeDocument/2006/relationships/hyperlink" Target="http://www.unicatt.it/libraries/sbda-archivi-istituzionali-docta-tesi-di-dottorato" TargetMode="External"/><Relationship Id="rId552" Type="http://schemas.openxmlformats.org/officeDocument/2006/relationships/hyperlink" Target="http://tesionline.unicatt.it/" TargetMode="External"/><Relationship Id="rId553" Type="http://schemas.openxmlformats.org/officeDocument/2006/relationships/hyperlink" Target="http://roarmap.eprints.org/642/" TargetMode="External"/><Relationship Id="rId554" Type="http://schemas.openxmlformats.org/officeDocument/2006/relationships/hyperlink" Target="http://www.unicattolica.it/" TargetMode="External"/><Relationship Id="rId555" Type="http://schemas.openxmlformats.org/officeDocument/2006/relationships/hyperlink" Target="http://publicatt.unicatt.it/cms/Policy.htm" TargetMode="External"/><Relationship Id="rId556" Type="http://schemas.openxmlformats.org/officeDocument/2006/relationships/hyperlink" Target="http://publicatt.unicatt.it/" TargetMode="External"/><Relationship Id="rId557" Type="http://schemas.openxmlformats.org/officeDocument/2006/relationships/hyperlink" Target="http://roarmap.eprints.org/638/" TargetMode="External"/><Relationship Id="rId558" Type="http://schemas.openxmlformats.org/officeDocument/2006/relationships/hyperlink" Target="http://www.univpm.it/" TargetMode="External"/><Relationship Id="rId559" Type="http://schemas.openxmlformats.org/officeDocument/2006/relationships/hyperlink" Target="http://openarchive.univpm.it/jspui/" TargetMode="External"/><Relationship Id="rId1230" Type="http://schemas.openxmlformats.org/officeDocument/2006/relationships/hyperlink" Target="http://epubs.surrey.ac.uk/" TargetMode="External"/><Relationship Id="rId1231" Type="http://schemas.openxmlformats.org/officeDocument/2006/relationships/hyperlink" Target="http://roarmap.eprints.org/411/" TargetMode="External"/><Relationship Id="rId1232" Type="http://schemas.openxmlformats.org/officeDocument/2006/relationships/hyperlink" Target="http://www.ulster.ac.uk/" TargetMode="External"/><Relationship Id="rId1233" Type="http://schemas.openxmlformats.org/officeDocument/2006/relationships/hyperlink" Target="http://eprints.ulster.ac.uk/policies.html" TargetMode="External"/><Relationship Id="rId1234" Type="http://schemas.openxmlformats.org/officeDocument/2006/relationships/hyperlink" Target="http://eprints.ulster.ac.uk/" TargetMode="External"/><Relationship Id="rId1235" Type="http://schemas.openxmlformats.org/officeDocument/2006/relationships/hyperlink" Target="http://roarmap.eprints.org/412/" TargetMode="External"/><Relationship Id="rId1236" Type="http://schemas.openxmlformats.org/officeDocument/2006/relationships/hyperlink" Target="http://www2.warwick.ac.uk/" TargetMode="External"/><Relationship Id="rId1237" Type="http://schemas.openxmlformats.org/officeDocument/2006/relationships/hyperlink" Target="http://www2.warwick.ac.uk/fac/sci/sbdtc/publications/university_of_warwick_open_access_policy_website.pdf" TargetMode="External"/><Relationship Id="rId1238" Type="http://schemas.openxmlformats.org/officeDocument/2006/relationships/hyperlink" Target="http://wrap.warwick.ac.uk/" TargetMode="External"/><Relationship Id="rId1239" Type="http://schemas.openxmlformats.org/officeDocument/2006/relationships/hyperlink" Target="http://roarmap.eprints.org/413/" TargetMode="External"/><Relationship Id="rId230" Type="http://schemas.openxmlformats.org/officeDocument/2006/relationships/hyperlink" Target="http://www.sshrc-crsh.gc.ca/" TargetMode="External"/><Relationship Id="rId231" Type="http://schemas.openxmlformats.org/officeDocument/2006/relationships/hyperlink" Target="http://www.science.gc.ca/default.asp?lang=En&amp;n=F6765465-1" TargetMode="External"/><Relationship Id="rId232" Type="http://schemas.openxmlformats.org/officeDocument/2006/relationships/hyperlink" Target="http://opendepot.org/" TargetMode="External"/><Relationship Id="rId233" Type="http://schemas.openxmlformats.org/officeDocument/2006/relationships/hyperlink" Target="http://roarmap.eprints.org/432/" TargetMode="External"/><Relationship Id="rId234" Type="http://schemas.openxmlformats.org/officeDocument/2006/relationships/hyperlink" Target="http://www.teluq.ca/" TargetMode="External"/><Relationship Id="rId235" Type="http://schemas.openxmlformats.org/officeDocument/2006/relationships/hyperlink" Target="http://benhur.teluq.uquebec.ca/~mcouture/oa/accesLibreResol-UERST.htm" TargetMode="External"/><Relationship Id="rId236" Type="http://schemas.openxmlformats.org/officeDocument/2006/relationships/hyperlink" Target="http://roarmap.eprints.org/436/" TargetMode="External"/><Relationship Id="rId237" Type="http://schemas.openxmlformats.org/officeDocument/2006/relationships/hyperlink" Target="http://www.uottawa.ca/en" TargetMode="External"/><Relationship Id="rId238" Type="http://schemas.openxmlformats.org/officeDocument/2006/relationships/hyperlink" Target="http://www.ruor.uottawa.ca/en/static/help-thesis-submission.htm" TargetMode="External"/><Relationship Id="rId239" Type="http://schemas.openxmlformats.org/officeDocument/2006/relationships/hyperlink" Target="http://www.ruor.uottawa.ca/en/" TargetMode="External"/><Relationship Id="rId880" Type="http://schemas.openxmlformats.org/officeDocument/2006/relationships/hyperlink" Target="http://en.bingol.edu.tr/" TargetMode="External"/><Relationship Id="rId881" Type="http://schemas.openxmlformats.org/officeDocument/2006/relationships/hyperlink" Target="http://www.bingol.edu.tr/media/163822/BiNGoL-uNiVERSiTESi-AciK-ERisiM-POLiTiKASi.pdf" TargetMode="External"/><Relationship Id="rId882" Type="http://schemas.openxmlformats.org/officeDocument/2006/relationships/hyperlink" Target="http://acikerisim.bingol.edu.tr:8080/xmlui" TargetMode="External"/><Relationship Id="rId883" Type="http://schemas.openxmlformats.org/officeDocument/2006/relationships/hyperlink" Target="http://roarmap.eprints.org/51/" TargetMode="External"/><Relationship Id="rId884" Type="http://schemas.openxmlformats.org/officeDocument/2006/relationships/hyperlink" Target="http://www.dogus.edu.tr/en/" TargetMode="External"/><Relationship Id="rId885" Type="http://schemas.openxmlformats.org/officeDocument/2006/relationships/hyperlink" Target="http://openaccess.dogus.edu.tr:8080/dokumanlar/oa_politika.html" TargetMode="External"/><Relationship Id="rId886" Type="http://schemas.openxmlformats.org/officeDocument/2006/relationships/hyperlink" Target="http://openaccess.dogus.edu.tr:8080/xmlui/" TargetMode="External"/><Relationship Id="rId887" Type="http://schemas.openxmlformats.org/officeDocument/2006/relationships/hyperlink" Target="http://roarmap.eprints.org/62/" TargetMode="External"/><Relationship Id="rId888" Type="http://schemas.openxmlformats.org/officeDocument/2006/relationships/hyperlink" Target="http://www.eng.duzce.edu.tr/" TargetMode="External"/><Relationship Id="rId889" Type="http://schemas.openxmlformats.org/officeDocument/2006/relationships/hyperlink" Target="http://roarmap.eprints.org/72/" TargetMode="External"/><Relationship Id="rId560" Type="http://schemas.openxmlformats.org/officeDocument/2006/relationships/hyperlink" Target="http://openarchive.univpm.it/jspui/" TargetMode="External"/><Relationship Id="rId561" Type="http://schemas.openxmlformats.org/officeDocument/2006/relationships/hyperlink" Target="http://roarmap.eprints.org/227/" TargetMode="External"/><Relationship Id="rId562" Type="http://schemas.openxmlformats.org/officeDocument/2006/relationships/hyperlink" Target="http://www4.uninsubria.it/on-line/home.html" TargetMode="External"/><Relationship Id="rId563" Type="http://schemas.openxmlformats.org/officeDocument/2006/relationships/hyperlink" Target="http://www.unipi.it/index.php/phoca-ateneo/category/6-area-didattica-e-studenti?download=29%3Aregolamento-per-il-deposito-elettronico-degli-elaborati-finali-e-delle-tesi" TargetMode="External"/><Relationship Id="rId564" Type="http://schemas.openxmlformats.org/officeDocument/2006/relationships/hyperlink" Target="http://roarmap.eprints.org/219/" TargetMode="External"/><Relationship Id="rId565" Type="http://schemas.openxmlformats.org/officeDocument/2006/relationships/hyperlink" Target="http://www.unica.it" TargetMode="External"/><Relationship Id="rId566" Type="http://schemas.openxmlformats.org/officeDocument/2006/relationships/hyperlink" Target="http://veprints.unica.it/" TargetMode="External"/><Relationship Id="rId567" Type="http://schemas.openxmlformats.org/officeDocument/2006/relationships/hyperlink" Target="http://roarmap.eprints.org/221/" TargetMode="External"/><Relationship Id="rId568" Type="http://schemas.openxmlformats.org/officeDocument/2006/relationships/hyperlink" Target="http://www.unimi.it/" TargetMode="External"/><Relationship Id="rId569" Type="http://schemas.openxmlformats.org/officeDocument/2006/relationships/hyperlink" Target="http://www.unimi.it/ricerca/air/76762.htm" TargetMode="External"/><Relationship Id="rId1240" Type="http://schemas.openxmlformats.org/officeDocument/2006/relationships/hyperlink" Target="http://www.westminster.ac.uk/" TargetMode="External"/><Relationship Id="rId1241" Type="http://schemas.openxmlformats.org/officeDocument/2006/relationships/hyperlink" Target="http://www.westminster.ac.uk/research/research-framework/dissemination-policy-wr" TargetMode="External"/><Relationship Id="rId1242" Type="http://schemas.openxmlformats.org/officeDocument/2006/relationships/hyperlink" Target="http://westminsterresearch.wmin.ac.uk/" TargetMode="External"/><Relationship Id="rId1243" Type="http://schemas.openxmlformats.org/officeDocument/2006/relationships/hyperlink" Target="http://roarmap.eprints.org/699/" TargetMode="External"/><Relationship Id="rId1244" Type="http://schemas.openxmlformats.org/officeDocument/2006/relationships/hyperlink" Target="http://www.worcester.ac.uk/" TargetMode="External"/><Relationship Id="rId1245" Type="http://schemas.openxmlformats.org/officeDocument/2006/relationships/hyperlink" Target="http://libguides.worc.ac.uk/content.php?pid=528562&amp;sid=4349103" TargetMode="External"/><Relationship Id="rId1246" Type="http://schemas.openxmlformats.org/officeDocument/2006/relationships/hyperlink" Target="http://eprints.worc.ac.uk/" TargetMode="External"/><Relationship Id="rId1247" Type="http://schemas.openxmlformats.org/officeDocument/2006/relationships/hyperlink" Target="http://roarmap.eprints.org/700/" TargetMode="External"/><Relationship Id="rId1248" Type="http://schemas.openxmlformats.org/officeDocument/2006/relationships/hyperlink" Target="http://www.york.ac.uk/" TargetMode="External"/><Relationship Id="rId1249" Type="http://schemas.openxmlformats.org/officeDocument/2006/relationships/hyperlink" Target="http://www.york.ac.uk/media/library/documents/information-for/researchers/oa/UoYPolicyOnPublicationOfResearch20140611-WithGuidance.pdf" TargetMode="External"/><Relationship Id="rId240" Type="http://schemas.openxmlformats.org/officeDocument/2006/relationships/hyperlink" Target="http://roarmap.eprints.org/438/" TargetMode="External"/><Relationship Id="rId241" Type="http://schemas.openxmlformats.org/officeDocument/2006/relationships/hyperlink" Target="http://www.library.yorku.ca" TargetMode="External"/><Relationship Id="rId242" Type="http://schemas.openxmlformats.org/officeDocument/2006/relationships/hyperlink" Target="http://www.library.yorku.ca/cms/open-access/" TargetMode="External"/><Relationship Id="rId243" Type="http://schemas.openxmlformats.org/officeDocument/2006/relationships/hyperlink" Target="http://yorkspace.library.yorku.ca/" TargetMode="External"/><Relationship Id="rId244" Type="http://schemas.openxmlformats.org/officeDocument/2006/relationships/hyperlink" Target="http://roarmap.eprints.org/439/" TargetMode="External"/><Relationship Id="rId245" Type="http://schemas.openxmlformats.org/officeDocument/2006/relationships/hyperlink" Target="http://www.etsmtl.ca/" TargetMode="External"/><Relationship Id="rId246" Type="http://schemas.openxmlformats.org/officeDocument/2006/relationships/hyperlink" Target="http://espace.etsmtl.ca/" TargetMode="External"/><Relationship Id="rId247" Type="http://schemas.openxmlformats.org/officeDocument/2006/relationships/hyperlink" Target="http://roarmap.eprints.org/13/" TargetMode="External"/><Relationship Id="rId248" Type="http://schemas.openxmlformats.org/officeDocument/2006/relationships/hyperlink" Target="http://english.cas.cn" TargetMode="External"/><Relationship Id="rId249" Type="http://schemas.openxmlformats.org/officeDocument/2006/relationships/hyperlink" Target="http://english.cas.cn/Ne/CASE/201405/t20140516_121037.shtml" TargetMode="External"/><Relationship Id="rId890" Type="http://schemas.openxmlformats.org/officeDocument/2006/relationships/hyperlink" Target="http://www.gantep.edu.tr/en/" TargetMode="External"/><Relationship Id="rId891" Type="http://schemas.openxmlformats.org/officeDocument/2006/relationships/hyperlink" Target="http://roarmap.eprints.org/67/" TargetMode="External"/><Relationship Id="rId892" Type="http://schemas.openxmlformats.org/officeDocument/2006/relationships/hyperlink" Target="http://www.igdir.edu.tr/en/default.aspx" TargetMode="External"/><Relationship Id="rId893" Type="http://schemas.openxmlformats.org/officeDocument/2006/relationships/hyperlink" Target="http://roarmap.eprints.org/771/" TargetMode="External"/><Relationship Id="rId894" Type="http://schemas.openxmlformats.org/officeDocument/2006/relationships/hyperlink" Target="http://sehir.edu.tr/Pages/anasayfa.aspx" TargetMode="External"/><Relationship Id="rId895" Type="http://schemas.openxmlformats.org/officeDocument/2006/relationships/hyperlink" Target="http://www.sehir.edu.tr/en/Pages/Library/Sehir_Repository_Policy.aspx" TargetMode="External"/><Relationship Id="rId896" Type="http://schemas.openxmlformats.org/officeDocument/2006/relationships/hyperlink" Target="http://earsiv.sehir.edu.tr:8080/xmlui/" TargetMode="External"/><Relationship Id="rId897" Type="http://schemas.openxmlformats.org/officeDocument/2006/relationships/hyperlink" Target="http://roarmap.eprints.org/49/" TargetMode="External"/><Relationship Id="rId898" Type="http://schemas.openxmlformats.org/officeDocument/2006/relationships/hyperlink" Target="http://www.iyte.edu.tr/" TargetMode="External"/><Relationship Id="rId899" Type="http://schemas.openxmlformats.org/officeDocument/2006/relationships/hyperlink" Target="http://library.iyte.edu.tr/dosya/AcikErisim.pdf" TargetMode="External"/><Relationship Id="rId570" Type="http://schemas.openxmlformats.org/officeDocument/2006/relationships/hyperlink" Target="http://air.unimi.it/" TargetMode="External"/><Relationship Id="rId571" Type="http://schemas.openxmlformats.org/officeDocument/2006/relationships/hyperlink" Target="http://roarmap.eprints.org/222/" TargetMode="External"/><Relationship Id="rId572" Type="http://schemas.openxmlformats.org/officeDocument/2006/relationships/hyperlink" Target="http://www.unimo.it" TargetMode="External"/><Relationship Id="rId573" Type="http://schemas.openxmlformats.org/officeDocument/2006/relationships/hyperlink" Target="https://morethesis.unimore.it/RegolamentoDeposito.pdf" TargetMode="External"/><Relationship Id="rId574" Type="http://schemas.openxmlformats.org/officeDocument/2006/relationships/hyperlink" Target="https://morethesis.unimore.it/" TargetMode="External"/><Relationship Id="rId575" Type="http://schemas.openxmlformats.org/officeDocument/2006/relationships/hyperlink" Target="http://roarmap.eprints.org/228/" TargetMode="External"/><Relationship Id="rId576" Type="http://schemas.openxmlformats.org/officeDocument/2006/relationships/hyperlink" Target="http://www.uniparthenope.it/" TargetMode="External"/><Relationship Id="rId577" Type="http://schemas.openxmlformats.org/officeDocument/2006/relationships/hyperlink" Target="http://www.unipi.it/index.php/phoca-ateneo/category/6-area-didattica-e-studenti?download=29%3Aregolamento-per-il-deposito-elettronico-degli-elaborati-finali-e-delle-tesi" TargetMode="External"/><Relationship Id="rId578" Type="http://schemas.openxmlformats.org/officeDocument/2006/relationships/hyperlink" Target="http://roarmap.eprints.org/230/" TargetMode="External"/><Relationship Id="rId579" Type="http://schemas.openxmlformats.org/officeDocument/2006/relationships/hyperlink" Target="http://www.uniud.it/" TargetMode="External"/><Relationship Id="rId1250" Type="http://schemas.openxmlformats.org/officeDocument/2006/relationships/hyperlink" Target="http://eprints.whiterose.ac.uk/" TargetMode="External"/><Relationship Id="rId1251" Type="http://schemas.openxmlformats.org/officeDocument/2006/relationships/hyperlink" Target="http://roarmap.eprints.org/637/" TargetMode="External"/><Relationship Id="rId1252" Type="http://schemas.openxmlformats.org/officeDocument/2006/relationships/hyperlink" Target="http://www.wellcome.ac.uk/index.htm" TargetMode="External"/><Relationship Id="rId1253" Type="http://schemas.openxmlformats.org/officeDocument/2006/relationships/hyperlink" Target="http://www.wellcome.ac.uk/About-us/Policy/Policy-and-position-statements/WTD002766.htm" TargetMode="External"/><Relationship Id="rId1254" Type="http://schemas.openxmlformats.org/officeDocument/2006/relationships/hyperlink" Target="http://roarmap.eprints.org/701/" TargetMode="External"/><Relationship Id="rId1255" Type="http://schemas.openxmlformats.org/officeDocument/2006/relationships/hyperlink" Target="http://www.yorksj.ac.uk/" TargetMode="External"/><Relationship Id="rId1256" Type="http://schemas.openxmlformats.org/officeDocument/2006/relationships/hyperlink" Target="http://www.yorksj.ac.uk/information-learning-services/information-learning-services/services-for-you/staff/institutional-repository/open-access-policy.aspx" TargetMode="External"/><Relationship Id="rId1257" Type="http://schemas.openxmlformats.org/officeDocument/2006/relationships/hyperlink" Target="http://www.yorksj.ac.uk/information-learning-services/information-learning-services/services-for-you/staff/institutional-repository.aspx" TargetMode="External"/><Relationship Id="rId1258" Type="http://schemas.openxmlformats.org/officeDocument/2006/relationships/hyperlink" Target="http://roarmap.eprints.org/444/" TargetMode="External"/><Relationship Id="rId1259" Type="http://schemas.openxmlformats.org/officeDocument/2006/relationships/hyperlink" Target="http://allegheny.edu/" TargetMode="External"/><Relationship Id="rId250" Type="http://schemas.openxmlformats.org/officeDocument/2006/relationships/hyperlink" Target="http://roarmap.eprints.org/15/" TargetMode="External"/><Relationship Id="rId251" Type="http://schemas.openxmlformats.org/officeDocument/2006/relationships/hyperlink" Target="http://www.nsfc.gov.cn/publish/portal1/" TargetMode="External"/><Relationship Id="rId252" Type="http://schemas.openxmlformats.org/officeDocument/2006/relationships/hyperlink" Target="http://roarmap.eprints.org/16/" TargetMode="External"/><Relationship Id="rId253" Type="http://schemas.openxmlformats.org/officeDocument/2006/relationships/hyperlink" Target="http://english.las.cas.cn/" TargetMode="External"/><Relationship Id="rId254" Type="http://schemas.openxmlformats.org/officeDocument/2006/relationships/hyperlink" Target="http://old.nlb.by/eifl/store/file/open_access_en/142-lin-en.pdf" TargetMode="External"/><Relationship Id="rId255" Type="http://schemas.openxmlformats.org/officeDocument/2006/relationships/hyperlink" Target="http://ir.las.ac.cn/" TargetMode="External"/><Relationship Id="rId256" Type="http://schemas.openxmlformats.org/officeDocument/2006/relationships/hyperlink" Target="http://roarmap.eprints.org/625/" TargetMode="External"/><Relationship Id="rId257" Type="http://schemas.openxmlformats.org/officeDocument/2006/relationships/hyperlink" Target="http://unal.edu.co/" TargetMode="External"/><Relationship Id="rId258" Type="http://schemas.openxmlformats.org/officeDocument/2006/relationships/hyperlink" Target="http://roarmap.eprints.org/403/1/ResolucionTesis.pdf" TargetMode="External"/><Relationship Id="rId259" Type="http://schemas.openxmlformats.org/officeDocument/2006/relationships/hyperlink" Target="http://www.bdigital.unal.edu.co/" TargetMode="External"/><Relationship Id="rId700" Type="http://schemas.openxmlformats.org/officeDocument/2006/relationships/hyperlink" Target="https://bibliotecadigital.ipb.pt/" TargetMode="External"/><Relationship Id="rId701" Type="http://schemas.openxmlformats.org/officeDocument/2006/relationships/hyperlink" Target="http://roarmap.eprints.org/270/" TargetMode="External"/><Relationship Id="rId702" Type="http://schemas.openxmlformats.org/officeDocument/2006/relationships/hyperlink" Target="http://www.universidade-autonoma.pt/" TargetMode="External"/><Relationship Id="rId703" Type="http://schemas.openxmlformats.org/officeDocument/2006/relationships/hyperlink" Target="http://repositorio.ual.pt/Pol%C3%ADtica%20de%20Dep%C3%B3sito%20de%20Publica%C3%A7%C3%B5es.pdf" TargetMode="External"/><Relationship Id="rId704" Type="http://schemas.openxmlformats.org/officeDocument/2006/relationships/hyperlink" Target="http://repositorio.ual.pt/?locale=en" TargetMode="External"/><Relationship Id="rId705" Type="http://schemas.openxmlformats.org/officeDocument/2006/relationships/hyperlink" Target="http://roarmap.eprints.org/274/" TargetMode="External"/><Relationship Id="rId706" Type="http://schemas.openxmlformats.org/officeDocument/2006/relationships/hyperlink" Target="http://www.uminho.pt/" TargetMode="External"/><Relationship Id="rId707" Type="http://schemas.openxmlformats.org/officeDocument/2006/relationships/hyperlink" Target="https://repositorium.sdum.uminho.pt/about/docs/Despacho_RT-98_2010.pdf" TargetMode="External"/><Relationship Id="rId708" Type="http://schemas.openxmlformats.org/officeDocument/2006/relationships/hyperlink" Target="https://repositorium.sdum.uminho.pt" TargetMode="External"/><Relationship Id="rId709" Type="http://schemas.openxmlformats.org/officeDocument/2006/relationships/hyperlink" Target="http://roarmap.eprints.org/276/" TargetMode="External"/><Relationship Id="rId10" Type="http://schemas.openxmlformats.org/officeDocument/2006/relationships/hyperlink" Target="http://roarmap.eprints.org/605/" TargetMode="External"/><Relationship Id="rId11" Type="http://schemas.openxmlformats.org/officeDocument/2006/relationships/hyperlink" Target="http://eco.mdp.edu.ar/" TargetMode="External"/><Relationship Id="rId12" Type="http://schemas.openxmlformats.org/officeDocument/2006/relationships/hyperlink" Target="http://nulan.mdp.edu.ar/2031/" TargetMode="External"/><Relationship Id="rId13" Type="http://schemas.openxmlformats.org/officeDocument/2006/relationships/hyperlink" Target="http://nulan.mdp.edu.ar/" TargetMode="External"/><Relationship Id="rId14" Type="http://schemas.openxmlformats.org/officeDocument/2006/relationships/hyperlink" Target="http://roarmap.eprints.org/565/" TargetMode="External"/><Relationship Id="rId15" Type="http://schemas.openxmlformats.org/officeDocument/2006/relationships/hyperlink" Target="http://www.anu.edu.au/" TargetMode="External"/><Relationship Id="rId16" Type="http://schemas.openxmlformats.org/officeDocument/2006/relationships/hyperlink" Target="https://policies.anu.edu.au/ppl/document/ANUP_008802" TargetMode="External"/><Relationship Id="rId17" Type="http://schemas.openxmlformats.org/officeDocument/2006/relationships/hyperlink" Target="https://digitalcollections.anu.edu.au/" TargetMode="External"/><Relationship Id="rId18" Type="http://schemas.openxmlformats.org/officeDocument/2006/relationships/hyperlink" Target="http://roarmap.eprints.org/566/" TargetMode="External"/><Relationship Id="rId19" Type="http://schemas.openxmlformats.org/officeDocument/2006/relationships/hyperlink" Target="http://www.arc.gov.au/" TargetMode="External"/><Relationship Id="rId1" Type="http://schemas.openxmlformats.org/officeDocument/2006/relationships/hyperlink" Target="http://roarmap.eprints.org/775/" TargetMode="External"/><Relationship Id="rId2" Type="http://schemas.openxmlformats.org/officeDocument/2006/relationships/hyperlink" Target="http://www.univ-bouira.dz/fr/" TargetMode="External"/><Relationship Id="rId3" Type="http://schemas.openxmlformats.org/officeDocument/2006/relationships/hyperlink" Target="http://dspace.univ-bouira.dz:8080/jspui/" TargetMode="External"/><Relationship Id="rId4" Type="http://schemas.openxmlformats.org/officeDocument/2006/relationships/hyperlink" Target="http://roarmap.eprints.org/602/" TargetMode="External"/><Relationship Id="rId5" Type="http://schemas.openxmlformats.org/officeDocument/2006/relationships/hyperlink" Target="http://www.mincyt.gob.ar/" TargetMode="External"/><Relationship Id="rId6" Type="http://schemas.openxmlformats.org/officeDocument/2006/relationships/hyperlink" Target="http://roarmap.eprints.org/604/" TargetMode="External"/><Relationship Id="rId7" Type="http://schemas.openxmlformats.org/officeDocument/2006/relationships/hyperlink" Target="http://www.unlp.edu.ar/" TargetMode="External"/><Relationship Id="rId8" Type="http://schemas.openxmlformats.org/officeDocument/2006/relationships/hyperlink" Target="http://sedici.unlp.edu.ar/bitstream/handle/10915/18184/Documento_completo.pdf?sequence=1" TargetMode="External"/><Relationship Id="rId9" Type="http://schemas.openxmlformats.org/officeDocument/2006/relationships/hyperlink" Target="http://sedici.unlp.edu.ar/" TargetMode="External"/><Relationship Id="rId580" Type="http://schemas.openxmlformats.org/officeDocument/2006/relationships/hyperlink" Target="https://dspace-uniud.cilea.it/" TargetMode="External"/><Relationship Id="rId581" Type="http://schemas.openxmlformats.org/officeDocument/2006/relationships/hyperlink" Target="http://roarmap.eprints.org/215/" TargetMode="External"/><Relationship Id="rId582" Type="http://schemas.openxmlformats.org/officeDocument/2006/relationships/hyperlink" Target="http://www.unito.it/" TargetMode="External"/><Relationship Id="rId583" Type="http://schemas.openxmlformats.org/officeDocument/2006/relationships/hyperlink" Target="http://www.unito.it/unitoWAR/ShowBinary/FSRepo/Area_Portale_Pubblico/Documenti/R/regolamento_accesso_aperto.PDF" TargetMode="External"/><Relationship Id="rId584" Type="http://schemas.openxmlformats.org/officeDocument/2006/relationships/hyperlink" Target="http://aperto.unito.it/" TargetMode="External"/><Relationship Id="rId585" Type="http://schemas.openxmlformats.org/officeDocument/2006/relationships/hyperlink" Target="http://roarmap.eprints.org/640/" TargetMode="External"/><Relationship Id="rId586" Type="http://schemas.openxmlformats.org/officeDocument/2006/relationships/hyperlink" Target="http://www.unipr.it/" TargetMode="External"/><Relationship Id="rId587" Type="http://schemas.openxmlformats.org/officeDocument/2006/relationships/hyperlink" Target="http://dspace-unipr.cineca.it/" TargetMode="External"/><Relationship Id="rId588" Type="http://schemas.openxmlformats.org/officeDocument/2006/relationships/hyperlink" Target="http://roarmap.eprints.org/41/" TargetMode="External"/><Relationship Id="rId589" Type="http://schemas.openxmlformats.org/officeDocument/2006/relationships/hyperlink" Target="http://www.mext.go.jp/english/" TargetMode="External"/><Relationship Id="rId1260" Type="http://schemas.openxmlformats.org/officeDocument/2006/relationships/hyperlink" Target="http://sites.allegheny.edu/scholarlycommunication/acoapolicy/" TargetMode="External"/><Relationship Id="rId1261" Type="http://schemas.openxmlformats.org/officeDocument/2006/relationships/hyperlink" Target="https://dspace.allegheny.edu/" TargetMode="External"/><Relationship Id="rId1262" Type="http://schemas.openxmlformats.org/officeDocument/2006/relationships/hyperlink" Target="http://roarmap.eprints.org/445/" TargetMode="External"/><Relationship Id="rId260" Type="http://schemas.openxmlformats.org/officeDocument/2006/relationships/hyperlink" Target="http://roarmap.eprints.org/745/" TargetMode="External"/><Relationship Id="rId261" Type="http://schemas.openxmlformats.org/officeDocument/2006/relationships/hyperlink" Target="http://www.irb.hr/" TargetMode="External"/><Relationship Id="rId262" Type="http://schemas.openxmlformats.org/officeDocument/2006/relationships/hyperlink" Target="http://lib.irb.hr/web/hr/projekti/fulir/item/1897-rudjer_boskovic_institute-self_archiving_mandate.html" TargetMode="External"/><Relationship Id="rId263" Type="http://schemas.openxmlformats.org/officeDocument/2006/relationships/hyperlink" Target="http://fulir.irb.hr/" TargetMode="External"/><Relationship Id="rId264" Type="http://schemas.openxmlformats.org/officeDocument/2006/relationships/hyperlink" Target="http://roarmap.eprints.org/99/" TargetMode="External"/><Relationship Id="rId265" Type="http://schemas.openxmlformats.org/officeDocument/2006/relationships/hyperlink" Target="http://www.cas.cz/" TargetMode="External"/><Relationship Id="rId266" Type="http://schemas.openxmlformats.org/officeDocument/2006/relationships/hyperlink" Target="http://www.cas.cz/o_avcr/zakladni_informace/dokumenty/politika-otevreneho-pristupu.html" TargetMode="External"/><Relationship Id="rId267" Type="http://schemas.openxmlformats.org/officeDocument/2006/relationships/hyperlink" Target="http://www.cas.cz/veda_a_vyzkum/" TargetMode="External"/><Relationship Id="rId268" Type="http://schemas.openxmlformats.org/officeDocument/2006/relationships/hyperlink" Target="http://roarmap.eprints.org/674/" TargetMode="External"/><Relationship Id="rId269" Type="http://schemas.openxmlformats.org/officeDocument/2006/relationships/hyperlink" Target="http://www.utb.cz/" TargetMode="External"/><Relationship Id="rId1263" Type="http://schemas.openxmlformats.org/officeDocument/2006/relationships/hyperlink" Target="https://www.amherst.edu/" TargetMode="External"/><Relationship Id="rId1264" Type="http://schemas.openxmlformats.org/officeDocument/2006/relationships/hyperlink" Target="https://www.amherst.edu/library/services/facstaff/openaccessresolution" TargetMode="External"/><Relationship Id="rId1265" Type="http://schemas.openxmlformats.org/officeDocument/2006/relationships/hyperlink" Target="http://roarmap.eprints.org/447/" TargetMode="External"/><Relationship Id="rId1266" Type="http://schemas.openxmlformats.org/officeDocument/2006/relationships/hyperlink" Target="http://www.autismspeaks.org/" TargetMode="External"/><Relationship Id="rId1267" Type="http://schemas.openxmlformats.org/officeDocument/2006/relationships/hyperlink" Target="http://www.autismspeaks.org/science/policy-statements/policy-public-access-research-we-fund" TargetMode="External"/><Relationship Id="rId1268" Type="http://schemas.openxmlformats.org/officeDocument/2006/relationships/hyperlink" Target="http://www.pubmedcentral.gov/" TargetMode="External"/><Relationship Id="rId1269" Type="http://schemas.openxmlformats.org/officeDocument/2006/relationships/hyperlink" Target="http://roarmap.eprints.org/726/" TargetMode="External"/><Relationship Id="rId710" Type="http://schemas.openxmlformats.org/officeDocument/2006/relationships/hyperlink" Target="http://sigarra.up.pt/up/pt/web_page.inicial" TargetMode="External"/><Relationship Id="rId711" Type="http://schemas.openxmlformats.org/officeDocument/2006/relationships/hyperlink" Target="http://repositorio.up.pt/files/Regulamentos_Open_Access.pdf" TargetMode="External"/><Relationship Id="rId712" Type="http://schemas.openxmlformats.org/officeDocument/2006/relationships/hyperlink" Target="http://roarmap.eprints.org/279/" TargetMode="External"/><Relationship Id="rId713" Type="http://schemas.openxmlformats.org/officeDocument/2006/relationships/hyperlink" Target="http://www.bsu.edu.ru/" TargetMode="External"/><Relationship Id="rId714" Type="http://schemas.openxmlformats.org/officeDocument/2006/relationships/hyperlink" Target="http://roarmap.eprints.org/877/1/%D0%BF%D1%80%D0%B8%D0%BA%D0%B0%D0%B7%20%D0%BE%D0%B1%20%D1%83%D0%BD%D0%B8%D0%B2%D0%B5%D1%80%20%D0%BC%D0%B0%D0%BD%D0%B4%D0%B0%D1%82%D0%B5.pdf" TargetMode="External"/><Relationship Id="rId715" Type="http://schemas.openxmlformats.org/officeDocument/2006/relationships/hyperlink" Target="http://roarmap.eprints.org/280/" TargetMode="External"/><Relationship Id="rId716" Type="http://schemas.openxmlformats.org/officeDocument/2006/relationships/hyperlink" Target="http://www.cemi.rssi.ru/" TargetMode="External"/><Relationship Id="rId717" Type="http://schemas.openxmlformats.org/officeDocument/2006/relationships/hyperlink" Target="http://socionet.ru/" TargetMode="External"/><Relationship Id="rId718" Type="http://schemas.openxmlformats.org/officeDocument/2006/relationships/hyperlink" Target="http://roarmap.eprints.org/281/" TargetMode="External"/><Relationship Id="rId719" Type="http://schemas.openxmlformats.org/officeDocument/2006/relationships/hyperlink" Target="http://keldysh.ru/" TargetMode="External"/><Relationship Id="rId20" Type="http://schemas.openxmlformats.org/officeDocument/2006/relationships/hyperlink" Target="http://www.arc.gov.au/applicants/open_access.htm" TargetMode="External"/><Relationship Id="rId21" Type="http://schemas.openxmlformats.org/officeDocument/2006/relationships/hyperlink" Target="http://roarmap.eprints.org/568/" TargetMode="External"/><Relationship Id="rId22" Type="http://schemas.openxmlformats.org/officeDocument/2006/relationships/hyperlink" Target="http://www.csu.edu.au/" TargetMode="External"/><Relationship Id="rId23" Type="http://schemas.openxmlformats.org/officeDocument/2006/relationships/hyperlink" Target="http://www.csu.edu.au/research/performance/cro/policy" TargetMode="External"/><Relationship Id="rId24" Type="http://schemas.openxmlformats.org/officeDocument/2006/relationships/hyperlink" Target="http://digitool.unilinc.edu.au/R?func=search&amp;local_base=GEN01-CSU01" TargetMode="External"/><Relationship Id="rId25" Type="http://schemas.openxmlformats.org/officeDocument/2006/relationships/hyperlink" Target="http://roarmap.eprints.org/569/" TargetMode="External"/><Relationship Id="rId26" Type="http://schemas.openxmlformats.org/officeDocument/2006/relationships/hyperlink" Target="http://www.curtin.edu.au/" TargetMode="External"/><Relationship Id="rId27" Type="http://schemas.openxmlformats.org/officeDocument/2006/relationships/hyperlink" Target="http://research.curtin.edu.au/local/docs/graduate/TE-DTGuidelines.pdf" TargetMode="External"/><Relationship Id="rId28" Type="http://schemas.openxmlformats.org/officeDocument/2006/relationships/hyperlink" Target="http://espace.library.curtin.edu.au/R?func=search&amp;local_base=gen01-era02" TargetMode="External"/><Relationship Id="rId29" Type="http://schemas.openxmlformats.org/officeDocument/2006/relationships/hyperlink" Target="http://roarmap.eprints.org/570/" TargetMode="External"/><Relationship Id="rId590" Type="http://schemas.openxmlformats.org/officeDocument/2006/relationships/hyperlink" Target="http://drf.lib.hokudai.ac.jp/drf/index.php?plugin=attach&amp;refer=ETD2013&amp;openfile=notice_en.pdf" TargetMode="External"/><Relationship Id="rId591" Type="http://schemas.openxmlformats.org/officeDocument/2006/relationships/hyperlink" Target="http://roarmap.eprints.org/762/" TargetMode="External"/><Relationship Id="rId592" Type="http://schemas.openxmlformats.org/officeDocument/2006/relationships/hyperlink" Target="http://www.kyoto-u.ac.jp/en" TargetMode="External"/><Relationship Id="rId593" Type="http://schemas.openxmlformats.org/officeDocument/2006/relationships/hyperlink" Target="http://www.kulib.kyoto-u.ac.jp/modules/content0/index.php?content_id=92&amp;ml_lang=en" TargetMode="External"/><Relationship Id="rId594" Type="http://schemas.openxmlformats.org/officeDocument/2006/relationships/hyperlink" Target="http://repository.kulib.kyoto-u.ac.jp/dspace/?locale=en" TargetMode="External"/><Relationship Id="rId595" Type="http://schemas.openxmlformats.org/officeDocument/2006/relationships/hyperlink" Target="http://roarmap.eprints.org/42/" TargetMode="External"/><Relationship Id="rId596" Type="http://schemas.openxmlformats.org/officeDocument/2006/relationships/hyperlink" Target="http://www.nitech.ac.jp/eng/" TargetMode="External"/><Relationship Id="rId597" Type="http://schemas.openxmlformats.org/officeDocument/2006/relationships/hyperlink" Target="http://drf.lib.hokudai.ac.jp/drf/index.php?plugin=attach&amp;refer=DRF-Fukushima&amp;openfile=hayashi.pdf" TargetMode="External"/><Relationship Id="rId598" Type="http://schemas.openxmlformats.org/officeDocument/2006/relationships/hyperlink" Target="http://repo.lib.nitech.ac.jp/?lang=en" TargetMode="External"/><Relationship Id="rId599" Type="http://schemas.openxmlformats.org/officeDocument/2006/relationships/hyperlink" Target="http://roarmap.eprints.org/2/" TargetMode="External"/><Relationship Id="rId1270" Type="http://schemas.openxmlformats.org/officeDocument/2006/relationships/hyperlink" Target="http://www.gatesfoundation.org/" TargetMode="External"/><Relationship Id="rId1271" Type="http://schemas.openxmlformats.org/officeDocument/2006/relationships/hyperlink" Target="http://www.gatesfoundation.org/How-We-Work/General-Information/Open-Access-Policy" TargetMode="External"/><Relationship Id="rId1272" Type="http://schemas.openxmlformats.org/officeDocument/2006/relationships/hyperlink" Target="http://roarmap.eprints.org/450/" TargetMode="External"/><Relationship Id="rId1273" Type="http://schemas.openxmlformats.org/officeDocument/2006/relationships/hyperlink" Target="http://lib.byu.edu/" TargetMode="External"/><Relationship Id="rId1274" Type="http://schemas.openxmlformats.org/officeDocument/2006/relationships/hyperlink" Target="http://etd.byu.edu/" TargetMode="External"/><Relationship Id="rId1275" Type="http://schemas.openxmlformats.org/officeDocument/2006/relationships/hyperlink" Target="http://scholarsarchive.byu.edu/" TargetMode="External"/><Relationship Id="rId1276" Type="http://schemas.openxmlformats.org/officeDocument/2006/relationships/hyperlink" Target="http://roarmap.eprints.org/451/" TargetMode="External"/><Relationship Id="rId1277" Type="http://schemas.openxmlformats.org/officeDocument/2006/relationships/hyperlink" Target="http://www.brynmawr.edu/" TargetMode="External"/><Relationship Id="rId1278" Type="http://schemas.openxmlformats.org/officeDocument/2006/relationships/hyperlink" Target="http://www.brynmawr.edu/openaccess/" TargetMode="External"/><Relationship Id="rId1279" Type="http://schemas.openxmlformats.org/officeDocument/2006/relationships/hyperlink" Target="http://repository.brynmawr.edu/" TargetMode="External"/><Relationship Id="rId270" Type="http://schemas.openxmlformats.org/officeDocument/2006/relationships/hyperlink" Target="http://www.utb.cz/file/46119/" TargetMode="External"/><Relationship Id="rId271" Type="http://schemas.openxmlformats.org/officeDocument/2006/relationships/hyperlink" Target="http://publikace.k.utb.cz" TargetMode="External"/><Relationship Id="rId272" Type="http://schemas.openxmlformats.org/officeDocument/2006/relationships/hyperlink" Target="http://roarmap.eprints.org/101/" TargetMode="External"/><Relationship Id="rId273" Type="http://schemas.openxmlformats.org/officeDocument/2006/relationships/hyperlink" Target="http://www.au.dk/en/" TargetMode="External"/><Relationship Id="rId274" Type="http://schemas.openxmlformats.org/officeDocument/2006/relationships/hyperlink" Target="http://www.au.dk/en/about/uni/rektorat/newsletter/2010/8/" TargetMode="External"/><Relationship Id="rId275" Type="http://schemas.openxmlformats.org/officeDocument/2006/relationships/hyperlink" Target="http://medarbejdere.au.dk/pure/" TargetMode="External"/><Relationship Id="rId276" Type="http://schemas.openxmlformats.org/officeDocument/2006/relationships/hyperlink" Target="http://roarmap.eprints.org/102/" TargetMode="External"/><Relationship Id="rId277" Type="http://schemas.openxmlformats.org/officeDocument/2006/relationships/hyperlink" Target="http://www.cbs.dk/en" TargetMode="External"/><Relationship Id="rId278" Type="http://schemas.openxmlformats.org/officeDocument/2006/relationships/hyperlink" Target="http://www.cbs.dk/files/cbs.dk/call_to_action/open_access_politik_2009.pdf" TargetMode="External"/><Relationship Id="rId279" Type="http://schemas.openxmlformats.org/officeDocument/2006/relationships/hyperlink" Target="http://www.cbs.dk/en/research/cbs-publications" TargetMode="External"/><Relationship Id="rId720" Type="http://schemas.openxmlformats.org/officeDocument/2006/relationships/hyperlink" Target="http://socionet.ru/" TargetMode="External"/><Relationship Id="rId721" Type="http://schemas.openxmlformats.org/officeDocument/2006/relationships/hyperlink" Target="http://roarmap.eprints.org/282/" TargetMode="External"/><Relationship Id="rId722" Type="http://schemas.openxmlformats.org/officeDocument/2006/relationships/hyperlink" Target="http://www.vscc.ac.ru/" TargetMode="External"/><Relationship Id="rId723" Type="http://schemas.openxmlformats.org/officeDocument/2006/relationships/hyperlink" Target="http://socionet.ru/" TargetMode="External"/><Relationship Id="rId724" Type="http://schemas.openxmlformats.org/officeDocument/2006/relationships/hyperlink" Target="http://roarmap.eprints.org/43/" TargetMode="External"/><Relationship Id="rId725" Type="http://schemas.openxmlformats.org/officeDocument/2006/relationships/hyperlink" Target="http://www.kaust.edu.sa/" TargetMode="External"/><Relationship Id="rId726" Type="http://schemas.openxmlformats.org/officeDocument/2006/relationships/hyperlink" Target="http://libguides.kaust.edu.sa/OpenAccessPolicy" TargetMode="External"/><Relationship Id="rId727" Type="http://schemas.openxmlformats.org/officeDocument/2006/relationships/hyperlink" Target="http://repository.kaust.edu.sa/kaust/" TargetMode="External"/><Relationship Id="rId728" Type="http://schemas.openxmlformats.org/officeDocument/2006/relationships/hyperlink" Target="http://roarmap.eprints.org/44/" TargetMode="External"/><Relationship Id="rId729" Type="http://schemas.openxmlformats.org/officeDocument/2006/relationships/hyperlink" Target="http://www.a-star.edu.sg/" TargetMode="External"/><Relationship Id="rId1400" Type="http://schemas.openxmlformats.org/officeDocument/2006/relationships/hyperlink" Target="https://ed.stanford.edu/faculty-research/open-archive/open-access-motion" TargetMode="External"/><Relationship Id="rId1401" Type="http://schemas.openxmlformats.org/officeDocument/2006/relationships/hyperlink" Target="https://openarchive.stanford.edu/" TargetMode="External"/><Relationship Id="rId1402" Type="http://schemas.openxmlformats.org/officeDocument/2006/relationships/hyperlink" Target="http://roarmap.eprints.org/5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00"/>
  <sheetViews>
    <sheetView tabSelected="1" topLeftCell="N102" workbookViewId="0">
      <selection activeCell="U84" sqref="U84"/>
    </sheetView>
  </sheetViews>
  <sheetFormatPr baseColWidth="10" defaultColWidth="17.33203125" defaultRowHeight="15" customHeight="1" x14ac:dyDescent="0"/>
  <cols>
    <col min="1" max="1" width="14.5" customWidth="1"/>
    <col min="2" max="2" width="27.33203125" customWidth="1"/>
    <col min="3" max="16" width="14.5" customWidth="1"/>
    <col min="17" max="17" width="73.33203125" customWidth="1"/>
    <col min="18" max="19" width="14.5" customWidth="1"/>
    <col min="20" max="20" width="14.5" style="10" customWidth="1"/>
    <col min="21" max="21" width="37.6640625" customWidth="1"/>
    <col min="22" max="52" width="14.5" customWidth="1"/>
  </cols>
  <sheetData>
    <row r="1" spans="1:52" ht="15.75" customHeight="1">
      <c r="A1" s="1" t="s">
        <v>0</v>
      </c>
      <c r="B1" s="1" t="s">
        <v>1</v>
      </c>
      <c r="C1" s="3" t="s">
        <v>2</v>
      </c>
      <c r="D1" s="3" t="s">
        <v>3</v>
      </c>
      <c r="E1" s="3" t="s">
        <v>4</v>
      </c>
      <c r="F1" s="3" t="s">
        <v>5</v>
      </c>
      <c r="G1" s="3" t="s">
        <v>6</v>
      </c>
      <c r="H1" s="3" t="s">
        <v>7</v>
      </c>
      <c r="I1" s="3" t="s">
        <v>8</v>
      </c>
      <c r="J1" s="3" t="s">
        <v>9</v>
      </c>
      <c r="K1" s="3" t="s">
        <v>10</v>
      </c>
      <c r="L1" s="3" t="s">
        <v>11</v>
      </c>
      <c r="M1" s="3" t="s">
        <v>12</v>
      </c>
      <c r="N1" s="3" t="s">
        <v>13</v>
      </c>
      <c r="O1" s="3" t="s">
        <v>14</v>
      </c>
      <c r="P1" s="3" t="s">
        <v>15</v>
      </c>
      <c r="Q1" s="6" t="s">
        <v>3939</v>
      </c>
      <c r="R1" s="3" t="s">
        <v>16</v>
      </c>
      <c r="S1" s="3" t="s">
        <v>17</v>
      </c>
      <c r="T1" s="9" t="s">
        <v>18</v>
      </c>
      <c r="U1" s="6" t="s">
        <v>19</v>
      </c>
      <c r="V1" s="3" t="s">
        <v>2516</v>
      </c>
      <c r="W1" s="3" t="s">
        <v>20</v>
      </c>
      <c r="X1" s="3" t="s">
        <v>21</v>
      </c>
      <c r="Y1" s="3" t="s">
        <v>22</v>
      </c>
      <c r="Z1" s="3" t="s">
        <v>23</v>
      </c>
      <c r="AA1" s="3" t="s">
        <v>24</v>
      </c>
      <c r="AB1" s="3" t="s">
        <v>25</v>
      </c>
      <c r="AC1" s="3" t="s">
        <v>26</v>
      </c>
      <c r="AD1" s="3" t="s">
        <v>27</v>
      </c>
      <c r="AE1" s="3" t="s">
        <v>28</v>
      </c>
      <c r="AF1" s="3" t="s">
        <v>29</v>
      </c>
      <c r="AG1" s="3" t="s">
        <v>30</v>
      </c>
      <c r="AH1" s="3" t="s">
        <v>31</v>
      </c>
      <c r="AI1" s="3" t="s">
        <v>32</v>
      </c>
      <c r="AJ1" s="3" t="s">
        <v>33</v>
      </c>
      <c r="AK1" s="3" t="s">
        <v>34</v>
      </c>
      <c r="AL1" s="3" t="s">
        <v>35</v>
      </c>
      <c r="AM1" s="3" t="s">
        <v>36</v>
      </c>
      <c r="AN1" s="3" t="s">
        <v>37</v>
      </c>
      <c r="AO1" s="3" t="s">
        <v>38</v>
      </c>
      <c r="AP1" s="3" t="s">
        <v>39</v>
      </c>
      <c r="AQ1" s="3" t="s">
        <v>40</v>
      </c>
      <c r="AR1" s="3" t="s">
        <v>41</v>
      </c>
      <c r="AS1" s="3" t="s">
        <v>42</v>
      </c>
      <c r="AT1" s="3" t="s">
        <v>43</v>
      </c>
      <c r="AU1" s="3" t="s">
        <v>44</v>
      </c>
      <c r="AV1" s="3" t="s">
        <v>45</v>
      </c>
      <c r="AW1" s="3" t="s">
        <v>46</v>
      </c>
      <c r="AX1" s="3" t="s">
        <v>47</v>
      </c>
      <c r="AY1" s="3" t="s">
        <v>48</v>
      </c>
      <c r="AZ1" s="3" t="s">
        <v>49</v>
      </c>
    </row>
    <row r="2" spans="1:52" ht="15.75" customHeight="1">
      <c r="A2" s="3">
        <v>775</v>
      </c>
      <c r="B2" s="5" t="str">
        <f>CONCATENATE("http://roarmap.eprints.org/",A2,"/")</f>
        <v>http://roarmap.eprints.org/775/</v>
      </c>
      <c r="C2" s="3">
        <v>5</v>
      </c>
      <c r="D2" s="3" t="s">
        <v>98</v>
      </c>
      <c r="E2" s="3">
        <v>383</v>
      </c>
      <c r="F2" s="3" t="s">
        <v>100</v>
      </c>
      <c r="G2" s="3">
        <v>42145.450532407405</v>
      </c>
      <c r="H2" s="3">
        <v>42156.501643518517</v>
      </c>
      <c r="I2" s="3">
        <v>42145.450532407405</v>
      </c>
      <c r="J2" s="3" t="s">
        <v>103</v>
      </c>
      <c r="K2" s="3" t="s">
        <v>105</v>
      </c>
      <c r="L2" s="3" t="s">
        <v>107</v>
      </c>
      <c r="N2" s="3" t="s">
        <v>109</v>
      </c>
      <c r="O2" s="3" t="s">
        <v>112</v>
      </c>
      <c r="Q2" t="str">
        <f>CONCATENATE("http://roarmap.eprints.org/view/country/",T2,".html")</f>
        <v>http://roarmap.eprints.org/view/country/012.html</v>
      </c>
      <c r="R2" s="3">
        <v>12</v>
      </c>
      <c r="S2" s="6" t="s">
        <v>57</v>
      </c>
      <c r="T2" s="9" t="s">
        <v>3941</v>
      </c>
      <c r="U2" s="7" t="s">
        <v>51</v>
      </c>
      <c r="V2" s="6" t="s">
        <v>50</v>
      </c>
      <c r="W2" s="3" t="s">
        <v>158</v>
      </c>
      <c r="X2" s="3" t="s">
        <v>160</v>
      </c>
      <c r="Y2" s="3" t="s">
        <v>107</v>
      </c>
      <c r="Z2" s="8" t="str">
        <f>HYPERLINK("http://www.univ-bouira.dz/fr/","http://www.univ-bouira.dz/fr/")</f>
        <v>http://www.univ-bouira.dz/fr/</v>
      </c>
      <c r="AB2" s="8" t="str">
        <f>HYPERLINK("http://dspace.univ-bouira.dz:8080/jspui/","http://dspace.univ-bouira.dz:8080/jspui/")</f>
        <v>http://dspace.univ-bouira.dz:8080/jspui/</v>
      </c>
      <c r="AC2" s="3">
        <v>41944</v>
      </c>
      <c r="AF2" s="3" t="s">
        <v>177</v>
      </c>
      <c r="AG2" s="3" t="s">
        <v>178</v>
      </c>
      <c r="AH2" s="3" t="s">
        <v>180</v>
      </c>
      <c r="AI2" s="3" t="s">
        <v>181</v>
      </c>
      <c r="AJ2" s="3" t="s">
        <v>182</v>
      </c>
      <c r="AK2" s="3" t="s">
        <v>183</v>
      </c>
      <c r="AL2" s="3" t="s">
        <v>185</v>
      </c>
      <c r="AM2" s="3" t="s">
        <v>178</v>
      </c>
      <c r="AN2" s="3" t="s">
        <v>185</v>
      </c>
      <c r="AO2" s="3" t="s">
        <v>187</v>
      </c>
      <c r="AP2" s="3" t="s">
        <v>189</v>
      </c>
      <c r="AQ2" s="3" t="s">
        <v>190</v>
      </c>
      <c r="AR2" s="3" t="s">
        <v>185</v>
      </c>
      <c r="AS2" s="3" t="s">
        <v>185</v>
      </c>
      <c r="AT2" s="3" t="s">
        <v>193</v>
      </c>
      <c r="AU2" s="3" t="s">
        <v>193</v>
      </c>
      <c r="AV2" s="3" t="s">
        <v>189</v>
      </c>
      <c r="AW2" s="3" t="s">
        <v>195</v>
      </c>
      <c r="AX2" s="3" t="s">
        <v>178</v>
      </c>
      <c r="AY2" s="3" t="s">
        <v>198</v>
      </c>
      <c r="AZ2" s="8" t="str">
        <f>HYPERLINK("http://dspace.univ-bouira.dz:8080/oai/request?verb=Identify","http://dspace.univ-bouira.dz:8080/oai/request?verb=Identify")</f>
        <v>http://dspace.univ-bouira.dz:8080/oai/request?verb=Identify</v>
      </c>
    </row>
    <row r="3" spans="1:52" ht="15.75" customHeight="1">
      <c r="A3" s="3">
        <v>653</v>
      </c>
      <c r="B3" s="5" t="str">
        <f t="shared" ref="B3:B698" si="0">CONCATENATE("http://roarmap.eprints.org/",A3,"/")</f>
        <v>http://roarmap.eprints.org/653/</v>
      </c>
      <c r="C3" s="3">
        <v>8</v>
      </c>
      <c r="D3" s="3" t="s">
        <v>98</v>
      </c>
      <c r="E3" s="3">
        <v>65</v>
      </c>
      <c r="F3" s="3" t="s">
        <v>209</v>
      </c>
      <c r="G3" s="3">
        <v>42066.872569444444</v>
      </c>
      <c r="H3" s="3">
        <v>42066.901712962965</v>
      </c>
      <c r="I3" s="3">
        <v>42066.872569444444</v>
      </c>
      <c r="J3" s="3" t="s">
        <v>103</v>
      </c>
      <c r="K3" s="3" t="s">
        <v>105</v>
      </c>
      <c r="L3" s="3" t="s">
        <v>212</v>
      </c>
      <c r="O3" s="3" t="s">
        <v>214</v>
      </c>
      <c r="P3" s="3" t="s">
        <v>215</v>
      </c>
      <c r="Q3" t="str">
        <f t="shared" ref="Q3:Q66" si="1">CONCATENATE("http://roarmap.eprints.org/view/country/",T3,".html")</f>
        <v>http://roarmap.eprints.org/view/country/012.html</v>
      </c>
      <c r="R3" s="3">
        <v>12</v>
      </c>
      <c r="S3" s="6" t="s">
        <v>57</v>
      </c>
      <c r="T3" s="9" t="s">
        <v>3941</v>
      </c>
      <c r="U3" s="7" t="s">
        <v>51</v>
      </c>
      <c r="V3" s="6" t="s">
        <v>50</v>
      </c>
      <c r="W3" s="3" t="s">
        <v>158</v>
      </c>
      <c r="X3" s="3" t="s">
        <v>160</v>
      </c>
      <c r="Y3" s="3" t="s">
        <v>212</v>
      </c>
      <c r="Z3" s="8" t="str">
        <f>HYPERLINK("http://www.univ-boumerdes.dz/","http://www.univ-boumerdes.dz/")</f>
        <v>http://www.univ-boumerdes.dz/</v>
      </c>
      <c r="AA3" s="3" t="s">
        <v>239</v>
      </c>
      <c r="AB3" s="8" t="str">
        <f>HYPERLINK("http://dlibrary.univ-boumerdes.dz:8080/jspui/","http://dlibrary.univ-boumerdes.dz:8080/jspui/")</f>
        <v>http://dlibrary.univ-boumerdes.dz:8080/jspui/</v>
      </c>
      <c r="AC3" s="3">
        <v>41819</v>
      </c>
      <c r="AG3" s="3" t="s">
        <v>244</v>
      </c>
      <c r="AH3" s="3" t="s">
        <v>244</v>
      </c>
      <c r="AI3" s="3" t="s">
        <v>244</v>
      </c>
      <c r="AJ3" s="3" t="s">
        <v>244</v>
      </c>
      <c r="AK3" s="3" t="s">
        <v>244</v>
      </c>
      <c r="AL3" s="3" t="s">
        <v>244</v>
      </c>
      <c r="AN3" s="3" t="s">
        <v>244</v>
      </c>
      <c r="AO3" s="3" t="s">
        <v>247</v>
      </c>
      <c r="AP3" s="3" t="s">
        <v>244</v>
      </c>
      <c r="AQ3" s="3" t="s">
        <v>247</v>
      </c>
      <c r="AR3" s="3" t="s">
        <v>244</v>
      </c>
      <c r="AS3" s="3" t="s">
        <v>244</v>
      </c>
      <c r="AT3" s="3" t="s">
        <v>244</v>
      </c>
      <c r="AU3" s="3" t="s">
        <v>244</v>
      </c>
      <c r="AV3" s="3" t="s">
        <v>244</v>
      </c>
      <c r="AW3" s="3" t="s">
        <v>244</v>
      </c>
      <c r="AX3" s="3" t="s">
        <v>244</v>
      </c>
    </row>
    <row r="4" spans="1:52" ht="15.75" customHeight="1">
      <c r="A4" s="3">
        <v>654</v>
      </c>
      <c r="B4" s="5" t="str">
        <f t="shared" si="0"/>
        <v>http://roarmap.eprints.org/654/</v>
      </c>
      <c r="C4" s="3">
        <v>10</v>
      </c>
      <c r="D4" s="3" t="s">
        <v>98</v>
      </c>
      <c r="E4" s="3">
        <v>65</v>
      </c>
      <c r="F4" s="3" t="s">
        <v>256</v>
      </c>
      <c r="G4" s="3">
        <v>42066.872719907406</v>
      </c>
      <c r="H4" s="3">
        <v>42076.596354166664</v>
      </c>
      <c r="I4" s="3">
        <v>42066.872719907406</v>
      </c>
      <c r="J4" s="3" t="s">
        <v>103</v>
      </c>
      <c r="K4" s="3" t="s">
        <v>105</v>
      </c>
      <c r="L4" s="3" t="s">
        <v>259</v>
      </c>
      <c r="O4" s="3" t="s">
        <v>214</v>
      </c>
      <c r="P4" s="3" t="s">
        <v>215</v>
      </c>
      <c r="Q4" t="str">
        <f t="shared" si="1"/>
        <v>http://roarmap.eprints.org/view/country/031.html</v>
      </c>
      <c r="R4" s="3">
        <v>31</v>
      </c>
      <c r="S4" s="6" t="s">
        <v>71</v>
      </c>
      <c r="T4" s="9" t="s">
        <v>3942</v>
      </c>
      <c r="U4" s="7" t="s">
        <v>118</v>
      </c>
      <c r="V4" s="6" t="s">
        <v>96</v>
      </c>
      <c r="W4" s="3" t="s">
        <v>158</v>
      </c>
      <c r="X4" s="3" t="s">
        <v>160</v>
      </c>
      <c r="Y4" s="3" t="s">
        <v>259</v>
      </c>
      <c r="Z4" s="8" t="str">
        <f>HYPERLINK("http://www.ibp.az/banm/en/index","http://www.ibp.az/banm/en/index")</f>
        <v>http://www.ibp.az/banm/en/index</v>
      </c>
      <c r="AA4" s="3" t="s">
        <v>239</v>
      </c>
      <c r="AB4" s="8" t="str">
        <f>HYPERLINK("http://dspace.bhos.edu.az/xmlui/","http://dspace.bhos.edu.az/xmlui/")</f>
        <v>http://dspace.bhos.edu.az/xmlui/</v>
      </c>
      <c r="AC4" s="3">
        <v>41792</v>
      </c>
      <c r="AG4" s="3" t="s">
        <v>244</v>
      </c>
      <c r="AH4" s="3" t="s">
        <v>244</v>
      </c>
      <c r="AI4" s="3" t="s">
        <v>244</v>
      </c>
      <c r="AJ4" s="3" t="s">
        <v>244</v>
      </c>
      <c r="AK4" s="3" t="s">
        <v>244</v>
      </c>
      <c r="AL4" s="3" t="s">
        <v>244</v>
      </c>
      <c r="AN4" s="3" t="s">
        <v>288</v>
      </c>
      <c r="AP4" s="3" t="s">
        <v>244</v>
      </c>
      <c r="AT4" s="3" t="s">
        <v>244</v>
      </c>
      <c r="AU4" s="3" t="s">
        <v>244</v>
      </c>
      <c r="AV4" s="3" t="s">
        <v>244</v>
      </c>
      <c r="AW4" s="3" t="s">
        <v>244</v>
      </c>
      <c r="AX4" s="3" t="s">
        <v>244</v>
      </c>
    </row>
    <row r="5" spans="1:52" ht="15.75" customHeight="1">
      <c r="A5" s="3">
        <v>12</v>
      </c>
      <c r="B5" s="5" t="str">
        <f t="shared" si="0"/>
        <v>http://roarmap.eprints.org/12/</v>
      </c>
      <c r="C5" s="3">
        <v>3</v>
      </c>
      <c r="D5" s="3" t="s">
        <v>98</v>
      </c>
      <c r="E5" s="3">
        <v>1</v>
      </c>
      <c r="F5" s="3" t="s">
        <v>302</v>
      </c>
      <c r="G5" s="3">
        <v>41988.923078703701</v>
      </c>
      <c r="H5" s="3">
        <v>41988.923078703701</v>
      </c>
      <c r="I5" s="3">
        <v>41988.923078703701</v>
      </c>
      <c r="J5" s="3" t="s">
        <v>103</v>
      </c>
      <c r="K5" s="3" t="s">
        <v>105</v>
      </c>
      <c r="L5" s="3" t="s">
        <v>305</v>
      </c>
      <c r="M5" s="3" t="s">
        <v>307</v>
      </c>
      <c r="N5" s="3" t="s">
        <v>309</v>
      </c>
      <c r="O5" s="3" t="s">
        <v>312</v>
      </c>
      <c r="P5" s="3" t="s">
        <v>215</v>
      </c>
      <c r="Q5" t="str">
        <f t="shared" si="1"/>
        <v>http://roarmap.eprints.org/view/country/032.html</v>
      </c>
      <c r="R5" s="3">
        <v>31</v>
      </c>
      <c r="S5" s="6" t="s">
        <v>71</v>
      </c>
      <c r="T5" s="9" t="s">
        <v>3943</v>
      </c>
      <c r="U5" s="7" t="s">
        <v>118</v>
      </c>
      <c r="V5" s="6" t="s">
        <v>96</v>
      </c>
      <c r="W5" s="3" t="s">
        <v>158</v>
      </c>
      <c r="X5" s="3" t="s">
        <v>160</v>
      </c>
      <c r="Y5" s="3" t="s">
        <v>305</v>
      </c>
      <c r="Z5" s="8" t="str">
        <f>HYPERLINK("http://www.khazar.org/","http://www.khazar.org/")</f>
        <v>http://www.khazar.org/</v>
      </c>
      <c r="AA5" s="8" t="str">
        <f>HYPERLINK("http://www.docstoc.com/docs/164736821/IR_Guidedoc---Proposed-Khazar-University-Policy-Governing-the","http://www.docstoc.com/docs/164736821/IR_Guidedoc---Proposed-Khazar-University-Policy-Governing-the")</f>
        <v>http://www.docstoc.com/docs/164736821/IR_Guidedoc---Proposed-Khazar-University-Policy-Governing-the</v>
      </c>
      <c r="AF5" s="3" t="s">
        <v>177</v>
      </c>
      <c r="AG5" s="3" t="s">
        <v>333</v>
      </c>
      <c r="AH5" s="3" t="s">
        <v>180</v>
      </c>
      <c r="AI5" s="3" t="s">
        <v>244</v>
      </c>
      <c r="AJ5" s="3" t="s">
        <v>182</v>
      </c>
      <c r="AK5" s="3" t="s">
        <v>244</v>
      </c>
      <c r="AL5" s="3" t="s">
        <v>288</v>
      </c>
      <c r="AM5" s="3" t="s">
        <v>247</v>
      </c>
      <c r="AN5" s="3" t="s">
        <v>244</v>
      </c>
      <c r="AO5" s="3" t="s">
        <v>247</v>
      </c>
      <c r="AP5" s="3" t="s">
        <v>185</v>
      </c>
      <c r="AQ5" s="3" t="s">
        <v>190</v>
      </c>
      <c r="AR5" s="3" t="s">
        <v>288</v>
      </c>
      <c r="AS5" s="3" t="s">
        <v>189</v>
      </c>
      <c r="AT5" s="3" t="s">
        <v>244</v>
      </c>
      <c r="AU5" s="3" t="s">
        <v>244</v>
      </c>
      <c r="AV5" s="3" t="s">
        <v>288</v>
      </c>
      <c r="AW5" s="3" t="s">
        <v>339</v>
      </c>
      <c r="AX5" s="3" t="s">
        <v>341</v>
      </c>
      <c r="AY5" s="3" t="s">
        <v>247</v>
      </c>
    </row>
    <row r="6" spans="1:52" ht="15.75" customHeight="1">
      <c r="A6" s="3">
        <v>602</v>
      </c>
      <c r="B6" s="5" t="str">
        <f t="shared" si="0"/>
        <v>http://roarmap.eprints.org/602/</v>
      </c>
      <c r="C6" s="3">
        <v>3</v>
      </c>
      <c r="D6" s="3" t="s">
        <v>98</v>
      </c>
      <c r="E6" s="3">
        <v>1</v>
      </c>
      <c r="F6" s="3" t="s">
        <v>347</v>
      </c>
      <c r="G6" s="3">
        <v>41988.924212962964</v>
      </c>
      <c r="H6" s="3">
        <v>41988.924212962964</v>
      </c>
      <c r="I6" s="3">
        <v>41988.924212962964</v>
      </c>
      <c r="J6" s="3" t="s">
        <v>103</v>
      </c>
      <c r="K6" s="3" t="s">
        <v>105</v>
      </c>
      <c r="L6" s="3" t="s">
        <v>350</v>
      </c>
      <c r="M6" s="3" t="s">
        <v>352</v>
      </c>
      <c r="N6" s="3" t="s">
        <v>354</v>
      </c>
      <c r="O6" s="3" t="s">
        <v>356</v>
      </c>
      <c r="P6" s="3" t="s">
        <v>215</v>
      </c>
      <c r="Q6" t="str">
        <f t="shared" si="1"/>
        <v>http://roarmap.eprints.org/view/country/032.html</v>
      </c>
      <c r="R6" s="3">
        <v>32</v>
      </c>
      <c r="S6" s="6" t="s">
        <v>72</v>
      </c>
      <c r="T6" s="9" t="s">
        <v>3943</v>
      </c>
      <c r="U6" s="7" t="s">
        <v>2517</v>
      </c>
      <c r="V6" s="6" t="s">
        <v>53</v>
      </c>
      <c r="W6" s="3" t="s">
        <v>158</v>
      </c>
      <c r="X6" s="3" t="s">
        <v>364</v>
      </c>
      <c r="Y6" s="3" t="s">
        <v>350</v>
      </c>
      <c r="Z6" s="8" t="str">
        <f>HYPERLINK("http://www.mincyt.gob.ar/","http://www.mincyt.gob.ar/")</f>
        <v>http://www.mincyt.gob.ar/</v>
      </c>
      <c r="AC6" s="3">
        <v>41052</v>
      </c>
      <c r="AF6" s="3" t="s">
        <v>177</v>
      </c>
      <c r="AG6" s="3" t="s">
        <v>178</v>
      </c>
      <c r="AH6" s="3" t="s">
        <v>370</v>
      </c>
      <c r="AI6" s="3" t="s">
        <v>244</v>
      </c>
      <c r="AJ6" s="3" t="s">
        <v>371</v>
      </c>
      <c r="AK6" s="3" t="s">
        <v>244</v>
      </c>
      <c r="AL6" s="3" t="s">
        <v>244</v>
      </c>
      <c r="AM6" s="3" t="s">
        <v>247</v>
      </c>
      <c r="AN6" s="3" t="s">
        <v>244</v>
      </c>
      <c r="AO6" s="3" t="s">
        <v>247</v>
      </c>
      <c r="AP6" s="3" t="s">
        <v>244</v>
      </c>
      <c r="AQ6" s="3" t="s">
        <v>247</v>
      </c>
      <c r="AR6" s="3" t="s">
        <v>288</v>
      </c>
      <c r="AS6" s="3" t="s">
        <v>288</v>
      </c>
      <c r="AT6" s="3" t="s">
        <v>244</v>
      </c>
      <c r="AU6" s="3" t="s">
        <v>244</v>
      </c>
      <c r="AV6" s="3" t="s">
        <v>288</v>
      </c>
      <c r="AW6" s="3" t="s">
        <v>339</v>
      </c>
      <c r="AX6" s="3" t="s">
        <v>244</v>
      </c>
      <c r="AY6" s="3" t="s">
        <v>247</v>
      </c>
    </row>
    <row r="7" spans="1:52" ht="15.75" customHeight="1">
      <c r="A7" s="3">
        <v>603</v>
      </c>
      <c r="B7" s="5" t="str">
        <f t="shared" si="0"/>
        <v>http://roarmap.eprints.org/603/</v>
      </c>
      <c r="C7" s="3">
        <v>5</v>
      </c>
      <c r="D7" s="3" t="s">
        <v>98</v>
      </c>
      <c r="E7" s="3">
        <v>1</v>
      </c>
      <c r="F7" s="3" t="s">
        <v>372</v>
      </c>
      <c r="G7" s="3">
        <v>41988.924212962964</v>
      </c>
      <c r="H7" s="3">
        <v>42066.779722222222</v>
      </c>
      <c r="I7" s="3">
        <v>41988.924212962964</v>
      </c>
      <c r="J7" s="3" t="s">
        <v>103</v>
      </c>
      <c r="K7" s="3" t="s">
        <v>105</v>
      </c>
      <c r="L7" s="3" t="s">
        <v>373</v>
      </c>
      <c r="M7" s="3" t="s">
        <v>374</v>
      </c>
      <c r="N7" s="8" t="str">
        <f>HYPERLINK("http://otwartanauka.pl/analysis/nauka-otwartosc-swiat/otwarty-dostep-model-argentynski/open-access-in-argentina","http://otwartanauka.pl/analysis/nauka-otwartosc-swiat/otwarty-dostep-model-argentynski/open-access-in-argentina")</f>
        <v>http://otwartanauka.pl/analysis/nauka-otwartosc-swiat/otwarty-dostep-model-argentynski/open-access-in-argentina</v>
      </c>
      <c r="O7" s="3" t="s">
        <v>375</v>
      </c>
      <c r="P7" s="3" t="s">
        <v>215</v>
      </c>
      <c r="Q7" t="str">
        <f t="shared" si="1"/>
        <v>http://roarmap.eprints.org/view/country/032.html</v>
      </c>
      <c r="R7" s="3">
        <v>32</v>
      </c>
      <c r="S7" s="6" t="s">
        <v>72</v>
      </c>
      <c r="T7" s="9" t="s">
        <v>3943</v>
      </c>
      <c r="U7" s="7" t="s">
        <v>2517</v>
      </c>
      <c r="V7" s="6" t="s">
        <v>53</v>
      </c>
      <c r="W7" s="3" t="s">
        <v>158</v>
      </c>
      <c r="X7" s="3" t="s">
        <v>376</v>
      </c>
      <c r="Y7" s="3" t="s">
        <v>373</v>
      </c>
      <c r="Z7" s="8" t="str">
        <f>HYPERLINK("http://www.senado.gov.ar/","http://www.senado.gov.ar/")</f>
        <v>http://www.senado.gov.ar/</v>
      </c>
      <c r="AA7" s="8" t="str">
        <f>HYPERLINK("http://repositorios.mincyt.gob.ar/recursos.php","http://repositorios.mincyt.gob.ar/recursos.php")</f>
        <v>http://repositorios.mincyt.gob.ar/recursos.php</v>
      </c>
      <c r="AB7" s="8" t="str">
        <f>HYPERLINK("http://lareferencia.redclara.net/rfr/","http://lareferencia.redclara.net/rfr/")</f>
        <v>http://lareferencia.redclara.net/rfr/</v>
      </c>
      <c r="AC7" s="3">
        <v>41591</v>
      </c>
      <c r="AF7" s="3" t="s">
        <v>177</v>
      </c>
      <c r="AG7" s="3" t="s">
        <v>244</v>
      </c>
      <c r="AH7" s="3" t="s">
        <v>370</v>
      </c>
      <c r="AI7" s="3" t="s">
        <v>377</v>
      </c>
      <c r="AJ7" s="3" t="s">
        <v>371</v>
      </c>
      <c r="AK7" s="3" t="s">
        <v>371</v>
      </c>
      <c r="AL7" s="3" t="s">
        <v>244</v>
      </c>
      <c r="AM7" s="3" t="s">
        <v>371</v>
      </c>
      <c r="AN7" s="3" t="s">
        <v>244</v>
      </c>
      <c r="AO7" s="3" t="s">
        <v>378</v>
      </c>
      <c r="AP7" s="3" t="s">
        <v>244</v>
      </c>
      <c r="AQ7" s="3" t="s">
        <v>247</v>
      </c>
      <c r="AR7" s="3" t="s">
        <v>288</v>
      </c>
      <c r="AS7" s="3" t="s">
        <v>288</v>
      </c>
      <c r="AT7" s="3" t="s">
        <v>379</v>
      </c>
      <c r="AU7" s="3" t="s">
        <v>379</v>
      </c>
      <c r="AV7" s="3" t="s">
        <v>288</v>
      </c>
      <c r="AW7" s="3" t="s">
        <v>339</v>
      </c>
      <c r="AX7" s="3" t="s">
        <v>244</v>
      </c>
      <c r="AY7" s="3" t="s">
        <v>247</v>
      </c>
    </row>
    <row r="8" spans="1:52" ht="15.75" customHeight="1">
      <c r="A8" s="3">
        <v>604</v>
      </c>
      <c r="B8" s="5" t="str">
        <f t="shared" si="0"/>
        <v>http://roarmap.eprints.org/604/</v>
      </c>
      <c r="C8" s="3">
        <v>6</v>
      </c>
      <c r="D8" s="3" t="s">
        <v>98</v>
      </c>
      <c r="E8" s="3">
        <v>350</v>
      </c>
      <c r="F8" s="3" t="s">
        <v>380</v>
      </c>
      <c r="G8" s="3">
        <v>41988.924212962964</v>
      </c>
      <c r="H8" s="3">
        <v>42093.65425925926</v>
      </c>
      <c r="I8" s="3">
        <v>41988.924212962964</v>
      </c>
      <c r="J8" s="3" t="s">
        <v>103</v>
      </c>
      <c r="K8" s="3" t="s">
        <v>105</v>
      </c>
      <c r="L8" s="3" t="s">
        <v>381</v>
      </c>
      <c r="M8" s="3" t="s">
        <v>352</v>
      </c>
      <c r="N8" s="3" t="s">
        <v>382</v>
      </c>
      <c r="O8" s="3" t="s">
        <v>383</v>
      </c>
      <c r="P8" s="3" t="s">
        <v>215</v>
      </c>
      <c r="Q8" t="str">
        <f t="shared" si="1"/>
        <v>http://roarmap.eprints.org/view/country/032.html</v>
      </c>
      <c r="R8" s="3">
        <v>32</v>
      </c>
      <c r="S8" s="6" t="s">
        <v>72</v>
      </c>
      <c r="T8" s="9" t="s">
        <v>3943</v>
      </c>
      <c r="U8" s="7" t="s">
        <v>2517</v>
      </c>
      <c r="V8" s="6" t="s">
        <v>53</v>
      </c>
      <c r="W8" s="3" t="s">
        <v>158</v>
      </c>
      <c r="X8" s="3" t="s">
        <v>384</v>
      </c>
      <c r="Y8" s="3" t="s">
        <v>381</v>
      </c>
      <c r="Z8" s="8" t="str">
        <f>HYPERLINK("http://www.unlp.edu.ar/","http://www.unlp.edu.ar/")</f>
        <v>http://www.unlp.edu.ar/</v>
      </c>
      <c r="AA8" s="8" t="str">
        <f>HYPERLINK("http://sedici.unlp.edu.ar/bitstream/handle/10915/18184/Documento_completo.pdf?sequence=1","http://sedici.unlp.edu.ar/bitstream/handle/10915/18184/Documento_completo.pdf?sequence=1")</f>
        <v>http://sedici.unlp.edu.ar/bitstream/handle/10915/18184/Documento_completo.pdf?sequence=1</v>
      </c>
      <c r="AB8" s="8" t="str">
        <f>HYPERLINK("http://sedici.unlp.edu.ar/","http://sedici.unlp.edu.ar/")</f>
        <v>http://sedici.unlp.edu.ar/</v>
      </c>
      <c r="AC8" s="3">
        <v>40598</v>
      </c>
      <c r="AF8" s="3" t="s">
        <v>177</v>
      </c>
      <c r="AG8" s="3" t="s">
        <v>178</v>
      </c>
      <c r="AH8" s="3" t="s">
        <v>180</v>
      </c>
      <c r="AI8" s="3" t="s">
        <v>377</v>
      </c>
      <c r="AJ8" s="3" t="s">
        <v>385</v>
      </c>
      <c r="AK8" s="3" t="s">
        <v>183</v>
      </c>
      <c r="AL8" s="3" t="s">
        <v>244</v>
      </c>
      <c r="AM8" s="3" t="s">
        <v>178</v>
      </c>
      <c r="AN8" s="3" t="s">
        <v>244</v>
      </c>
      <c r="AO8" s="3" t="s">
        <v>378</v>
      </c>
      <c r="AP8" s="3" t="s">
        <v>244</v>
      </c>
      <c r="AQ8" s="3" t="s">
        <v>386</v>
      </c>
      <c r="AR8" s="3" t="s">
        <v>288</v>
      </c>
      <c r="AS8" s="3" t="s">
        <v>288</v>
      </c>
      <c r="AT8" s="3" t="s">
        <v>193</v>
      </c>
      <c r="AU8" s="3" t="s">
        <v>193</v>
      </c>
      <c r="AV8" s="3" t="s">
        <v>244</v>
      </c>
      <c r="AW8" s="3" t="s">
        <v>339</v>
      </c>
      <c r="AX8" s="3" t="s">
        <v>244</v>
      </c>
      <c r="AY8" s="3" t="s">
        <v>247</v>
      </c>
    </row>
    <row r="9" spans="1:52" ht="15.75" customHeight="1">
      <c r="A9" s="3">
        <v>605</v>
      </c>
      <c r="B9" s="5" t="str">
        <f t="shared" si="0"/>
        <v>http://roarmap.eprints.org/605/</v>
      </c>
      <c r="C9" s="3">
        <v>7</v>
      </c>
      <c r="D9" s="3" t="s">
        <v>98</v>
      </c>
      <c r="E9" s="3">
        <v>351</v>
      </c>
      <c r="F9" s="3" t="s">
        <v>387</v>
      </c>
      <c r="G9" s="3">
        <v>41988.924212962964</v>
      </c>
      <c r="H9" s="3">
        <v>42060.707245370373</v>
      </c>
      <c r="I9" s="3">
        <v>41988.924212962964</v>
      </c>
      <c r="J9" s="3" t="s">
        <v>103</v>
      </c>
      <c r="K9" s="3" t="s">
        <v>105</v>
      </c>
      <c r="L9" s="3" t="s">
        <v>388</v>
      </c>
      <c r="M9" s="3" t="s">
        <v>352</v>
      </c>
      <c r="N9" s="3" t="s">
        <v>389</v>
      </c>
      <c r="O9" s="3" t="s">
        <v>390</v>
      </c>
      <c r="P9" s="3" t="s">
        <v>215</v>
      </c>
      <c r="Q9" t="str">
        <f t="shared" si="1"/>
        <v>http://roarmap.eprints.org/view/country/032.html</v>
      </c>
      <c r="R9" s="3">
        <v>32</v>
      </c>
      <c r="S9" s="6" t="s">
        <v>72</v>
      </c>
      <c r="T9" s="9" t="s">
        <v>3943</v>
      </c>
      <c r="U9" s="7" t="s">
        <v>2517</v>
      </c>
      <c r="V9" s="6" t="s">
        <v>53</v>
      </c>
      <c r="W9" s="3" t="s">
        <v>158</v>
      </c>
      <c r="X9" s="3" t="s">
        <v>384</v>
      </c>
      <c r="Y9" s="3" t="s">
        <v>388</v>
      </c>
      <c r="Z9" s="8" t="str">
        <f>HYPERLINK("http://eco.mdp.edu.ar/","http://eco.mdp.edu.ar/")</f>
        <v>http://eco.mdp.edu.ar/</v>
      </c>
      <c r="AA9" s="8" t="str">
        <f>HYPERLINK("http://nulan.mdp.edu.ar/2031/","http://nulan.mdp.edu.ar/2031/")</f>
        <v>http://nulan.mdp.edu.ar/2031/</v>
      </c>
      <c r="AB9" s="8" t="str">
        <f>HYPERLINK("http://nulan.mdp.edu.ar/","http://nulan.mdp.edu.ar/")</f>
        <v>http://nulan.mdp.edu.ar/</v>
      </c>
      <c r="AC9" s="3">
        <v>41862</v>
      </c>
      <c r="AD9" s="3">
        <v>42005</v>
      </c>
      <c r="AF9" s="3" t="s">
        <v>177</v>
      </c>
      <c r="AG9" s="3" t="s">
        <v>178</v>
      </c>
      <c r="AH9" s="3" t="s">
        <v>180</v>
      </c>
      <c r="AI9" s="3" t="s">
        <v>392</v>
      </c>
      <c r="AJ9" s="3" t="s">
        <v>182</v>
      </c>
      <c r="AK9" s="3" t="s">
        <v>393</v>
      </c>
      <c r="AL9" s="3" t="s">
        <v>189</v>
      </c>
      <c r="AM9" s="3" t="s">
        <v>178</v>
      </c>
      <c r="AN9" s="3" t="s">
        <v>185</v>
      </c>
      <c r="AO9" s="3" t="s">
        <v>392</v>
      </c>
      <c r="AP9" s="3" t="s">
        <v>185</v>
      </c>
      <c r="AQ9" s="3" t="s">
        <v>394</v>
      </c>
      <c r="AR9" s="3" t="s">
        <v>189</v>
      </c>
      <c r="AS9" s="3" t="s">
        <v>185</v>
      </c>
      <c r="AT9" s="3" t="s">
        <v>244</v>
      </c>
      <c r="AU9" s="3" t="s">
        <v>395</v>
      </c>
      <c r="AV9" s="3" t="s">
        <v>185</v>
      </c>
      <c r="AW9" s="3" t="s">
        <v>195</v>
      </c>
      <c r="AX9" s="3" t="s">
        <v>244</v>
      </c>
      <c r="AY9" s="3" t="s">
        <v>247</v>
      </c>
    </row>
    <row r="10" spans="1:52" ht="15.75" customHeight="1">
      <c r="A10" s="3">
        <v>564</v>
      </c>
      <c r="B10" s="5" t="str">
        <f t="shared" si="0"/>
        <v>http://roarmap.eprints.org/564/</v>
      </c>
      <c r="C10" s="3">
        <v>3</v>
      </c>
      <c r="D10" s="3" t="s">
        <v>98</v>
      </c>
      <c r="E10" s="3">
        <v>1</v>
      </c>
      <c r="F10" s="3" t="s">
        <v>396</v>
      </c>
      <c r="G10" s="3">
        <v>41988.924155092594</v>
      </c>
      <c r="H10" s="3">
        <v>41988.924155092594</v>
      </c>
      <c r="I10" s="3">
        <v>41988.924155092594</v>
      </c>
      <c r="J10" s="3" t="s">
        <v>103</v>
      </c>
      <c r="K10" s="3" t="s">
        <v>105</v>
      </c>
      <c r="L10" s="3" t="s">
        <v>397</v>
      </c>
      <c r="M10" s="3" t="s">
        <v>352</v>
      </c>
      <c r="N10" s="3" t="s">
        <v>398</v>
      </c>
      <c r="O10" s="3" t="s">
        <v>399</v>
      </c>
      <c r="P10" s="3" t="s">
        <v>215</v>
      </c>
      <c r="Q10" t="str">
        <f t="shared" si="1"/>
        <v>http://roarmap.eprints.org/view/country/036.html</v>
      </c>
      <c r="R10" s="3">
        <v>36</v>
      </c>
      <c r="S10" s="6" t="s">
        <v>75</v>
      </c>
      <c r="T10" s="9" t="s">
        <v>3940</v>
      </c>
      <c r="U10" s="7" t="s">
        <v>55</v>
      </c>
      <c r="V10" s="6" t="s">
        <v>55</v>
      </c>
      <c r="W10" s="3" t="s">
        <v>158</v>
      </c>
      <c r="X10" s="3" t="s">
        <v>384</v>
      </c>
      <c r="Y10" s="3" t="s">
        <v>397</v>
      </c>
      <c r="Z10" s="8" t="str">
        <f>HYPERLINK("http://www.unsw.adfa.edu.au/","http://www.unsw.adfa.edu.au/")</f>
        <v>http://www.unsw.adfa.edu.au/</v>
      </c>
      <c r="AB10" s="8" t="str">
        <f>HYPERLINK("http://adt.caul.edu.au/","http://adt.caul.edu.au/")</f>
        <v>http://adt.caul.edu.au/</v>
      </c>
      <c r="AG10" s="3" t="s">
        <v>244</v>
      </c>
      <c r="AH10" s="3" t="s">
        <v>244</v>
      </c>
      <c r="AI10" s="3" t="s">
        <v>244</v>
      </c>
      <c r="AJ10" s="3" t="s">
        <v>244</v>
      </c>
      <c r="AK10" s="3" t="s">
        <v>244</v>
      </c>
      <c r="AL10" s="3" t="s">
        <v>244</v>
      </c>
      <c r="AM10" s="3" t="s">
        <v>247</v>
      </c>
      <c r="AN10" s="3" t="s">
        <v>244</v>
      </c>
      <c r="AO10" s="3" t="s">
        <v>247</v>
      </c>
      <c r="AP10" s="3" t="s">
        <v>244</v>
      </c>
      <c r="AQ10" s="3" t="s">
        <v>247</v>
      </c>
      <c r="AR10" s="3" t="s">
        <v>288</v>
      </c>
      <c r="AS10" s="3" t="s">
        <v>244</v>
      </c>
      <c r="AT10" s="3" t="s">
        <v>244</v>
      </c>
      <c r="AU10" s="3" t="s">
        <v>244</v>
      </c>
      <c r="AV10" s="3" t="s">
        <v>288</v>
      </c>
      <c r="AW10" s="3" t="s">
        <v>244</v>
      </c>
      <c r="AX10" s="3" t="s">
        <v>244</v>
      </c>
      <c r="AY10" s="3" t="s">
        <v>247</v>
      </c>
    </row>
    <row r="11" spans="1:52" ht="15.75" customHeight="1">
      <c r="A11" s="3">
        <v>565</v>
      </c>
      <c r="B11" s="5" t="str">
        <f t="shared" si="0"/>
        <v>http://roarmap.eprints.org/565/</v>
      </c>
      <c r="C11" s="3">
        <v>5</v>
      </c>
      <c r="D11" s="3" t="s">
        <v>98</v>
      </c>
      <c r="E11" s="3">
        <v>341</v>
      </c>
      <c r="F11" s="3" t="s">
        <v>400</v>
      </c>
      <c r="G11" s="3">
        <v>41988.924155092594</v>
      </c>
      <c r="H11" s="3">
        <v>42046.981747685182</v>
      </c>
      <c r="I11" s="3">
        <v>41988.924155092594</v>
      </c>
      <c r="J11" s="3" t="s">
        <v>103</v>
      </c>
      <c r="K11" s="3" t="s">
        <v>105</v>
      </c>
      <c r="L11" s="3" t="s">
        <v>401</v>
      </c>
      <c r="M11" s="3" t="s">
        <v>374</v>
      </c>
      <c r="N11" s="3" t="s">
        <v>402</v>
      </c>
      <c r="O11" s="3" t="s">
        <v>403</v>
      </c>
      <c r="P11" s="3" t="s">
        <v>215</v>
      </c>
      <c r="Q11" t="str">
        <f t="shared" si="1"/>
        <v>http://roarmap.eprints.org/view/country/036.html</v>
      </c>
      <c r="R11" s="3">
        <v>36</v>
      </c>
      <c r="S11" s="6" t="s">
        <v>75</v>
      </c>
      <c r="T11" s="9" t="s">
        <v>3940</v>
      </c>
      <c r="U11" s="7" t="s">
        <v>55</v>
      </c>
      <c r="V11" s="6" t="s">
        <v>55</v>
      </c>
      <c r="W11" s="3" t="s">
        <v>158</v>
      </c>
      <c r="X11" s="3" t="s">
        <v>160</v>
      </c>
      <c r="Y11" s="3" t="s">
        <v>401</v>
      </c>
      <c r="Z11" s="8" t="str">
        <f>HYPERLINK("http://www.anu.edu.au/","http://www.anu.edu.au/")</f>
        <v>http://www.anu.edu.au/</v>
      </c>
      <c r="AA11" s="8" t="str">
        <f>HYPERLINK("https://policies.anu.edu.au/ppl/document/ANUP_008802","https://policies.anu.edu.au/ppl/document/ANUP_008802")</f>
        <v>https://policies.anu.edu.au/ppl/document/ANUP_008802</v>
      </c>
      <c r="AB11" s="8" t="str">
        <f>HYPERLINK("https://digitalcollections.anu.edu.au/","https://digitalcollections.anu.edu.au/")</f>
        <v>https://digitalcollections.anu.edu.au/</v>
      </c>
      <c r="AC11" s="3">
        <v>41852</v>
      </c>
      <c r="AD11" s="3">
        <v>41852</v>
      </c>
      <c r="AF11" s="3" t="s">
        <v>177</v>
      </c>
      <c r="AG11" s="3" t="s">
        <v>178</v>
      </c>
      <c r="AH11" s="3" t="s">
        <v>180</v>
      </c>
      <c r="AI11" s="3" t="s">
        <v>371</v>
      </c>
      <c r="AJ11" s="3" t="s">
        <v>182</v>
      </c>
      <c r="AK11" s="3" t="s">
        <v>244</v>
      </c>
      <c r="AL11" s="3" t="s">
        <v>185</v>
      </c>
      <c r="AM11" s="3" t="s">
        <v>247</v>
      </c>
      <c r="AN11" s="3" t="s">
        <v>244</v>
      </c>
      <c r="AO11" s="3" t="s">
        <v>247</v>
      </c>
      <c r="AP11" s="3" t="s">
        <v>244</v>
      </c>
      <c r="AR11" s="3" t="s">
        <v>244</v>
      </c>
      <c r="AS11" s="3" t="s">
        <v>244</v>
      </c>
      <c r="AT11" s="3" t="s">
        <v>244</v>
      </c>
      <c r="AU11" s="3" t="s">
        <v>244</v>
      </c>
      <c r="AV11" s="3" t="s">
        <v>244</v>
      </c>
      <c r="AW11" s="3" t="s">
        <v>244</v>
      </c>
      <c r="AX11" s="3" t="s">
        <v>244</v>
      </c>
      <c r="AY11" s="3" t="s">
        <v>247</v>
      </c>
    </row>
    <row r="12" spans="1:52" ht="15.75" customHeight="1">
      <c r="A12" s="3">
        <v>566</v>
      </c>
      <c r="B12" s="5" t="str">
        <f t="shared" si="0"/>
        <v>http://roarmap.eprints.org/566/</v>
      </c>
      <c r="C12" s="3">
        <v>3</v>
      </c>
      <c r="D12" s="3" t="s">
        <v>98</v>
      </c>
      <c r="E12" s="3">
        <v>1</v>
      </c>
      <c r="F12" s="3" t="s">
        <v>404</v>
      </c>
      <c r="G12" s="3">
        <v>41988.924155092594</v>
      </c>
      <c r="H12" s="3">
        <v>41988.924155092594</v>
      </c>
      <c r="I12" s="3">
        <v>41988.924155092594</v>
      </c>
      <c r="J12" s="3" t="s">
        <v>103</v>
      </c>
      <c r="K12" s="3" t="s">
        <v>105</v>
      </c>
      <c r="L12" s="3" t="s">
        <v>405</v>
      </c>
      <c r="M12" s="3" t="s">
        <v>374</v>
      </c>
      <c r="N12" s="3" t="s">
        <v>406</v>
      </c>
      <c r="P12" s="3" t="s">
        <v>215</v>
      </c>
      <c r="Q12" t="str">
        <f t="shared" si="1"/>
        <v>http://roarmap.eprints.org/view/country/036.html</v>
      </c>
      <c r="R12" s="3">
        <v>36</v>
      </c>
      <c r="S12" s="6" t="s">
        <v>75</v>
      </c>
      <c r="T12" s="9" t="s">
        <v>3940</v>
      </c>
      <c r="U12" s="7" t="s">
        <v>55</v>
      </c>
      <c r="V12" s="6" t="s">
        <v>55</v>
      </c>
      <c r="W12" s="3" t="s">
        <v>158</v>
      </c>
      <c r="X12" s="3" t="s">
        <v>376</v>
      </c>
      <c r="Y12" s="3" t="s">
        <v>405</v>
      </c>
      <c r="Z12" s="8" t="str">
        <f>HYPERLINK("http://www.arc.gov.au/","http://www.arc.gov.au/")</f>
        <v>http://www.arc.gov.au/</v>
      </c>
      <c r="AA12" s="8" t="str">
        <f>HYPERLINK("http://www.arc.gov.au/applicants/open_access.htm","http://www.arc.gov.au/applicants/open_access.htm")</f>
        <v>http://www.arc.gov.au/applicants/open_access.htm</v>
      </c>
      <c r="AC12" s="3">
        <v>41275</v>
      </c>
      <c r="AF12" s="3" t="s">
        <v>177</v>
      </c>
      <c r="AG12" s="3" t="s">
        <v>178</v>
      </c>
      <c r="AH12" s="3" t="s">
        <v>370</v>
      </c>
      <c r="AI12" s="3" t="s">
        <v>371</v>
      </c>
      <c r="AJ12" s="3" t="s">
        <v>371</v>
      </c>
      <c r="AK12" s="3" t="s">
        <v>371</v>
      </c>
      <c r="AL12" s="3" t="s">
        <v>244</v>
      </c>
      <c r="AM12" s="3" t="s">
        <v>178</v>
      </c>
      <c r="AN12" s="3" t="s">
        <v>244</v>
      </c>
      <c r="AO12" s="3" t="s">
        <v>371</v>
      </c>
      <c r="AP12" s="3" t="s">
        <v>244</v>
      </c>
      <c r="AQ12" s="3" t="s">
        <v>386</v>
      </c>
      <c r="AR12" s="3" t="s">
        <v>288</v>
      </c>
      <c r="AS12" s="3" t="s">
        <v>288</v>
      </c>
      <c r="AT12" s="3" t="s">
        <v>244</v>
      </c>
      <c r="AU12" s="3" t="s">
        <v>244</v>
      </c>
      <c r="AV12" s="3" t="s">
        <v>288</v>
      </c>
      <c r="AW12" s="3" t="s">
        <v>339</v>
      </c>
      <c r="AX12" s="3" t="s">
        <v>244</v>
      </c>
      <c r="AY12" s="3" t="s">
        <v>247</v>
      </c>
    </row>
    <row r="13" spans="1:52" ht="15.75" customHeight="1">
      <c r="A13" s="3">
        <v>567</v>
      </c>
      <c r="B13" s="5" t="str">
        <f t="shared" si="0"/>
        <v>http://roarmap.eprints.org/567/</v>
      </c>
      <c r="C13" s="3">
        <v>4</v>
      </c>
      <c r="D13" s="3" t="s">
        <v>98</v>
      </c>
      <c r="E13" s="3">
        <v>342</v>
      </c>
      <c r="F13" s="3" t="s">
        <v>407</v>
      </c>
      <c r="G13" s="3">
        <v>41988.924155092594</v>
      </c>
      <c r="H13" s="3">
        <v>42046.981747685182</v>
      </c>
      <c r="I13" s="3">
        <v>41988.924155092594</v>
      </c>
      <c r="J13" s="3" t="s">
        <v>103</v>
      </c>
      <c r="K13" s="3" t="s">
        <v>105</v>
      </c>
      <c r="L13" s="3" t="s">
        <v>408</v>
      </c>
      <c r="M13" s="3" t="s">
        <v>374</v>
      </c>
      <c r="N13" s="3" t="s">
        <v>409</v>
      </c>
      <c r="P13" s="3" t="s">
        <v>215</v>
      </c>
      <c r="Q13" t="str">
        <f t="shared" si="1"/>
        <v>http://roarmap.eprints.org/view/country/036.html</v>
      </c>
      <c r="R13" s="3">
        <v>36</v>
      </c>
      <c r="S13" s="6" t="s">
        <v>75</v>
      </c>
      <c r="T13" s="9" t="s">
        <v>3940</v>
      </c>
      <c r="U13" s="7" t="s">
        <v>55</v>
      </c>
      <c r="V13" s="6" t="s">
        <v>55</v>
      </c>
      <c r="W13" s="3" t="s">
        <v>158</v>
      </c>
      <c r="X13" s="3" t="s">
        <v>160</v>
      </c>
      <c r="Y13" s="3" t="s">
        <v>408</v>
      </c>
      <c r="Z13" s="8" t="str">
        <f>HYPERLINK("http://www.bond.edu.au/","http://www.bond.edu.au/")</f>
        <v>http://www.bond.edu.au/</v>
      </c>
      <c r="AA13" s="8" t="str">
        <f>HYPERLINK("http://www.bond.edu.au/prod_ext/groups/public/@pub-qa-gen/documents/policy/bd3_027955.pdf","http://www.bond.edu.au/prod_ext/groups/public/@pub-qa-gen/documents/policy/bd3_027955.pdf")</f>
        <v>http://www.bond.edu.au/prod_ext/groups/public/@pub-qa-gen/documents/policy/bd3_027955.pdf</v>
      </c>
      <c r="AB13" s="8" t="str">
        <f>HYPERLINK("http://epublications.bond.edu.au/","http://epublications.bond.edu.au/")</f>
        <v>http://epublications.bond.edu.au/</v>
      </c>
      <c r="AC13" s="3">
        <v>41551</v>
      </c>
      <c r="AE13" s="3">
        <v>41505</v>
      </c>
      <c r="AF13" s="3" t="s">
        <v>244</v>
      </c>
      <c r="AG13" s="3" t="s">
        <v>244</v>
      </c>
      <c r="AH13" s="3" t="s">
        <v>180</v>
      </c>
      <c r="AI13" s="3" t="s">
        <v>244</v>
      </c>
      <c r="AJ13" s="3" t="s">
        <v>371</v>
      </c>
      <c r="AK13" s="3" t="s">
        <v>371</v>
      </c>
      <c r="AL13" s="3" t="s">
        <v>244</v>
      </c>
      <c r="AM13" s="3" t="s">
        <v>371</v>
      </c>
      <c r="AN13" s="3" t="s">
        <v>244</v>
      </c>
      <c r="AO13" s="3" t="s">
        <v>247</v>
      </c>
      <c r="AP13" s="3" t="s">
        <v>244</v>
      </c>
      <c r="AQ13" s="3" t="s">
        <v>386</v>
      </c>
      <c r="AR13" s="3" t="s">
        <v>288</v>
      </c>
      <c r="AS13" s="3" t="s">
        <v>288</v>
      </c>
      <c r="AT13" s="3" t="s">
        <v>244</v>
      </c>
      <c r="AU13" s="3" t="s">
        <v>244</v>
      </c>
      <c r="AV13" s="3" t="s">
        <v>288</v>
      </c>
      <c r="AW13" s="3" t="s">
        <v>339</v>
      </c>
      <c r="AX13" s="3" t="s">
        <v>341</v>
      </c>
      <c r="AY13" s="3" t="s">
        <v>247</v>
      </c>
    </row>
    <row r="14" spans="1:52" ht="15.75" customHeight="1">
      <c r="A14" s="3">
        <v>568</v>
      </c>
      <c r="B14" s="5" t="str">
        <f t="shared" si="0"/>
        <v>http://roarmap.eprints.org/568/</v>
      </c>
      <c r="C14" s="3">
        <v>3</v>
      </c>
      <c r="D14" s="3" t="s">
        <v>98</v>
      </c>
      <c r="E14" s="3">
        <v>1</v>
      </c>
      <c r="F14" s="3" t="s">
        <v>410</v>
      </c>
      <c r="G14" s="3">
        <v>41988.924155092594</v>
      </c>
      <c r="H14" s="3">
        <v>41988.924155092594</v>
      </c>
      <c r="I14" s="3">
        <v>41988.924155092594</v>
      </c>
      <c r="J14" s="3" t="s">
        <v>103</v>
      </c>
      <c r="K14" s="3" t="s">
        <v>105</v>
      </c>
      <c r="L14" s="3" t="s">
        <v>411</v>
      </c>
      <c r="M14" s="3" t="s">
        <v>374</v>
      </c>
      <c r="N14" s="3" t="s">
        <v>412</v>
      </c>
      <c r="P14" s="3" t="s">
        <v>215</v>
      </c>
      <c r="Q14" t="str">
        <f t="shared" si="1"/>
        <v>http://roarmap.eprints.org/view/country/036.html</v>
      </c>
      <c r="R14" s="3">
        <v>36</v>
      </c>
      <c r="S14" s="6" t="s">
        <v>75</v>
      </c>
      <c r="T14" s="9" t="s">
        <v>3940</v>
      </c>
      <c r="U14" s="7" t="s">
        <v>55</v>
      </c>
      <c r="V14" s="6" t="s">
        <v>55</v>
      </c>
      <c r="W14" s="3" t="s">
        <v>158</v>
      </c>
      <c r="X14" s="3" t="s">
        <v>160</v>
      </c>
      <c r="Y14" s="3" t="s">
        <v>411</v>
      </c>
      <c r="Z14" s="8" t="str">
        <f>HYPERLINK("http://www.csu.edu.au/","http://www.csu.edu.au/")</f>
        <v>http://www.csu.edu.au/</v>
      </c>
      <c r="AA14" s="8" t="str">
        <f>HYPERLINK("http://www.csu.edu.au/research/performance/cro/policy","http://www.csu.edu.au/research/performance/cro/policy")</f>
        <v>http://www.csu.edu.au/research/performance/cro/policy</v>
      </c>
      <c r="AB14" s="8" t="str">
        <f>HYPERLINK("http://digitool.unilinc.edu.au/R?func=search&amp;local_base=GEN01-CSU01","http://digitool.unilinc.edu.au/R?func=search&amp;local_base=GEN01-CSU01")</f>
        <v>http://digitool.unilinc.edu.au/R?func=search&amp;local_base=GEN01-CSU01</v>
      </c>
      <c r="AF14" s="3" t="s">
        <v>244</v>
      </c>
      <c r="AG14" s="3" t="s">
        <v>178</v>
      </c>
      <c r="AH14" s="3" t="s">
        <v>180</v>
      </c>
      <c r="AI14" s="3" t="s">
        <v>187</v>
      </c>
      <c r="AJ14" s="3" t="s">
        <v>371</v>
      </c>
      <c r="AK14" s="3" t="s">
        <v>371</v>
      </c>
      <c r="AL14" s="3" t="s">
        <v>244</v>
      </c>
      <c r="AM14" s="3" t="s">
        <v>178</v>
      </c>
      <c r="AN14" s="3" t="s">
        <v>244</v>
      </c>
      <c r="AO14" s="3" t="s">
        <v>247</v>
      </c>
      <c r="AP14" s="3" t="s">
        <v>244</v>
      </c>
      <c r="AQ14" s="3" t="s">
        <v>386</v>
      </c>
      <c r="AR14" s="3" t="s">
        <v>288</v>
      </c>
      <c r="AS14" s="3" t="s">
        <v>288</v>
      </c>
      <c r="AT14" s="3" t="s">
        <v>244</v>
      </c>
      <c r="AU14" s="3" t="s">
        <v>244</v>
      </c>
      <c r="AV14" s="3" t="s">
        <v>288</v>
      </c>
      <c r="AW14" s="3" t="s">
        <v>339</v>
      </c>
      <c r="AX14" s="3" t="s">
        <v>244</v>
      </c>
      <c r="AY14" s="3" t="s">
        <v>247</v>
      </c>
    </row>
    <row r="15" spans="1:52" ht="15.75" customHeight="1">
      <c r="A15" s="3">
        <v>569</v>
      </c>
      <c r="B15" s="5" t="str">
        <f t="shared" si="0"/>
        <v>http://roarmap.eprints.org/569/</v>
      </c>
      <c r="C15" s="3">
        <v>3</v>
      </c>
      <c r="D15" s="3" t="s">
        <v>98</v>
      </c>
      <c r="E15" s="3">
        <v>1</v>
      </c>
      <c r="F15" s="3" t="s">
        <v>413</v>
      </c>
      <c r="G15" s="3">
        <v>41988.924155092594</v>
      </c>
      <c r="H15" s="3">
        <v>41988.924155092594</v>
      </c>
      <c r="I15" s="3">
        <v>41988.924155092594</v>
      </c>
      <c r="J15" s="3" t="s">
        <v>103</v>
      </c>
      <c r="K15" s="3" t="s">
        <v>105</v>
      </c>
      <c r="L15" s="3" t="s">
        <v>414</v>
      </c>
      <c r="M15" s="3" t="s">
        <v>352</v>
      </c>
      <c r="N15" s="3" t="s">
        <v>415</v>
      </c>
      <c r="P15" s="3" t="s">
        <v>215</v>
      </c>
      <c r="Q15" t="str">
        <f t="shared" si="1"/>
        <v>http://roarmap.eprints.org/view/country/036.html</v>
      </c>
      <c r="R15" s="3">
        <v>36</v>
      </c>
      <c r="S15" s="6" t="s">
        <v>75</v>
      </c>
      <c r="T15" s="9" t="s">
        <v>3940</v>
      </c>
      <c r="U15" s="7" t="s">
        <v>55</v>
      </c>
      <c r="V15" s="6" t="s">
        <v>55</v>
      </c>
      <c r="W15" s="3" t="s">
        <v>158</v>
      </c>
      <c r="X15" s="3" t="s">
        <v>384</v>
      </c>
      <c r="Y15" s="3" t="s">
        <v>414</v>
      </c>
      <c r="Z15" s="8" t="str">
        <f>HYPERLINK("http://www.curtin.edu.au/","http://www.curtin.edu.au/")</f>
        <v>http://www.curtin.edu.au/</v>
      </c>
      <c r="AA15" s="8" t="str">
        <f>HYPERLINK("http://research.curtin.edu.au/local/docs/graduate/TE-DTGuidelines.pdf","http://research.curtin.edu.au/local/docs/graduate/TE-DTGuidelines.pdf")</f>
        <v>http://research.curtin.edu.au/local/docs/graduate/TE-DTGuidelines.pdf</v>
      </c>
      <c r="AB15" s="8" t="str">
        <f>HYPERLINK("http://espace.library.curtin.edu.au/R?func=search&amp;local_base=gen01-era02","http://espace.library.curtin.edu.au/R?func=search&amp;local_base=gen01-era02")</f>
        <v>http://espace.library.curtin.edu.au/R?func=search&amp;local_base=gen01-era02</v>
      </c>
      <c r="AE15" s="3">
        <v>40724</v>
      </c>
      <c r="AF15" s="3" t="s">
        <v>244</v>
      </c>
      <c r="AG15" s="3" t="s">
        <v>178</v>
      </c>
      <c r="AH15" s="3" t="s">
        <v>180</v>
      </c>
      <c r="AI15" s="3" t="s">
        <v>377</v>
      </c>
      <c r="AJ15" s="3" t="s">
        <v>385</v>
      </c>
      <c r="AK15" s="3" t="s">
        <v>183</v>
      </c>
      <c r="AL15" s="3" t="s">
        <v>244</v>
      </c>
      <c r="AM15" s="3" t="s">
        <v>178</v>
      </c>
      <c r="AN15" s="3" t="s">
        <v>244</v>
      </c>
      <c r="AO15" s="3" t="s">
        <v>378</v>
      </c>
      <c r="AP15" s="3" t="s">
        <v>244</v>
      </c>
      <c r="AQ15" s="3" t="s">
        <v>386</v>
      </c>
      <c r="AR15" s="3" t="s">
        <v>288</v>
      </c>
      <c r="AS15" s="3" t="s">
        <v>288</v>
      </c>
      <c r="AT15" s="3" t="s">
        <v>244</v>
      </c>
      <c r="AU15" s="3" t="s">
        <v>244</v>
      </c>
      <c r="AV15" s="3" t="s">
        <v>288</v>
      </c>
      <c r="AW15" s="3" t="s">
        <v>339</v>
      </c>
      <c r="AX15" s="3" t="s">
        <v>244</v>
      </c>
      <c r="AY15" s="3" t="s">
        <v>247</v>
      </c>
    </row>
    <row r="16" spans="1:52" ht="15.75" customHeight="1">
      <c r="A16" s="3">
        <v>570</v>
      </c>
      <c r="B16" s="5" t="str">
        <f t="shared" si="0"/>
        <v>http://roarmap.eprints.org/570/</v>
      </c>
      <c r="C16" s="3">
        <v>4</v>
      </c>
      <c r="D16" s="3" t="s">
        <v>98</v>
      </c>
      <c r="E16" s="3">
        <v>1</v>
      </c>
      <c r="F16" s="3" t="s">
        <v>416</v>
      </c>
      <c r="G16" s="3">
        <v>41988.924155092594</v>
      </c>
      <c r="H16" s="3">
        <v>42026.550902777781</v>
      </c>
      <c r="I16" s="3">
        <v>41988.924155092594</v>
      </c>
      <c r="J16" s="3" t="s">
        <v>103</v>
      </c>
      <c r="K16" s="3" t="s">
        <v>105</v>
      </c>
      <c r="L16" s="3" t="s">
        <v>417</v>
      </c>
      <c r="M16" s="3" t="s">
        <v>374</v>
      </c>
      <c r="N16" s="3" t="s">
        <v>418</v>
      </c>
      <c r="P16" s="3" t="s">
        <v>215</v>
      </c>
      <c r="Q16" t="str">
        <f t="shared" si="1"/>
        <v>http://roarmap.eprints.org/view/country/036.html</v>
      </c>
      <c r="R16" s="3">
        <v>36</v>
      </c>
      <c r="S16" s="6" t="s">
        <v>75</v>
      </c>
      <c r="T16" s="9" t="s">
        <v>3940</v>
      </c>
      <c r="U16" s="7" t="s">
        <v>55</v>
      </c>
      <c r="V16" s="6" t="s">
        <v>55</v>
      </c>
      <c r="W16" s="3" t="s">
        <v>158</v>
      </c>
      <c r="X16" s="3" t="s">
        <v>160</v>
      </c>
      <c r="Y16" s="3" t="s">
        <v>417</v>
      </c>
      <c r="Z16" s="8" t="str">
        <f>HYPERLINK("http://www.deakin.edu.au/","http://www.deakin.edu.au/")</f>
        <v>http://www.deakin.edu.au/</v>
      </c>
      <c r="AA16" s="8" t="str">
        <f>HYPERLINK("http://theguide.deakin.edu.au/TheGuide/TheGuide2011.nsf/191d0d51322b3a04ca2576be00064063/7299b3cb34d37e45ca257acb002546a3?OpenDocument","http://theguide.deakin.edu.au/TheGuide/TheGuide2011.nsf/191d0d51322b3a04ca2576be00064063/7299b3cb34d37e45ca257acb002546a3?OpenDocument")</f>
        <v>http://theguide.deakin.edu.au/TheGuide/TheGuide2011.nsf/191d0d51322b3a04ca2576be00064063/7299b3cb34d37e45ca257acb002546a3?OpenDocument</v>
      </c>
      <c r="AB16" s="8" t="str">
        <f>HYPERLINK("http://dro.deakin.edu.au/","http://dro.deakin.edu.au/")</f>
        <v>http://dro.deakin.edu.au/</v>
      </c>
      <c r="AC16" s="3">
        <v>41233</v>
      </c>
      <c r="AD16" s="3">
        <v>41233</v>
      </c>
      <c r="AE16" s="3">
        <v>41831</v>
      </c>
      <c r="AF16" s="3" t="s">
        <v>244</v>
      </c>
      <c r="AG16" s="3" t="s">
        <v>178</v>
      </c>
      <c r="AH16" s="3" t="s">
        <v>180</v>
      </c>
      <c r="AI16" s="3" t="s">
        <v>244</v>
      </c>
      <c r="AJ16" s="3" t="s">
        <v>182</v>
      </c>
      <c r="AK16" s="3" t="s">
        <v>244</v>
      </c>
      <c r="AL16" s="3" t="s">
        <v>189</v>
      </c>
      <c r="AM16" s="3" t="s">
        <v>371</v>
      </c>
      <c r="AN16" s="3" t="s">
        <v>189</v>
      </c>
      <c r="AO16" s="3" t="s">
        <v>247</v>
      </c>
      <c r="AP16" s="3" t="s">
        <v>244</v>
      </c>
      <c r="AQ16" s="3" t="s">
        <v>247</v>
      </c>
      <c r="AR16" s="3" t="s">
        <v>288</v>
      </c>
      <c r="AS16" s="3" t="s">
        <v>189</v>
      </c>
      <c r="AT16" s="3" t="s">
        <v>244</v>
      </c>
      <c r="AU16" s="3" t="s">
        <v>244</v>
      </c>
      <c r="AV16" s="3" t="s">
        <v>288</v>
      </c>
      <c r="AW16" s="3" t="s">
        <v>339</v>
      </c>
      <c r="AX16" s="3" t="s">
        <v>244</v>
      </c>
      <c r="AY16" s="3" t="s">
        <v>247</v>
      </c>
    </row>
    <row r="17" spans="1:51" ht="15.75" customHeight="1">
      <c r="A17" s="3">
        <v>571</v>
      </c>
      <c r="B17" s="5" t="str">
        <f t="shared" si="0"/>
        <v>http://roarmap.eprints.org/571/</v>
      </c>
      <c r="C17" s="3">
        <v>3</v>
      </c>
      <c r="D17" s="3" t="s">
        <v>98</v>
      </c>
      <c r="E17" s="3">
        <v>1</v>
      </c>
      <c r="F17" s="3" t="s">
        <v>419</v>
      </c>
      <c r="G17" s="3">
        <v>41988.924155092594</v>
      </c>
      <c r="H17" s="3">
        <v>41988.924166666664</v>
      </c>
      <c r="I17" s="3">
        <v>41988.924155092594</v>
      </c>
      <c r="J17" s="3" t="s">
        <v>103</v>
      </c>
      <c r="K17" s="3" t="s">
        <v>105</v>
      </c>
      <c r="L17" s="3" t="s">
        <v>420</v>
      </c>
      <c r="M17" s="3" t="s">
        <v>374</v>
      </c>
      <c r="N17" s="3" t="s">
        <v>421</v>
      </c>
      <c r="P17" s="3" t="s">
        <v>215</v>
      </c>
      <c r="Q17" t="str">
        <f t="shared" si="1"/>
        <v>http://roarmap.eprints.org/view/country/036.html</v>
      </c>
      <c r="R17" s="3">
        <v>36</v>
      </c>
      <c r="S17" s="6" t="s">
        <v>75</v>
      </c>
      <c r="T17" s="9" t="s">
        <v>3940</v>
      </c>
      <c r="U17" s="7" t="s">
        <v>55</v>
      </c>
      <c r="V17" s="6" t="s">
        <v>55</v>
      </c>
      <c r="W17" s="3" t="s">
        <v>158</v>
      </c>
      <c r="X17" s="3" t="s">
        <v>160</v>
      </c>
      <c r="Y17" s="3" t="s">
        <v>420</v>
      </c>
      <c r="Z17" s="8" t="str">
        <f>HYPERLINK("http://www.ecu.edu.au/","http://www.ecu.edu.au/")</f>
        <v>http://www.ecu.edu.au/</v>
      </c>
      <c r="AA17" s="8" t="str">
        <f>HYPERLINK("http://www.ecu.edu.au/GPPS/policies_db/tmp/ac081.pdf","http://www.ecu.edu.au/GPPS/policies_db/tmp/ac081.pdf")</f>
        <v>http://www.ecu.edu.au/GPPS/policies_db/tmp/ac081.pdf</v>
      </c>
      <c r="AB17" s="8" t="str">
        <f>HYPERLINK("http://ro.ecu.edu.au/","http://ro.ecu.edu.au/")</f>
        <v>http://ro.ecu.edu.au/</v>
      </c>
      <c r="AC17" s="3">
        <v>40084</v>
      </c>
      <c r="AE17" s="3">
        <v>41499</v>
      </c>
      <c r="AF17" s="3" t="s">
        <v>244</v>
      </c>
      <c r="AG17" s="3" t="s">
        <v>333</v>
      </c>
      <c r="AH17" s="3" t="s">
        <v>180</v>
      </c>
      <c r="AI17" s="3" t="s">
        <v>371</v>
      </c>
      <c r="AJ17" s="3" t="s">
        <v>371</v>
      </c>
      <c r="AK17" s="3" t="s">
        <v>371</v>
      </c>
      <c r="AL17" s="3" t="s">
        <v>288</v>
      </c>
      <c r="AM17" s="3" t="s">
        <v>247</v>
      </c>
      <c r="AN17" s="3" t="s">
        <v>244</v>
      </c>
      <c r="AO17" s="3" t="s">
        <v>181</v>
      </c>
      <c r="AP17" s="3" t="s">
        <v>244</v>
      </c>
      <c r="AQ17" s="3" t="s">
        <v>386</v>
      </c>
      <c r="AR17" s="3" t="s">
        <v>288</v>
      </c>
      <c r="AS17" s="3" t="s">
        <v>288</v>
      </c>
      <c r="AT17" s="3" t="s">
        <v>244</v>
      </c>
      <c r="AU17" s="3" t="s">
        <v>244</v>
      </c>
      <c r="AV17" s="3" t="s">
        <v>288</v>
      </c>
      <c r="AW17" s="3" t="s">
        <v>339</v>
      </c>
      <c r="AX17" s="3" t="s">
        <v>244</v>
      </c>
      <c r="AY17" s="3" t="s">
        <v>247</v>
      </c>
    </row>
    <row r="18" spans="1:51" ht="15.75" customHeight="1">
      <c r="A18" s="3">
        <v>572</v>
      </c>
      <c r="B18" s="5" t="str">
        <f t="shared" si="0"/>
        <v>http://roarmap.eprints.org/572/</v>
      </c>
      <c r="C18" s="3">
        <v>3</v>
      </c>
      <c r="D18" s="3" t="s">
        <v>98</v>
      </c>
      <c r="E18" s="3">
        <v>1</v>
      </c>
      <c r="F18" s="3" t="s">
        <v>422</v>
      </c>
      <c r="G18" s="3">
        <v>41988.924166666664</v>
      </c>
      <c r="H18" s="3">
        <v>41988.924166666664</v>
      </c>
      <c r="I18" s="3">
        <v>41988.924166666664</v>
      </c>
      <c r="J18" s="3" t="s">
        <v>103</v>
      </c>
      <c r="K18" s="3" t="s">
        <v>105</v>
      </c>
      <c r="L18" s="3" t="s">
        <v>423</v>
      </c>
      <c r="M18" s="3" t="s">
        <v>352</v>
      </c>
      <c r="N18" s="3" t="s">
        <v>398</v>
      </c>
      <c r="O18" s="3" t="s">
        <v>424</v>
      </c>
      <c r="P18" s="3" t="s">
        <v>215</v>
      </c>
      <c r="Q18" t="str">
        <f t="shared" si="1"/>
        <v>http://roarmap.eprints.org/view/country/036.html</v>
      </c>
      <c r="R18" s="3">
        <v>36</v>
      </c>
      <c r="S18" s="6" t="s">
        <v>75</v>
      </c>
      <c r="T18" s="9" t="s">
        <v>3940</v>
      </c>
      <c r="U18" s="7" t="s">
        <v>55</v>
      </c>
      <c r="V18" s="6" t="s">
        <v>55</v>
      </c>
      <c r="W18" s="3" t="s">
        <v>158</v>
      </c>
      <c r="X18" s="3" t="s">
        <v>160</v>
      </c>
      <c r="Y18" s="3" t="s">
        <v>423</v>
      </c>
      <c r="Z18" s="8" t="str">
        <f>HYPERLINK("http://www.griffith.edu.au/","http://www.griffith.edu.au/")</f>
        <v>http://www.griffith.edu.au/</v>
      </c>
      <c r="AG18" s="3" t="s">
        <v>244</v>
      </c>
      <c r="AH18" s="3" t="s">
        <v>244</v>
      </c>
      <c r="AI18" s="3" t="s">
        <v>244</v>
      </c>
      <c r="AJ18" s="3" t="s">
        <v>244</v>
      </c>
      <c r="AK18" s="3" t="s">
        <v>244</v>
      </c>
      <c r="AL18" s="3" t="s">
        <v>244</v>
      </c>
      <c r="AM18" s="3" t="s">
        <v>247</v>
      </c>
      <c r="AN18" s="3" t="s">
        <v>244</v>
      </c>
      <c r="AO18" s="3" t="s">
        <v>247</v>
      </c>
      <c r="AP18" s="3" t="s">
        <v>244</v>
      </c>
      <c r="AQ18" s="3" t="s">
        <v>247</v>
      </c>
      <c r="AR18" s="3" t="s">
        <v>288</v>
      </c>
      <c r="AS18" s="3" t="s">
        <v>244</v>
      </c>
      <c r="AT18" s="3" t="s">
        <v>244</v>
      </c>
      <c r="AU18" s="3" t="s">
        <v>244</v>
      </c>
      <c r="AV18" s="3" t="s">
        <v>288</v>
      </c>
      <c r="AW18" s="3" t="s">
        <v>244</v>
      </c>
      <c r="AX18" s="3" t="s">
        <v>244</v>
      </c>
      <c r="AY18" s="3" t="s">
        <v>247</v>
      </c>
    </row>
    <row r="19" spans="1:51" ht="15.75" customHeight="1">
      <c r="A19" s="3">
        <v>573</v>
      </c>
      <c r="B19" s="5" t="str">
        <f t="shared" si="0"/>
        <v>http://roarmap.eprints.org/573/</v>
      </c>
      <c r="C19" s="3">
        <v>3</v>
      </c>
      <c r="D19" s="3" t="s">
        <v>98</v>
      </c>
      <c r="E19" s="3">
        <v>1</v>
      </c>
      <c r="F19" s="3" t="s">
        <v>425</v>
      </c>
      <c r="G19" s="3">
        <v>41988.924166666664</v>
      </c>
      <c r="H19" s="3">
        <v>41988.924166666664</v>
      </c>
      <c r="I19" s="3">
        <v>41988.924166666664</v>
      </c>
      <c r="J19" s="3" t="s">
        <v>103</v>
      </c>
      <c r="K19" s="3" t="s">
        <v>105</v>
      </c>
      <c r="L19" s="3" t="s">
        <v>426</v>
      </c>
      <c r="M19" s="3" t="s">
        <v>374</v>
      </c>
      <c r="N19" s="3" t="s">
        <v>427</v>
      </c>
      <c r="P19" s="3" t="s">
        <v>215</v>
      </c>
      <c r="Q19" t="str">
        <f t="shared" si="1"/>
        <v>http://roarmap.eprints.org/view/country/036.html</v>
      </c>
      <c r="R19" s="3">
        <v>36</v>
      </c>
      <c r="S19" s="6" t="s">
        <v>75</v>
      </c>
      <c r="T19" s="9" t="s">
        <v>3940</v>
      </c>
      <c r="U19" s="7" t="s">
        <v>55</v>
      </c>
      <c r="V19" s="6" t="s">
        <v>55</v>
      </c>
      <c r="W19" s="3" t="s">
        <v>158</v>
      </c>
      <c r="X19" s="3" t="s">
        <v>160</v>
      </c>
      <c r="Y19" s="3" t="s">
        <v>426</v>
      </c>
      <c r="Z19" s="8" t="str">
        <f>HYPERLINK("http://www.jcu.edu.au/","http://www.jcu.edu.au/")</f>
        <v>http://www.jcu.edu.au/</v>
      </c>
      <c r="AA19" s="8" t="str">
        <f>HYPERLINK("http://www.jcu.edu.au/policy/information/allim/JCU_112859.html","http://www.jcu.edu.au/policy/information/allim/JCU_112859.html")</f>
        <v>http://www.jcu.edu.au/policy/information/allim/JCU_112859.html</v>
      </c>
      <c r="AB19" s="8" t="str">
        <f>HYPERLINK("http://researchonline.jcu.edu.au/","http://researchonline.jcu.edu.au/")</f>
        <v>http://researchonline.jcu.edu.au/</v>
      </c>
      <c r="AC19" s="3">
        <v>41171</v>
      </c>
      <c r="AD19" s="3">
        <v>41206</v>
      </c>
      <c r="AF19" s="3" t="s">
        <v>177</v>
      </c>
      <c r="AG19" s="3" t="s">
        <v>244</v>
      </c>
      <c r="AH19" s="3" t="s">
        <v>180</v>
      </c>
      <c r="AI19" s="3" t="s">
        <v>244</v>
      </c>
      <c r="AJ19" s="3" t="s">
        <v>371</v>
      </c>
      <c r="AK19" s="3" t="s">
        <v>393</v>
      </c>
      <c r="AL19" s="3" t="s">
        <v>244</v>
      </c>
      <c r="AM19" s="3" t="s">
        <v>371</v>
      </c>
      <c r="AN19" s="3" t="s">
        <v>244</v>
      </c>
      <c r="AO19" s="3" t="s">
        <v>247</v>
      </c>
      <c r="AP19" s="3" t="s">
        <v>244</v>
      </c>
      <c r="AQ19" s="3" t="s">
        <v>247</v>
      </c>
      <c r="AR19" s="3" t="s">
        <v>288</v>
      </c>
      <c r="AS19" s="3" t="s">
        <v>288</v>
      </c>
      <c r="AT19" s="3" t="s">
        <v>244</v>
      </c>
      <c r="AU19" s="3" t="s">
        <v>244</v>
      </c>
      <c r="AV19" s="3" t="s">
        <v>288</v>
      </c>
      <c r="AW19" s="3" t="s">
        <v>339</v>
      </c>
      <c r="AX19" s="3" t="s">
        <v>341</v>
      </c>
      <c r="AY19" s="3" t="s">
        <v>428</v>
      </c>
    </row>
    <row r="20" spans="1:51" ht="15.75" customHeight="1">
      <c r="A20" s="3">
        <v>574</v>
      </c>
      <c r="B20" s="5" t="str">
        <f t="shared" si="0"/>
        <v>http://roarmap.eprints.org/574/</v>
      </c>
      <c r="C20" s="3">
        <v>3</v>
      </c>
      <c r="D20" s="3" t="s">
        <v>98</v>
      </c>
      <c r="E20" s="3">
        <v>1</v>
      </c>
      <c r="F20" s="3" t="s">
        <v>429</v>
      </c>
      <c r="G20" s="3">
        <v>41988.924166666664</v>
      </c>
      <c r="H20" s="3">
        <v>41988.924166666664</v>
      </c>
      <c r="I20" s="3">
        <v>41988.924166666664</v>
      </c>
      <c r="J20" s="3" t="s">
        <v>103</v>
      </c>
      <c r="K20" s="3" t="s">
        <v>105</v>
      </c>
      <c r="L20" s="3" t="s">
        <v>430</v>
      </c>
      <c r="M20" s="3" t="s">
        <v>374</v>
      </c>
      <c r="N20" s="3" t="s">
        <v>431</v>
      </c>
      <c r="P20" s="3" t="s">
        <v>215</v>
      </c>
      <c r="Q20" t="str">
        <f t="shared" si="1"/>
        <v>http://roarmap.eprints.org/view/country/036.html</v>
      </c>
      <c r="R20" s="3">
        <v>36</v>
      </c>
      <c r="S20" s="6" t="s">
        <v>75</v>
      </c>
      <c r="T20" s="9" t="s">
        <v>3940</v>
      </c>
      <c r="U20" s="7" t="s">
        <v>55</v>
      </c>
      <c r="V20" s="6" t="s">
        <v>55</v>
      </c>
      <c r="W20" s="3" t="s">
        <v>158</v>
      </c>
      <c r="X20" s="3" t="s">
        <v>160</v>
      </c>
      <c r="Y20" s="3" t="s">
        <v>430</v>
      </c>
      <c r="Z20" s="8" t="str">
        <f>HYPERLINK("http://www.mq.edu.au/","http://www.mq.edu.au/")</f>
        <v>http://www.mq.edu.au/</v>
      </c>
      <c r="AA20" s="8" t="str">
        <f>HYPERLINK("http://www.mq.edu.au/policy/docs/open_access/policy.html","http://www.mq.edu.au/policy/docs/open_access/policy.html")</f>
        <v>http://www.mq.edu.au/policy/docs/open_access/policy.html</v>
      </c>
      <c r="AB20" s="8" t="str">
        <f>HYPERLINK("http://www.researchonline.mq.edu.au/vital/access/manager/Index","http://www.researchonline.mq.edu.au/vital/access/manager/Index")</f>
        <v>http://www.researchonline.mq.edu.au/vital/access/manager/Index</v>
      </c>
      <c r="AC20" s="3">
        <v>39687</v>
      </c>
      <c r="AD20" s="3">
        <v>39687</v>
      </c>
      <c r="AF20" s="3" t="s">
        <v>244</v>
      </c>
      <c r="AG20" s="3" t="s">
        <v>244</v>
      </c>
      <c r="AH20" s="3" t="s">
        <v>180</v>
      </c>
      <c r="AI20" s="3" t="s">
        <v>371</v>
      </c>
      <c r="AJ20" s="3" t="s">
        <v>182</v>
      </c>
      <c r="AK20" s="3" t="s">
        <v>393</v>
      </c>
      <c r="AL20" s="3" t="s">
        <v>244</v>
      </c>
      <c r="AM20" s="3" t="s">
        <v>371</v>
      </c>
      <c r="AN20" s="3" t="s">
        <v>244</v>
      </c>
      <c r="AO20" s="3" t="s">
        <v>371</v>
      </c>
      <c r="AP20" s="3" t="s">
        <v>244</v>
      </c>
      <c r="AQ20" s="3" t="s">
        <v>386</v>
      </c>
      <c r="AR20" s="3" t="s">
        <v>288</v>
      </c>
      <c r="AS20" s="3" t="s">
        <v>288</v>
      </c>
      <c r="AT20" s="3" t="s">
        <v>244</v>
      </c>
      <c r="AU20" s="3" t="s">
        <v>244</v>
      </c>
      <c r="AV20" s="3" t="s">
        <v>288</v>
      </c>
      <c r="AW20" s="3" t="s">
        <v>339</v>
      </c>
      <c r="AX20" s="3" t="s">
        <v>244</v>
      </c>
      <c r="AY20" s="3" t="s">
        <v>247</v>
      </c>
    </row>
    <row r="21" spans="1:51" ht="15.75" customHeight="1">
      <c r="A21" s="3">
        <v>575</v>
      </c>
      <c r="B21" s="5" t="str">
        <f t="shared" si="0"/>
        <v>http://roarmap.eprints.org/575/</v>
      </c>
      <c r="C21" s="3">
        <v>5</v>
      </c>
      <c r="D21" s="3" t="s">
        <v>98</v>
      </c>
      <c r="E21" s="3">
        <v>343</v>
      </c>
      <c r="F21" s="3" t="s">
        <v>432</v>
      </c>
      <c r="G21" s="3">
        <v>41988.924166666664</v>
      </c>
      <c r="H21" s="3">
        <v>42046.981747685182</v>
      </c>
      <c r="I21" s="3">
        <v>41988.924166666664</v>
      </c>
      <c r="J21" s="3" t="s">
        <v>103</v>
      </c>
      <c r="K21" s="3" t="s">
        <v>105</v>
      </c>
      <c r="L21" s="3" t="s">
        <v>433</v>
      </c>
      <c r="M21" s="3" t="s">
        <v>352</v>
      </c>
      <c r="N21" s="3" t="s">
        <v>434</v>
      </c>
      <c r="P21" s="3" t="s">
        <v>215</v>
      </c>
      <c r="Q21" t="str">
        <f t="shared" si="1"/>
        <v>http://roarmap.eprints.org/view/country/036.html</v>
      </c>
      <c r="R21" s="3">
        <v>36</v>
      </c>
      <c r="S21" s="6" t="s">
        <v>75</v>
      </c>
      <c r="T21" s="9" t="s">
        <v>3940</v>
      </c>
      <c r="U21" s="7" t="s">
        <v>55</v>
      </c>
      <c r="V21" s="6" t="s">
        <v>55</v>
      </c>
      <c r="W21" s="3" t="s">
        <v>158</v>
      </c>
      <c r="X21" s="3" t="s">
        <v>384</v>
      </c>
      <c r="Y21" s="3" t="s">
        <v>433</v>
      </c>
      <c r="Z21" s="8" t="str">
        <f>HYPERLINK("http://monash.edu/","http://monash.edu/")</f>
        <v>http://monash.edu/</v>
      </c>
      <c r="AA21" s="8" t="str">
        <f>HYPERLINK("http://www.monash.edu.au/migr/research-degrees/handbook/chapter-seven/7-6.html","http://www.monash.edu.au/migr/research-degrees/handbook/chapter-seven/7-6.html")</f>
        <v>http://www.monash.edu.au/migr/research-degrees/handbook/chapter-seven/7-6.html</v>
      </c>
      <c r="AB21" s="8" t="str">
        <f>HYPERLINK("http://arrow.monash.edu.au/vital/access/manager/Index","http://arrow.monash.edu.au/vital/access/manager/Index")</f>
        <v>http://arrow.monash.edu.au/vital/access/manager/Index</v>
      </c>
      <c r="AC21" s="3">
        <v>2005</v>
      </c>
      <c r="AF21" s="3" t="s">
        <v>244</v>
      </c>
      <c r="AG21" s="3" t="s">
        <v>244</v>
      </c>
      <c r="AH21" s="3" t="s">
        <v>180</v>
      </c>
      <c r="AI21" s="3" t="s">
        <v>244</v>
      </c>
      <c r="AJ21" s="3" t="s">
        <v>385</v>
      </c>
      <c r="AK21" s="3" t="s">
        <v>183</v>
      </c>
      <c r="AL21" s="3" t="s">
        <v>244</v>
      </c>
      <c r="AM21" s="3" t="s">
        <v>371</v>
      </c>
      <c r="AN21" s="3" t="s">
        <v>244</v>
      </c>
      <c r="AO21" s="3" t="s">
        <v>247</v>
      </c>
      <c r="AP21" s="3" t="s">
        <v>244</v>
      </c>
      <c r="AQ21" s="3" t="s">
        <v>386</v>
      </c>
      <c r="AR21" s="3" t="s">
        <v>288</v>
      </c>
      <c r="AS21" s="3" t="s">
        <v>288</v>
      </c>
      <c r="AT21" s="3" t="s">
        <v>244</v>
      </c>
      <c r="AU21" s="3" t="s">
        <v>244</v>
      </c>
      <c r="AV21" s="3" t="s">
        <v>288</v>
      </c>
      <c r="AW21" s="3" t="s">
        <v>339</v>
      </c>
      <c r="AX21" s="3" t="s">
        <v>244</v>
      </c>
      <c r="AY21" s="3" t="s">
        <v>247</v>
      </c>
    </row>
    <row r="22" spans="1:51" ht="15.75" customHeight="1">
      <c r="A22" s="3">
        <v>576</v>
      </c>
      <c r="B22" s="5" t="str">
        <f t="shared" si="0"/>
        <v>http://roarmap.eprints.org/576/</v>
      </c>
      <c r="C22" s="3">
        <v>3</v>
      </c>
      <c r="D22" s="3" t="s">
        <v>98</v>
      </c>
      <c r="E22" s="3">
        <v>1</v>
      </c>
      <c r="F22" s="3" t="s">
        <v>435</v>
      </c>
      <c r="G22" s="3">
        <v>41988.924166666664</v>
      </c>
      <c r="H22" s="3">
        <v>41988.924166666664</v>
      </c>
      <c r="I22" s="3">
        <v>41988.924166666664</v>
      </c>
      <c r="J22" s="3" t="s">
        <v>103</v>
      </c>
      <c r="K22" s="3" t="s">
        <v>105</v>
      </c>
      <c r="L22" s="3" t="s">
        <v>436</v>
      </c>
      <c r="M22" s="3" t="s">
        <v>352</v>
      </c>
      <c r="N22" s="3" t="s">
        <v>437</v>
      </c>
      <c r="P22" s="3" t="s">
        <v>215</v>
      </c>
      <c r="Q22" t="str">
        <f t="shared" si="1"/>
        <v>http://roarmap.eprints.org/view/country/036.html</v>
      </c>
      <c r="R22" s="3">
        <v>36</v>
      </c>
      <c r="S22" s="6" t="s">
        <v>75</v>
      </c>
      <c r="T22" s="9" t="s">
        <v>3940</v>
      </c>
      <c r="U22" s="7" t="s">
        <v>55</v>
      </c>
      <c r="V22" s="6" t="s">
        <v>55</v>
      </c>
      <c r="W22" s="3" t="s">
        <v>158</v>
      </c>
      <c r="X22" s="3" t="s">
        <v>384</v>
      </c>
      <c r="Y22" s="3" t="s">
        <v>436</v>
      </c>
      <c r="Z22" s="8" t="str">
        <f>HYPERLINK("http://www.murdoch.edu.au/","http://www.murdoch.edu.au/")</f>
        <v>http://www.murdoch.edu.au/</v>
      </c>
      <c r="AA22" s="8" t="str">
        <f>HYPERLINK("http://our.murdoch.edu.au/Research-and-Development/Resources-for-students/Thesis/Access-to-thesis/","http://our.murdoch.edu.au/Research-and-Development/Resources-for-students/Thesis/Access-to-thesis/")</f>
        <v>http://our.murdoch.edu.au/Research-and-Development/Resources-for-students/Thesis/Access-to-thesis/</v>
      </c>
      <c r="AB22" s="8" t="str">
        <f>HYPERLINK("http://researchrepository.murdoch.edu.au/","http://researchrepository.murdoch.edu.au/")</f>
        <v>http://researchrepository.murdoch.edu.au/</v>
      </c>
      <c r="AF22" s="3" t="s">
        <v>244</v>
      </c>
      <c r="AG22" s="3" t="s">
        <v>178</v>
      </c>
      <c r="AH22" s="3" t="s">
        <v>180</v>
      </c>
      <c r="AI22" s="3" t="s">
        <v>244</v>
      </c>
      <c r="AJ22" s="3" t="s">
        <v>385</v>
      </c>
      <c r="AK22" s="3" t="s">
        <v>183</v>
      </c>
      <c r="AL22" s="3" t="s">
        <v>244</v>
      </c>
      <c r="AM22" s="3" t="s">
        <v>178</v>
      </c>
      <c r="AN22" s="3" t="s">
        <v>244</v>
      </c>
      <c r="AO22" s="3" t="s">
        <v>247</v>
      </c>
      <c r="AP22" s="3" t="s">
        <v>244</v>
      </c>
      <c r="AQ22" s="3" t="s">
        <v>247</v>
      </c>
      <c r="AR22" s="3" t="s">
        <v>288</v>
      </c>
      <c r="AS22" s="3" t="s">
        <v>288</v>
      </c>
      <c r="AT22" s="3" t="s">
        <v>244</v>
      </c>
      <c r="AU22" s="3" t="s">
        <v>244</v>
      </c>
      <c r="AV22" s="3" t="s">
        <v>288</v>
      </c>
      <c r="AW22" s="3" t="s">
        <v>339</v>
      </c>
      <c r="AX22" s="3" t="s">
        <v>244</v>
      </c>
      <c r="AY22" s="3" t="s">
        <v>247</v>
      </c>
    </row>
    <row r="23" spans="1:51" ht="15.75" customHeight="1">
      <c r="A23" s="3">
        <v>577</v>
      </c>
      <c r="B23" s="5" t="str">
        <f t="shared" si="0"/>
        <v>http://roarmap.eprints.org/577/</v>
      </c>
      <c r="C23" s="3">
        <v>5</v>
      </c>
      <c r="D23" s="3" t="s">
        <v>98</v>
      </c>
      <c r="E23" s="3">
        <v>344</v>
      </c>
      <c r="F23" s="3" t="s">
        <v>438</v>
      </c>
      <c r="G23" s="3">
        <v>41988.924178240741</v>
      </c>
      <c r="H23" s="3">
        <v>42046.981747685182</v>
      </c>
      <c r="I23" s="3">
        <v>41988.924178240741</v>
      </c>
      <c r="J23" s="3" t="s">
        <v>103</v>
      </c>
      <c r="K23" s="3" t="s">
        <v>105</v>
      </c>
      <c r="L23" s="3" t="s">
        <v>439</v>
      </c>
      <c r="M23" s="3" t="s">
        <v>374</v>
      </c>
      <c r="N23" s="3" t="s">
        <v>440</v>
      </c>
      <c r="O23" s="3" t="s">
        <v>441</v>
      </c>
      <c r="P23" s="3" t="s">
        <v>215</v>
      </c>
      <c r="Q23" t="str">
        <f t="shared" si="1"/>
        <v>http://roarmap.eprints.org/view/country/036.html</v>
      </c>
      <c r="R23" s="3">
        <v>36</v>
      </c>
      <c r="S23" s="6" t="s">
        <v>75</v>
      </c>
      <c r="T23" s="9" t="s">
        <v>3940</v>
      </c>
      <c r="U23" s="7" t="s">
        <v>55</v>
      </c>
      <c r="V23" s="6" t="s">
        <v>55</v>
      </c>
      <c r="W23" s="3" t="s">
        <v>158</v>
      </c>
      <c r="X23" s="3" t="s">
        <v>376</v>
      </c>
      <c r="Y23" s="3" t="s">
        <v>439</v>
      </c>
      <c r="Z23" s="8" t="str">
        <f>HYPERLINK("http://www.nhmrc.gov.au/","http://www.nhmrc.gov.au/")</f>
        <v>http://www.nhmrc.gov.au/</v>
      </c>
      <c r="AA23" s="8" t="str">
        <f>HYPERLINK("http://www.nhmrc.gov.au/grants/policy/nhmrc-open-access-policy","http://www.nhmrc.gov.au/grants/policy/nhmrc-open-access-policy")</f>
        <v>http://www.nhmrc.gov.au/grants/policy/nhmrc-open-access-policy</v>
      </c>
      <c r="AB23" s="8" t="str">
        <f>HYPERLINK("http://www.nhmrc.gov.au/","http://www.nhmrc.gov.au/")</f>
        <v>http://www.nhmrc.gov.au/</v>
      </c>
      <c r="AC23" s="3">
        <v>41091</v>
      </c>
      <c r="AD23" s="3">
        <v>41091</v>
      </c>
      <c r="AE23" s="3">
        <v>41963</v>
      </c>
      <c r="AF23" s="3" t="s">
        <v>177</v>
      </c>
      <c r="AG23" s="3" t="s">
        <v>178</v>
      </c>
      <c r="AH23" s="3" t="s">
        <v>370</v>
      </c>
      <c r="AI23" s="3" t="s">
        <v>377</v>
      </c>
      <c r="AJ23" s="3" t="s">
        <v>182</v>
      </c>
      <c r="AK23" s="3" t="s">
        <v>244</v>
      </c>
      <c r="AL23" s="3" t="s">
        <v>244</v>
      </c>
      <c r="AM23" s="3" t="s">
        <v>178</v>
      </c>
      <c r="AN23" s="3" t="s">
        <v>244</v>
      </c>
      <c r="AO23" s="3" t="s">
        <v>378</v>
      </c>
      <c r="AP23" s="3" t="s">
        <v>244</v>
      </c>
      <c r="AQ23" s="3" t="s">
        <v>247</v>
      </c>
      <c r="AR23" s="3" t="s">
        <v>288</v>
      </c>
      <c r="AS23" s="3" t="s">
        <v>288</v>
      </c>
      <c r="AT23" s="3" t="s">
        <v>395</v>
      </c>
      <c r="AU23" s="3" t="s">
        <v>244</v>
      </c>
      <c r="AV23" s="3" t="s">
        <v>244</v>
      </c>
      <c r="AW23" s="3" t="s">
        <v>244</v>
      </c>
      <c r="AX23" s="3" t="s">
        <v>442</v>
      </c>
      <c r="AY23" s="3" t="s">
        <v>247</v>
      </c>
    </row>
    <row r="24" spans="1:51" ht="15.75" customHeight="1">
      <c r="A24" s="3">
        <v>578</v>
      </c>
      <c r="B24" s="5" t="str">
        <f t="shared" si="0"/>
        <v>http://roarmap.eprints.org/578/</v>
      </c>
      <c r="C24" s="3">
        <v>3</v>
      </c>
      <c r="D24" s="3" t="s">
        <v>98</v>
      </c>
      <c r="E24" s="3">
        <v>1</v>
      </c>
      <c r="F24" s="3" t="s">
        <v>443</v>
      </c>
      <c r="G24" s="3">
        <v>41988.924178240741</v>
      </c>
      <c r="H24" s="3">
        <v>41988.924178240741</v>
      </c>
      <c r="I24" s="3">
        <v>41988.924178240741</v>
      </c>
      <c r="J24" s="3" t="s">
        <v>103</v>
      </c>
      <c r="K24" s="3" t="s">
        <v>105</v>
      </c>
      <c r="L24" s="3" t="s">
        <v>444</v>
      </c>
      <c r="M24" s="3" t="s">
        <v>352</v>
      </c>
      <c r="N24" s="3" t="s">
        <v>398</v>
      </c>
      <c r="O24" s="3" t="s">
        <v>445</v>
      </c>
      <c r="P24" s="3" t="s">
        <v>215</v>
      </c>
      <c r="Q24" t="str">
        <f t="shared" si="1"/>
        <v>http://roarmap.eprints.org/view/country/036.html</v>
      </c>
      <c r="R24" s="3">
        <v>36</v>
      </c>
      <c r="S24" s="6" t="s">
        <v>75</v>
      </c>
      <c r="T24" s="9" t="s">
        <v>3940</v>
      </c>
      <c r="U24" s="7" t="s">
        <v>55</v>
      </c>
      <c r="V24" s="6" t="s">
        <v>55</v>
      </c>
      <c r="W24" s="3" t="s">
        <v>158</v>
      </c>
      <c r="X24" s="3" t="s">
        <v>160</v>
      </c>
      <c r="Y24" s="3" t="s">
        <v>444</v>
      </c>
      <c r="Z24" s="8" t="str">
        <f>HYPERLINK("http://www.nmit.edu.au/","http://www.nmit.edu.au/")</f>
        <v>http://www.nmit.edu.au/</v>
      </c>
      <c r="AG24" s="3" t="s">
        <v>244</v>
      </c>
      <c r="AH24" s="3" t="s">
        <v>244</v>
      </c>
      <c r="AI24" s="3" t="s">
        <v>244</v>
      </c>
      <c r="AJ24" s="3" t="s">
        <v>244</v>
      </c>
      <c r="AK24" s="3" t="s">
        <v>244</v>
      </c>
      <c r="AL24" s="3" t="s">
        <v>244</v>
      </c>
      <c r="AM24" s="3" t="s">
        <v>247</v>
      </c>
      <c r="AN24" s="3" t="s">
        <v>244</v>
      </c>
      <c r="AO24" s="3" t="s">
        <v>247</v>
      </c>
      <c r="AP24" s="3" t="s">
        <v>244</v>
      </c>
      <c r="AQ24" s="3" t="s">
        <v>247</v>
      </c>
      <c r="AR24" s="3" t="s">
        <v>288</v>
      </c>
      <c r="AS24" s="3" t="s">
        <v>244</v>
      </c>
      <c r="AT24" s="3" t="s">
        <v>244</v>
      </c>
      <c r="AU24" s="3" t="s">
        <v>244</v>
      </c>
      <c r="AV24" s="3" t="s">
        <v>288</v>
      </c>
      <c r="AW24" s="3" t="s">
        <v>244</v>
      </c>
      <c r="AX24" s="3" t="s">
        <v>244</v>
      </c>
      <c r="AY24" s="3" t="s">
        <v>247</v>
      </c>
    </row>
    <row r="25" spans="1:51" ht="15.75" customHeight="1">
      <c r="A25" s="3">
        <v>579</v>
      </c>
      <c r="B25" s="5" t="str">
        <f t="shared" si="0"/>
        <v>http://roarmap.eprints.org/579/</v>
      </c>
      <c r="C25" s="3">
        <v>4</v>
      </c>
      <c r="D25" s="3" t="s">
        <v>98</v>
      </c>
      <c r="E25" s="3">
        <v>1</v>
      </c>
      <c r="F25" s="3" t="s">
        <v>446</v>
      </c>
      <c r="G25" s="3">
        <v>41988.924178240741</v>
      </c>
      <c r="H25" s="3">
        <v>42012.483587962961</v>
      </c>
      <c r="I25" s="3">
        <v>41988.924178240741</v>
      </c>
      <c r="J25" s="3" t="s">
        <v>103</v>
      </c>
      <c r="K25" s="3" t="s">
        <v>105</v>
      </c>
      <c r="L25" s="3" t="s">
        <v>447</v>
      </c>
      <c r="M25" s="3" t="s">
        <v>374</v>
      </c>
      <c r="N25" s="3" t="s">
        <v>448</v>
      </c>
      <c r="P25" s="3" t="s">
        <v>215</v>
      </c>
      <c r="Q25" t="str">
        <f t="shared" si="1"/>
        <v>http://roarmap.eprints.org/view/country/036.html</v>
      </c>
      <c r="R25" s="3">
        <v>36</v>
      </c>
      <c r="S25" s="6" t="s">
        <v>75</v>
      </c>
      <c r="T25" s="9" t="s">
        <v>3940</v>
      </c>
      <c r="U25" s="7" t="s">
        <v>55</v>
      </c>
      <c r="V25" s="6" t="s">
        <v>55</v>
      </c>
      <c r="W25" s="3" t="s">
        <v>158</v>
      </c>
      <c r="X25" s="3" t="s">
        <v>160</v>
      </c>
      <c r="Y25" s="3" t="s">
        <v>447</v>
      </c>
      <c r="Z25" s="8" t="str">
        <f>HYPERLINK("http://www.qut.edu.au/","http://www.qut.edu.au/")</f>
        <v>http://www.qut.edu.au/</v>
      </c>
      <c r="AA25" s="8" t="str">
        <f>HYPERLINK("http://www.mopp.qut.edu.au/F/F_01_03.jsp","http://www.mopp.qut.edu.au/F/F_01_03.jsp")</f>
        <v>http://www.mopp.qut.edu.au/F/F_01_03.jsp</v>
      </c>
      <c r="AB25" s="8" t="str">
        <f>HYPERLINK("http://eprints.qut.edu.au/","http://eprints.qut.edu.au/")</f>
        <v>http://eprints.qut.edu.au/</v>
      </c>
      <c r="AC25" s="3">
        <v>37890</v>
      </c>
      <c r="AD25" s="3">
        <v>37987</v>
      </c>
      <c r="AF25" s="3" t="s">
        <v>177</v>
      </c>
      <c r="AG25" s="3" t="s">
        <v>178</v>
      </c>
      <c r="AH25" s="3" t="s">
        <v>180</v>
      </c>
      <c r="AI25" s="3" t="s">
        <v>244</v>
      </c>
      <c r="AJ25" s="3" t="s">
        <v>182</v>
      </c>
      <c r="AK25" s="3" t="s">
        <v>393</v>
      </c>
      <c r="AL25" s="3" t="s">
        <v>244</v>
      </c>
      <c r="AM25" s="3" t="s">
        <v>178</v>
      </c>
      <c r="AN25" s="3" t="s">
        <v>244</v>
      </c>
      <c r="AO25" s="3" t="s">
        <v>378</v>
      </c>
      <c r="AP25" s="3" t="s">
        <v>185</v>
      </c>
      <c r="AQ25" s="3" t="s">
        <v>386</v>
      </c>
      <c r="AR25" s="3" t="s">
        <v>288</v>
      </c>
      <c r="AS25" s="3" t="s">
        <v>288</v>
      </c>
      <c r="AT25" s="3" t="s">
        <v>395</v>
      </c>
      <c r="AU25" s="3" t="s">
        <v>395</v>
      </c>
      <c r="AV25" s="3" t="s">
        <v>244</v>
      </c>
      <c r="AW25" s="3" t="s">
        <v>339</v>
      </c>
      <c r="AX25" s="3" t="s">
        <v>244</v>
      </c>
      <c r="AY25" s="3" t="s">
        <v>247</v>
      </c>
    </row>
    <row r="26" spans="1:51" ht="15.75" customHeight="1">
      <c r="A26" s="3">
        <v>580</v>
      </c>
      <c r="B26" s="5" t="str">
        <f t="shared" si="0"/>
        <v>http://roarmap.eprints.org/580/</v>
      </c>
      <c r="C26" s="3">
        <v>4</v>
      </c>
      <c r="D26" s="3" t="s">
        <v>98</v>
      </c>
      <c r="E26" s="3">
        <v>1</v>
      </c>
      <c r="F26" s="3" t="s">
        <v>449</v>
      </c>
      <c r="G26" s="3">
        <v>41988.924178240741</v>
      </c>
      <c r="H26" s="3">
        <v>42066.706458333334</v>
      </c>
      <c r="I26" s="3">
        <v>41988.924178240741</v>
      </c>
      <c r="J26" s="3" t="s">
        <v>103</v>
      </c>
      <c r="K26" s="3" t="s">
        <v>105</v>
      </c>
      <c r="L26" s="3" t="s">
        <v>450</v>
      </c>
      <c r="M26" s="3" t="s">
        <v>352</v>
      </c>
      <c r="N26" s="3" t="s">
        <v>451</v>
      </c>
      <c r="P26" s="3" t="s">
        <v>215</v>
      </c>
      <c r="Q26" t="str">
        <f t="shared" si="1"/>
        <v>http://roarmap.eprints.org/view/country/036.html</v>
      </c>
      <c r="R26" s="3">
        <v>36</v>
      </c>
      <c r="S26" s="6" t="s">
        <v>75</v>
      </c>
      <c r="T26" s="9" t="s">
        <v>3940</v>
      </c>
      <c r="U26" s="7" t="s">
        <v>55</v>
      </c>
      <c r="V26" s="6" t="s">
        <v>55</v>
      </c>
      <c r="W26" s="3" t="s">
        <v>158</v>
      </c>
      <c r="X26" s="3" t="s">
        <v>384</v>
      </c>
      <c r="Y26" s="3" t="s">
        <v>450</v>
      </c>
      <c r="Z26" s="8" t="str">
        <f>HYPERLINK("http://www.rmit.edu.au/","http://www.rmit.edu.au/")</f>
        <v>http://www.rmit.edu.au/</v>
      </c>
      <c r="AA26" s="8" t="str">
        <f>HYPERLINK("http://rmit.com.au/browse/Staff%2FAdministration%2FPolicies%20and%20procedures%2FAcademic%20and%20research%2FHigher%20degrees%20by%20research%2FThesis%20policy%20(Higher%20degrees%20by%20research)/","http://rmit.com.au/browse/Staff%2FAdministration%2FPolicies%20and%20procedures%2FAcademic%20and%20research%2FHigher%20degrees%20by%20research%2FThesis%20policy%20(Higher%20degrees%20by%20research)/")</f>
        <v>http://rmit.com.au/browse/Staff%2FAdministration%2FPolicies%20and%20procedures%2FAcademic%20and%20research%2FHigher%20degrees%20by%20research%2FThesis%20policy%20(Higher%20degrees%20by%20research)/</v>
      </c>
      <c r="AB26" s="8" t="str">
        <f>HYPERLINK("http://researchbank.rmit.edu.au/","http://researchbank.rmit.edu.au/")</f>
        <v>http://researchbank.rmit.edu.au/</v>
      </c>
      <c r="AC26" s="3">
        <v>39912</v>
      </c>
      <c r="AF26" s="3" t="s">
        <v>244</v>
      </c>
      <c r="AG26" s="3" t="s">
        <v>244</v>
      </c>
      <c r="AH26" s="3" t="s">
        <v>244</v>
      </c>
      <c r="AI26" s="3" t="s">
        <v>244</v>
      </c>
      <c r="AJ26" s="3" t="s">
        <v>244</v>
      </c>
      <c r="AK26" s="3" t="s">
        <v>244</v>
      </c>
      <c r="AL26" s="3" t="s">
        <v>244</v>
      </c>
      <c r="AM26" s="3" t="s">
        <v>371</v>
      </c>
      <c r="AN26" s="3" t="s">
        <v>244</v>
      </c>
      <c r="AO26" s="3" t="s">
        <v>247</v>
      </c>
      <c r="AP26" s="3" t="s">
        <v>244</v>
      </c>
      <c r="AQ26" s="3" t="s">
        <v>247</v>
      </c>
      <c r="AR26" s="3" t="s">
        <v>288</v>
      </c>
      <c r="AS26" s="3" t="s">
        <v>288</v>
      </c>
      <c r="AT26" s="3" t="s">
        <v>244</v>
      </c>
      <c r="AU26" s="3" t="s">
        <v>244</v>
      </c>
      <c r="AV26" s="3" t="s">
        <v>288</v>
      </c>
      <c r="AW26" s="3" t="s">
        <v>339</v>
      </c>
      <c r="AX26" s="3" t="s">
        <v>244</v>
      </c>
      <c r="AY26" s="3" t="s">
        <v>247</v>
      </c>
    </row>
    <row r="27" spans="1:51" ht="15.75" customHeight="1">
      <c r="A27" s="3">
        <v>581</v>
      </c>
      <c r="B27" s="5" t="str">
        <f t="shared" si="0"/>
        <v>http://roarmap.eprints.org/581/</v>
      </c>
      <c r="C27" s="3">
        <v>3</v>
      </c>
      <c r="D27" s="3" t="s">
        <v>98</v>
      </c>
      <c r="E27" s="3">
        <v>1</v>
      </c>
      <c r="F27" s="3" t="s">
        <v>452</v>
      </c>
      <c r="G27" s="3">
        <v>41988.924178240741</v>
      </c>
      <c r="H27" s="3">
        <v>41988.924178240741</v>
      </c>
      <c r="I27" s="3">
        <v>41988.924178240741</v>
      </c>
      <c r="J27" s="3" t="s">
        <v>103</v>
      </c>
      <c r="K27" s="3" t="s">
        <v>105</v>
      </c>
      <c r="L27" s="3" t="s">
        <v>453</v>
      </c>
      <c r="M27" s="3" t="s">
        <v>352</v>
      </c>
      <c r="N27" s="3" t="s">
        <v>454</v>
      </c>
      <c r="P27" s="3" t="s">
        <v>215</v>
      </c>
      <c r="Q27" t="str">
        <f t="shared" si="1"/>
        <v>http://roarmap.eprints.org/view/country/036.html</v>
      </c>
      <c r="R27" s="3">
        <v>36</v>
      </c>
      <c r="S27" s="6" t="s">
        <v>75</v>
      </c>
      <c r="T27" s="9" t="s">
        <v>3940</v>
      </c>
      <c r="U27" s="7" t="s">
        <v>55</v>
      </c>
      <c r="V27" s="6" t="s">
        <v>55</v>
      </c>
      <c r="W27" s="3" t="s">
        <v>158</v>
      </c>
      <c r="X27" s="3" t="s">
        <v>384</v>
      </c>
      <c r="Y27" s="3" t="s">
        <v>453</v>
      </c>
      <c r="Z27" s="8" t="str">
        <f>HYPERLINK("http://www.swinburne.edu.au/","http://www.swinburne.edu.au/")</f>
        <v>http://www.swinburne.edu.au/</v>
      </c>
      <c r="AA27" s="8" t="str">
        <f>HYPERLINK("http://www.research.swinburne.edu.au/research-students/documents/format_of_examinable_outcome.pdf","http://www.research.swinburne.edu.au/research-students/documents/format_of_examinable_outcome.pdf")</f>
        <v>http://www.research.swinburne.edu.au/research-students/documents/format_of_examinable_outcome.pdf</v>
      </c>
      <c r="AB27" s="8" t="str">
        <f>HYPERLINK("http://researchbank.swinburne.edu.au/vital/access/manager/Index","http://researchbank.swinburne.edu.au/vital/access/manager/Index")</f>
        <v>http://researchbank.swinburne.edu.au/vital/access/manager/Index</v>
      </c>
      <c r="AF27" s="3" t="s">
        <v>244</v>
      </c>
      <c r="AG27" s="3" t="s">
        <v>178</v>
      </c>
      <c r="AH27" s="3" t="s">
        <v>180</v>
      </c>
      <c r="AI27" s="3" t="s">
        <v>371</v>
      </c>
      <c r="AJ27" s="3" t="s">
        <v>385</v>
      </c>
      <c r="AK27" s="3" t="s">
        <v>183</v>
      </c>
      <c r="AL27" s="3" t="s">
        <v>244</v>
      </c>
      <c r="AM27" s="3" t="s">
        <v>247</v>
      </c>
      <c r="AN27" s="3" t="s">
        <v>244</v>
      </c>
      <c r="AO27" s="3" t="s">
        <v>247</v>
      </c>
      <c r="AP27" s="3" t="s">
        <v>244</v>
      </c>
      <c r="AQ27" s="3" t="s">
        <v>247</v>
      </c>
      <c r="AR27" s="3" t="s">
        <v>288</v>
      </c>
      <c r="AS27" s="3" t="s">
        <v>288</v>
      </c>
      <c r="AT27" s="3" t="s">
        <v>244</v>
      </c>
      <c r="AU27" s="3" t="s">
        <v>244</v>
      </c>
      <c r="AV27" s="3" t="s">
        <v>288</v>
      </c>
      <c r="AW27" s="3" t="s">
        <v>339</v>
      </c>
      <c r="AX27" s="3" t="s">
        <v>244</v>
      </c>
      <c r="AY27" s="3" t="s">
        <v>247</v>
      </c>
    </row>
    <row r="28" spans="1:51" ht="15.75" customHeight="1">
      <c r="A28" s="3">
        <v>582</v>
      </c>
      <c r="B28" s="5" t="str">
        <f t="shared" si="0"/>
        <v>http://roarmap.eprints.org/582/</v>
      </c>
      <c r="C28" s="3">
        <v>5</v>
      </c>
      <c r="D28" s="3" t="s">
        <v>98</v>
      </c>
      <c r="E28" s="3">
        <v>345</v>
      </c>
      <c r="F28" s="3" t="s">
        <v>455</v>
      </c>
      <c r="G28" s="3">
        <v>41988.924178240741</v>
      </c>
      <c r="H28" s="3">
        <v>42046.981747685182</v>
      </c>
      <c r="I28" s="3">
        <v>41988.924178240741</v>
      </c>
      <c r="J28" s="3" t="s">
        <v>103</v>
      </c>
      <c r="K28" s="3" t="s">
        <v>105</v>
      </c>
      <c r="L28" s="3" t="s">
        <v>456</v>
      </c>
      <c r="M28" s="3" t="s">
        <v>352</v>
      </c>
      <c r="N28" s="3" t="s">
        <v>457</v>
      </c>
      <c r="O28" s="3" t="s">
        <v>458</v>
      </c>
      <c r="P28" s="3" t="s">
        <v>215</v>
      </c>
      <c r="Q28" t="str">
        <f t="shared" si="1"/>
        <v>http://roarmap.eprints.org/view/country/036.html</v>
      </c>
      <c r="R28" s="3">
        <v>36</v>
      </c>
      <c r="S28" s="6" t="s">
        <v>75</v>
      </c>
      <c r="T28" s="9" t="s">
        <v>3940</v>
      </c>
      <c r="U28" s="7" t="s">
        <v>55</v>
      </c>
      <c r="V28" s="6" t="s">
        <v>55</v>
      </c>
      <c r="W28" s="3" t="s">
        <v>158</v>
      </c>
      <c r="X28" s="3" t="s">
        <v>384</v>
      </c>
      <c r="Y28" s="3" t="s">
        <v>456</v>
      </c>
      <c r="Z28" s="8" t="str">
        <f>HYPERLINK("http://www.adelaide.edu.au/library/","http://www.adelaide.edu.au/library/")</f>
        <v>http://www.adelaide.edu.au/library/</v>
      </c>
      <c r="AA28" s="8" t="str">
        <f>HYPERLINK("http://www.adelaide.edu.au/graduatecentre/handbook/09-examination/09-final-form-of-thesis/","http://www.adelaide.edu.au/graduatecentre/handbook/09-examination/09-final-form-of-thesis/")</f>
        <v>http://www.adelaide.edu.au/graduatecentre/handbook/09-examination/09-final-form-of-thesis/</v>
      </c>
      <c r="AB28" s="8" t="str">
        <f>HYPERLINK("http://digital.library.adelaide.edu.au/dspace/","http://digital.library.adelaide.edu.au/dspace/")</f>
        <v>http://digital.library.adelaide.edu.au/dspace/</v>
      </c>
      <c r="AC28" s="3">
        <v>2007</v>
      </c>
      <c r="AD28" s="3">
        <v>2007</v>
      </c>
      <c r="AF28" s="3" t="s">
        <v>177</v>
      </c>
      <c r="AG28" s="3" t="s">
        <v>178</v>
      </c>
      <c r="AH28" s="3" t="s">
        <v>180</v>
      </c>
      <c r="AI28" s="3" t="s">
        <v>244</v>
      </c>
      <c r="AJ28" s="3" t="s">
        <v>385</v>
      </c>
      <c r="AK28" s="3" t="s">
        <v>244</v>
      </c>
      <c r="AL28" s="3" t="s">
        <v>185</v>
      </c>
      <c r="AM28" s="3" t="s">
        <v>178</v>
      </c>
      <c r="AN28" s="3" t="s">
        <v>185</v>
      </c>
      <c r="AO28" s="3" t="s">
        <v>247</v>
      </c>
      <c r="AP28" s="3" t="s">
        <v>185</v>
      </c>
      <c r="AQ28" s="3" t="s">
        <v>394</v>
      </c>
      <c r="AR28" s="3" t="s">
        <v>288</v>
      </c>
      <c r="AS28" s="3" t="s">
        <v>288</v>
      </c>
      <c r="AT28" s="3" t="s">
        <v>459</v>
      </c>
      <c r="AU28" s="3" t="s">
        <v>459</v>
      </c>
      <c r="AV28" s="3" t="s">
        <v>288</v>
      </c>
      <c r="AW28" s="3" t="s">
        <v>339</v>
      </c>
      <c r="AX28" s="3" t="s">
        <v>244</v>
      </c>
      <c r="AY28" s="3" t="s">
        <v>247</v>
      </c>
    </row>
    <row r="29" spans="1:51" ht="15.75" customHeight="1">
      <c r="A29" s="3">
        <v>585</v>
      </c>
      <c r="B29" s="5" t="str">
        <f t="shared" si="0"/>
        <v>http://roarmap.eprints.org/585/</v>
      </c>
      <c r="C29" s="3">
        <v>3</v>
      </c>
      <c r="D29" s="3" t="s">
        <v>98</v>
      </c>
      <c r="E29" s="3">
        <v>1</v>
      </c>
      <c r="F29" s="3" t="s">
        <v>460</v>
      </c>
      <c r="G29" s="3">
        <v>41988.924189814818</v>
      </c>
      <c r="H29" s="3">
        <v>41988.924189814818</v>
      </c>
      <c r="I29" s="3">
        <v>41988.924189814818</v>
      </c>
      <c r="J29" s="3" t="s">
        <v>103</v>
      </c>
      <c r="K29" s="3" t="s">
        <v>105</v>
      </c>
      <c r="L29" s="3" t="s">
        <v>461</v>
      </c>
      <c r="M29" s="3" t="s">
        <v>352</v>
      </c>
      <c r="N29" s="3" t="s">
        <v>462</v>
      </c>
      <c r="P29" s="3" t="s">
        <v>215</v>
      </c>
      <c r="Q29" t="str">
        <f t="shared" si="1"/>
        <v>http://roarmap.eprints.org/view/country/036.html</v>
      </c>
      <c r="R29" s="3">
        <v>36</v>
      </c>
      <c r="S29" s="6" t="s">
        <v>75</v>
      </c>
      <c r="T29" s="9" t="s">
        <v>3940</v>
      </c>
      <c r="U29" s="7" t="s">
        <v>55</v>
      </c>
      <c r="V29" s="6" t="s">
        <v>55</v>
      </c>
      <c r="W29" s="3" t="s">
        <v>158</v>
      </c>
      <c r="X29" s="3" t="s">
        <v>384</v>
      </c>
      <c r="Y29" s="3" t="s">
        <v>461</v>
      </c>
      <c r="Z29" s="8" t="str">
        <f>HYPERLINK("http://www.cqu.edu.au/","http://www.cqu.edu.au/")</f>
        <v>http://www.cqu.edu.au/</v>
      </c>
      <c r="AA29" s="8" t="str">
        <f>HYPERLINK("http://policy.cqu.edu.au/Policy/policy_file.do?policyid=749","http://policy.cqu.edu.au/Policy/policy_file.do?policyid=749")</f>
        <v>http://policy.cqu.edu.au/Policy/policy_file.do?policyid=749</v>
      </c>
      <c r="AB29" s="8" t="str">
        <f>HYPERLINK("http://acquire.cqu.edu.au:8080/vital/access/manager/Index;jsessionid=FFC11B0893745BB8866A84B2195746AE","http://acquire.cqu.edu.au:8080/vital/access/manager/Index;jsessionid=FFC11B0893745BB8866A84B2195746AE")</f>
        <v>http://acquire.cqu.edu.au:8080/vital/access/manager/Index;jsessionid=FFC11B0893745BB8866A84B2195746AE</v>
      </c>
      <c r="AF29" s="3" t="s">
        <v>244</v>
      </c>
      <c r="AG29" s="3" t="s">
        <v>244</v>
      </c>
      <c r="AH29" s="3" t="s">
        <v>463</v>
      </c>
      <c r="AI29" s="3" t="s">
        <v>244</v>
      </c>
      <c r="AJ29" s="3" t="s">
        <v>385</v>
      </c>
      <c r="AK29" s="3" t="s">
        <v>183</v>
      </c>
      <c r="AL29" s="3" t="s">
        <v>244</v>
      </c>
      <c r="AM29" s="3" t="s">
        <v>371</v>
      </c>
      <c r="AN29" s="3" t="s">
        <v>244</v>
      </c>
      <c r="AO29" s="3" t="s">
        <v>247</v>
      </c>
      <c r="AP29" s="3" t="s">
        <v>244</v>
      </c>
      <c r="AQ29" s="3" t="s">
        <v>247</v>
      </c>
      <c r="AR29" s="3" t="s">
        <v>288</v>
      </c>
      <c r="AS29" s="3" t="s">
        <v>288</v>
      </c>
      <c r="AT29" s="3" t="s">
        <v>395</v>
      </c>
      <c r="AU29" s="3" t="s">
        <v>395</v>
      </c>
      <c r="AV29" s="3" t="s">
        <v>244</v>
      </c>
      <c r="AW29" s="3" t="s">
        <v>339</v>
      </c>
      <c r="AX29" s="3" t="s">
        <v>244</v>
      </c>
      <c r="AY29" s="3" t="s">
        <v>247</v>
      </c>
    </row>
    <row r="30" spans="1:51" ht="15.75" customHeight="1">
      <c r="A30" s="3">
        <v>583</v>
      </c>
      <c r="B30" s="5" t="str">
        <f t="shared" si="0"/>
        <v>http://roarmap.eprints.org/583/</v>
      </c>
      <c r="C30" s="3">
        <v>3</v>
      </c>
      <c r="D30" s="3" t="s">
        <v>98</v>
      </c>
      <c r="E30" s="3">
        <v>1</v>
      </c>
      <c r="F30" s="3" t="s">
        <v>464</v>
      </c>
      <c r="G30" s="3">
        <v>41988.924189814818</v>
      </c>
      <c r="H30" s="3">
        <v>41988.924189814818</v>
      </c>
      <c r="I30" s="3">
        <v>41988.924189814818</v>
      </c>
      <c r="J30" s="3" t="s">
        <v>103</v>
      </c>
      <c r="K30" s="3" t="s">
        <v>105</v>
      </c>
      <c r="L30" s="3" t="s">
        <v>465</v>
      </c>
      <c r="M30" s="3" t="s">
        <v>352</v>
      </c>
      <c r="N30" s="3" t="s">
        <v>466</v>
      </c>
      <c r="P30" s="3" t="s">
        <v>215</v>
      </c>
      <c r="Q30" t="str">
        <f t="shared" si="1"/>
        <v>http://roarmap.eprints.org/view/country/036.html</v>
      </c>
      <c r="R30" s="3">
        <v>36</v>
      </c>
      <c r="S30" s="6" t="s">
        <v>75</v>
      </c>
      <c r="T30" s="9" t="s">
        <v>3940</v>
      </c>
      <c r="U30" s="7" t="s">
        <v>55</v>
      </c>
      <c r="V30" s="6" t="s">
        <v>55</v>
      </c>
      <c r="W30" s="3" t="s">
        <v>158</v>
      </c>
      <c r="X30" s="3" t="s">
        <v>384</v>
      </c>
      <c r="Y30" s="3" t="s">
        <v>465</v>
      </c>
      <c r="Z30" s="8" t="str">
        <f>HYPERLINK("http://www.unimelb.edu.au/","http://www.unimelb.edu.au/")</f>
        <v>http://www.unimelb.edu.au/</v>
      </c>
      <c r="AA30" s="8" t="str">
        <f>HYPERLINK("http://gradresearch.unimelb.edu.au/exams/digital-thesis.html","http://gradresearch.unimelb.edu.au/exams/digital-thesis.html")</f>
        <v>http://gradresearch.unimelb.edu.au/exams/digital-thesis.html</v>
      </c>
      <c r="AB30" s="8" t="str">
        <f>HYPERLINK("http://library.unimelb.edu.au/digitalcollections/research_collections","http://library.unimelb.edu.au/digitalcollections/research_collections")</f>
        <v>http://library.unimelb.edu.au/digitalcollections/research_collections</v>
      </c>
      <c r="AD30" s="3">
        <v>39083</v>
      </c>
      <c r="AF30" s="3" t="s">
        <v>177</v>
      </c>
      <c r="AG30" s="3" t="s">
        <v>178</v>
      </c>
      <c r="AH30" s="3" t="s">
        <v>180</v>
      </c>
      <c r="AI30" s="3" t="s">
        <v>244</v>
      </c>
      <c r="AJ30" s="3" t="s">
        <v>385</v>
      </c>
      <c r="AK30" s="3" t="s">
        <v>183</v>
      </c>
      <c r="AL30" s="3" t="s">
        <v>244</v>
      </c>
      <c r="AM30" s="3" t="s">
        <v>371</v>
      </c>
      <c r="AN30" s="3" t="s">
        <v>244</v>
      </c>
      <c r="AO30" s="3" t="s">
        <v>247</v>
      </c>
      <c r="AP30" s="3" t="s">
        <v>244</v>
      </c>
      <c r="AQ30" s="3" t="s">
        <v>247</v>
      </c>
      <c r="AR30" s="3" t="s">
        <v>288</v>
      </c>
      <c r="AS30" s="3" t="s">
        <v>288</v>
      </c>
      <c r="AT30" s="3" t="s">
        <v>244</v>
      </c>
      <c r="AU30" s="3" t="s">
        <v>244</v>
      </c>
      <c r="AV30" s="3" t="s">
        <v>288</v>
      </c>
      <c r="AW30" s="3" t="s">
        <v>339</v>
      </c>
      <c r="AX30" s="3" t="s">
        <v>244</v>
      </c>
      <c r="AY30" s="3" t="s">
        <v>247</v>
      </c>
    </row>
    <row r="31" spans="1:51" ht="15.75" customHeight="1">
      <c r="A31" s="3">
        <v>586</v>
      </c>
      <c r="B31" s="5" t="str">
        <f t="shared" si="0"/>
        <v>http://roarmap.eprints.org/586/</v>
      </c>
      <c r="C31" s="3">
        <v>3</v>
      </c>
      <c r="D31" s="3" t="s">
        <v>98</v>
      </c>
      <c r="E31" s="3">
        <v>1</v>
      </c>
      <c r="F31" s="3" t="s">
        <v>467</v>
      </c>
      <c r="G31" s="3">
        <v>41988.924189814818</v>
      </c>
      <c r="H31" s="3">
        <v>41988.924189814818</v>
      </c>
      <c r="I31" s="3">
        <v>41988.924189814818</v>
      </c>
      <c r="J31" s="3" t="s">
        <v>103</v>
      </c>
      <c r="K31" s="3" t="s">
        <v>105</v>
      </c>
      <c r="L31" s="3" t="s">
        <v>468</v>
      </c>
      <c r="M31" s="3" t="s">
        <v>469</v>
      </c>
      <c r="N31" s="3" t="s">
        <v>470</v>
      </c>
      <c r="P31" s="3" t="s">
        <v>215</v>
      </c>
      <c r="Q31" t="str">
        <f t="shared" si="1"/>
        <v>http://roarmap.eprints.org/view/country/036.html</v>
      </c>
      <c r="R31" s="3">
        <v>36</v>
      </c>
      <c r="S31" s="6" t="s">
        <v>75</v>
      </c>
      <c r="T31" s="9" t="s">
        <v>3940</v>
      </c>
      <c r="U31" s="7" t="s">
        <v>55</v>
      </c>
      <c r="V31" s="6" t="s">
        <v>55</v>
      </c>
      <c r="W31" s="3" t="s">
        <v>158</v>
      </c>
      <c r="X31" s="3" t="s">
        <v>384</v>
      </c>
      <c r="Y31" s="3" t="s">
        <v>468</v>
      </c>
      <c r="Z31" s="8" t="str">
        <f>HYPERLINK("http://www.unsw.edu.au/","http://www.unsw.edu.au/")</f>
        <v>http://www.unsw.edu.au/</v>
      </c>
      <c r="AA31" s="8" t="str">
        <f>HYPERLINK("http://research.unsw.edu.au/document/thesis_format_guide.pdf","http://research.unsw.edu.au/document/thesis_format_guide.pdf")</f>
        <v>http://research.unsw.edu.au/document/thesis_format_guide.pdf</v>
      </c>
      <c r="AB31" s="8" t="str">
        <f>HYPERLINK("http://www.unsworks.unsw.edu.au/primo_library/libweb/action/search.do?dscnt=1&amp;dstmp=1401409982283&amp;vid=UNSWORKS&amp;fromLogin=true","http://www.unsworks.unsw.edu.au/primo_library/libweb/action/search.do?dscnt=1&amp;dstmp=1401409982283&amp;vid=UNSWORKS&amp;fromLogin=true")</f>
        <v>http://www.unsworks.unsw.edu.au/primo_library/libweb/action/search.do?dscnt=1&amp;dstmp=1401409982283&amp;vid=UNSWORKS&amp;fromLogin=true</v>
      </c>
      <c r="AF31" s="3" t="s">
        <v>244</v>
      </c>
      <c r="AG31" s="3" t="s">
        <v>178</v>
      </c>
      <c r="AH31" s="3" t="s">
        <v>244</v>
      </c>
      <c r="AI31" s="3" t="s">
        <v>244</v>
      </c>
      <c r="AJ31" s="3" t="s">
        <v>385</v>
      </c>
      <c r="AK31" s="3" t="s">
        <v>183</v>
      </c>
      <c r="AL31" s="3" t="s">
        <v>244</v>
      </c>
      <c r="AM31" s="3" t="s">
        <v>371</v>
      </c>
      <c r="AN31" s="3" t="s">
        <v>244</v>
      </c>
      <c r="AO31" s="3" t="s">
        <v>247</v>
      </c>
      <c r="AP31" s="3" t="s">
        <v>244</v>
      </c>
      <c r="AQ31" s="3" t="s">
        <v>386</v>
      </c>
      <c r="AR31" s="3" t="s">
        <v>288</v>
      </c>
      <c r="AS31" s="3" t="s">
        <v>288</v>
      </c>
      <c r="AT31" s="3" t="s">
        <v>244</v>
      </c>
      <c r="AU31" s="3" t="s">
        <v>244</v>
      </c>
      <c r="AV31" s="3" t="s">
        <v>288</v>
      </c>
      <c r="AW31" s="3" t="s">
        <v>339</v>
      </c>
      <c r="AX31" s="3" t="s">
        <v>244</v>
      </c>
      <c r="AY31" s="3" t="s">
        <v>247</v>
      </c>
    </row>
    <row r="32" spans="1:51" ht="15.75" customHeight="1">
      <c r="A32" s="3">
        <v>587</v>
      </c>
      <c r="B32" s="5" t="str">
        <f t="shared" si="0"/>
        <v>http://roarmap.eprints.org/587/</v>
      </c>
      <c r="C32" s="3">
        <v>3</v>
      </c>
      <c r="D32" s="3" t="s">
        <v>98</v>
      </c>
      <c r="E32" s="3">
        <v>1</v>
      </c>
      <c r="F32" s="3" t="s">
        <v>471</v>
      </c>
      <c r="G32" s="3">
        <v>41988.924189814818</v>
      </c>
      <c r="H32" s="3">
        <v>41988.924189814818</v>
      </c>
      <c r="I32" s="3">
        <v>41988.924189814818</v>
      </c>
      <c r="J32" s="3" t="s">
        <v>103</v>
      </c>
      <c r="K32" s="3" t="s">
        <v>105</v>
      </c>
      <c r="L32" s="3" t="s">
        <v>472</v>
      </c>
      <c r="M32" s="3" t="s">
        <v>374</v>
      </c>
      <c r="N32" s="3" t="s">
        <v>473</v>
      </c>
      <c r="P32" s="3" t="s">
        <v>215</v>
      </c>
      <c r="Q32" t="str">
        <f t="shared" si="1"/>
        <v>http://roarmap.eprints.org/view/country/036.html</v>
      </c>
      <c r="R32" s="3">
        <v>36</v>
      </c>
      <c r="S32" s="6" t="s">
        <v>75</v>
      </c>
      <c r="T32" s="9" t="s">
        <v>3940</v>
      </c>
      <c r="U32" s="7" t="s">
        <v>55</v>
      </c>
      <c r="V32" s="6" t="s">
        <v>55</v>
      </c>
      <c r="W32" s="3" t="s">
        <v>158</v>
      </c>
      <c r="X32" s="3" t="s">
        <v>160</v>
      </c>
      <c r="Y32" s="3" t="s">
        <v>472</v>
      </c>
      <c r="Z32" s="8" t="str">
        <f>HYPERLINK("http://www.newcastle.edu.au/","http://www.newcastle.edu.au/")</f>
        <v>http://www.newcastle.edu.au/</v>
      </c>
      <c r="AA32" s="8" t="str">
        <f>HYPERLINK("http://www.newcastle.edu.au/about-uon/governance-and-leadership/policy-library/document?RecordNumber=D09_2070%5bV6%5d","http://www.newcastle.edu.au/about-uon/governance-and-leadership/policy-library/document?RecordNumber=D09_2070[V6]")</f>
        <v>http://www.newcastle.edu.au/about-uon/governance-and-leadership/policy-library/document?RecordNumber=D09_2070[V6]</v>
      </c>
      <c r="AB32" s="8" t="str">
        <f>HYPERLINK("http://nova.newcastle.edu.au/vital/access/manager/Index","http://nova.newcastle.edu.au/vital/access/manager/Index")</f>
        <v>http://nova.newcastle.edu.au/vital/access/manager/Index</v>
      </c>
      <c r="AC32" s="3">
        <v>39932</v>
      </c>
      <c r="AE32" s="3">
        <v>41115</v>
      </c>
      <c r="AF32" s="3" t="s">
        <v>244</v>
      </c>
      <c r="AG32" s="3" t="s">
        <v>244</v>
      </c>
      <c r="AH32" s="3" t="s">
        <v>180</v>
      </c>
      <c r="AI32" s="3" t="s">
        <v>244</v>
      </c>
      <c r="AJ32" s="3" t="s">
        <v>182</v>
      </c>
      <c r="AK32" s="3" t="s">
        <v>393</v>
      </c>
      <c r="AL32" s="3" t="s">
        <v>244</v>
      </c>
      <c r="AM32" s="3" t="s">
        <v>371</v>
      </c>
      <c r="AN32" s="3" t="s">
        <v>244</v>
      </c>
      <c r="AO32" s="3" t="s">
        <v>247</v>
      </c>
      <c r="AP32" s="3" t="s">
        <v>244</v>
      </c>
      <c r="AQ32" s="3" t="s">
        <v>386</v>
      </c>
      <c r="AR32" s="3" t="s">
        <v>288</v>
      </c>
      <c r="AS32" s="3" t="s">
        <v>288</v>
      </c>
      <c r="AT32" s="3" t="s">
        <v>244</v>
      </c>
      <c r="AU32" s="3" t="s">
        <v>244</v>
      </c>
      <c r="AV32" s="3" t="s">
        <v>288</v>
      </c>
      <c r="AW32" s="3" t="s">
        <v>339</v>
      </c>
      <c r="AX32" s="3" t="s">
        <v>244</v>
      </c>
      <c r="AY32" s="3" t="s">
        <v>247</v>
      </c>
    </row>
    <row r="33" spans="1:52" ht="15.75" customHeight="1">
      <c r="A33" s="3">
        <v>584</v>
      </c>
      <c r="B33" s="5" t="str">
        <f t="shared" si="0"/>
        <v>http://roarmap.eprints.org/584/</v>
      </c>
      <c r="C33" s="3">
        <v>4</v>
      </c>
      <c r="D33" s="3" t="s">
        <v>98</v>
      </c>
      <c r="E33" s="3">
        <v>1</v>
      </c>
      <c r="F33" s="3" t="s">
        <v>474</v>
      </c>
      <c r="G33" s="3">
        <v>41988.924189814818</v>
      </c>
      <c r="H33" s="3">
        <v>41988.924189814818</v>
      </c>
      <c r="I33" s="3">
        <v>41988.924189814818</v>
      </c>
      <c r="J33" s="3" t="s">
        <v>103</v>
      </c>
      <c r="K33" s="3" t="s">
        <v>105</v>
      </c>
      <c r="L33" s="3" t="s">
        <v>475</v>
      </c>
      <c r="M33" s="3" t="s">
        <v>374</v>
      </c>
      <c r="N33" s="3" t="s">
        <v>476</v>
      </c>
      <c r="O33" s="3" t="s">
        <v>477</v>
      </c>
      <c r="P33" s="3" t="s">
        <v>215</v>
      </c>
      <c r="Q33" t="str">
        <f t="shared" si="1"/>
        <v>http://roarmap.eprints.org/view/country/036.html</v>
      </c>
      <c r="R33" s="3">
        <v>36</v>
      </c>
      <c r="S33" s="6" t="s">
        <v>75</v>
      </c>
      <c r="T33" s="9" t="s">
        <v>3940</v>
      </c>
      <c r="U33" s="7" t="s">
        <v>55</v>
      </c>
      <c r="V33" s="6" t="s">
        <v>55</v>
      </c>
      <c r="W33" s="3" t="s">
        <v>158</v>
      </c>
      <c r="X33" s="3" t="s">
        <v>160</v>
      </c>
      <c r="Y33" s="3" t="s">
        <v>475</v>
      </c>
      <c r="Z33" s="8" t="str">
        <f>HYPERLINK("https://www.uq.edu.au/","https://www.uq.edu.au/")</f>
        <v>https://www.uq.edu.au/</v>
      </c>
      <c r="AA33" s="8" t="str">
        <f>HYPERLINK("http://ppl.app.uq.edu.au/content/4.20.08-open-access-uq-research-outputs","http://ppl.app.uq.edu.au/content/4.20.08-open-access-uq-research-outputs")</f>
        <v>http://ppl.app.uq.edu.au/content/4.20.08-open-access-uq-research-outputs</v>
      </c>
      <c r="AB33" s="8" t="str">
        <f>HYPERLINK("http://espace.library.uq.edu.au/","http://espace.library.uq.edu.au/")</f>
        <v>http://espace.library.uq.edu.au/</v>
      </c>
      <c r="AC33" s="3">
        <v>41571</v>
      </c>
      <c r="AD33" s="3">
        <v>41571</v>
      </c>
      <c r="AE33" s="3">
        <v>41571</v>
      </c>
      <c r="AF33" s="3" t="s">
        <v>478</v>
      </c>
      <c r="AG33" s="3" t="s">
        <v>333</v>
      </c>
      <c r="AH33" s="3" t="s">
        <v>180</v>
      </c>
      <c r="AI33" s="3" t="s">
        <v>371</v>
      </c>
      <c r="AJ33" s="3" t="s">
        <v>182</v>
      </c>
      <c r="AK33" s="3" t="s">
        <v>393</v>
      </c>
      <c r="AL33" s="3" t="s">
        <v>288</v>
      </c>
      <c r="AM33" s="3" t="s">
        <v>479</v>
      </c>
      <c r="AN33" s="3" t="s">
        <v>189</v>
      </c>
      <c r="AO33" s="3" t="s">
        <v>371</v>
      </c>
      <c r="AP33" s="3" t="s">
        <v>185</v>
      </c>
      <c r="AQ33" s="3" t="s">
        <v>386</v>
      </c>
      <c r="AR33" s="3" t="s">
        <v>244</v>
      </c>
      <c r="AS33" s="3" t="s">
        <v>244</v>
      </c>
      <c r="AT33" s="3" t="s">
        <v>395</v>
      </c>
      <c r="AU33" s="3" t="s">
        <v>395</v>
      </c>
      <c r="AV33" s="3" t="s">
        <v>244</v>
      </c>
      <c r="AW33" s="3" t="s">
        <v>244</v>
      </c>
      <c r="AX33" s="3" t="s">
        <v>442</v>
      </c>
      <c r="AY33" s="3" t="s">
        <v>371</v>
      </c>
    </row>
    <row r="34" spans="1:52" ht="15.75" customHeight="1">
      <c r="A34" s="3">
        <v>588</v>
      </c>
      <c r="B34" s="5" t="str">
        <f t="shared" si="0"/>
        <v>http://roarmap.eprints.org/588/</v>
      </c>
      <c r="C34" s="3">
        <v>4</v>
      </c>
      <c r="D34" s="3" t="s">
        <v>98</v>
      </c>
      <c r="E34" s="3">
        <v>346</v>
      </c>
      <c r="F34" s="3" t="s">
        <v>480</v>
      </c>
      <c r="G34" s="3">
        <v>41988.924189814818</v>
      </c>
      <c r="H34" s="3">
        <v>42046.981747685182</v>
      </c>
      <c r="I34" s="3">
        <v>41988.924189814818</v>
      </c>
      <c r="J34" s="3" t="s">
        <v>103</v>
      </c>
      <c r="K34" s="3" t="s">
        <v>105</v>
      </c>
      <c r="L34" s="3" t="s">
        <v>481</v>
      </c>
      <c r="M34" s="3" t="s">
        <v>374</v>
      </c>
      <c r="N34" s="3" t="s">
        <v>482</v>
      </c>
      <c r="O34" s="3" t="s">
        <v>483</v>
      </c>
      <c r="P34" s="3" t="s">
        <v>215</v>
      </c>
      <c r="Q34" t="str">
        <f t="shared" si="1"/>
        <v>http://roarmap.eprints.org/view/country/036.html</v>
      </c>
      <c r="R34" s="3">
        <v>36</v>
      </c>
      <c r="S34" s="6" t="s">
        <v>75</v>
      </c>
      <c r="T34" s="9" t="s">
        <v>3940</v>
      </c>
      <c r="U34" s="7" t="s">
        <v>55</v>
      </c>
      <c r="V34" s="6" t="s">
        <v>55</v>
      </c>
      <c r="W34" s="3" t="s">
        <v>158</v>
      </c>
      <c r="X34" s="3" t="s">
        <v>160</v>
      </c>
      <c r="Y34" s="3" t="s">
        <v>481</v>
      </c>
      <c r="Z34" s="8" t="str">
        <f>HYPERLINK("http://www.unisa.edu.au/","http://www.unisa.edu.au/")</f>
        <v>http://www.unisa.edu.au/</v>
      </c>
      <c r="AA34" s="8" t="str">
        <f>HYPERLINK("http://w3.unisa.edu.au/policies/policies/resrch/res20.asp","http://w3.unisa.edu.au/policies/policies/resrch/res20.asp")</f>
        <v>http://w3.unisa.edu.au/policies/policies/resrch/res20.asp</v>
      </c>
      <c r="AB34" s="8" t="str">
        <f>HYPERLINK("http://ura.unisa.edu.au/R?RN=648171307","http://ura.unisa.edu.au/R?RN=648171307")</f>
        <v>http://ura.unisa.edu.au/R?RN=648171307</v>
      </c>
      <c r="AC34" s="3">
        <v>41544</v>
      </c>
      <c r="AD34" s="3">
        <v>41544</v>
      </c>
      <c r="AF34" s="3" t="s">
        <v>177</v>
      </c>
      <c r="AG34" s="3" t="s">
        <v>178</v>
      </c>
      <c r="AH34" s="3" t="s">
        <v>180</v>
      </c>
      <c r="AI34" s="3" t="s">
        <v>371</v>
      </c>
      <c r="AJ34" s="3" t="s">
        <v>371</v>
      </c>
      <c r="AK34" s="3" t="s">
        <v>371</v>
      </c>
      <c r="AL34" s="3" t="s">
        <v>244</v>
      </c>
      <c r="AM34" s="3" t="s">
        <v>178</v>
      </c>
      <c r="AN34" s="3" t="s">
        <v>189</v>
      </c>
      <c r="AO34" s="3" t="s">
        <v>371</v>
      </c>
      <c r="AP34" s="3" t="s">
        <v>244</v>
      </c>
      <c r="AQ34" s="3" t="s">
        <v>394</v>
      </c>
      <c r="AR34" s="3" t="s">
        <v>288</v>
      </c>
      <c r="AS34" s="3" t="s">
        <v>189</v>
      </c>
      <c r="AT34" s="3" t="s">
        <v>244</v>
      </c>
      <c r="AU34" s="3" t="s">
        <v>244</v>
      </c>
      <c r="AV34" s="3" t="s">
        <v>288</v>
      </c>
      <c r="AW34" s="3" t="s">
        <v>339</v>
      </c>
      <c r="AX34" s="3" t="s">
        <v>244</v>
      </c>
      <c r="AY34" s="3" t="s">
        <v>247</v>
      </c>
    </row>
    <row r="35" spans="1:52" ht="15.75" customHeight="1">
      <c r="A35" s="3">
        <v>589</v>
      </c>
      <c r="B35" s="5" t="str">
        <f t="shared" si="0"/>
        <v>http://roarmap.eprints.org/589/</v>
      </c>
      <c r="C35" s="3">
        <v>4</v>
      </c>
      <c r="D35" s="3" t="s">
        <v>98</v>
      </c>
      <c r="E35" s="3">
        <v>1</v>
      </c>
      <c r="F35" s="3" t="s">
        <v>484</v>
      </c>
      <c r="G35" s="3">
        <v>41988.924189814818</v>
      </c>
      <c r="H35" s="3">
        <v>42020.601817129631</v>
      </c>
      <c r="I35" s="3">
        <v>41988.924189814818</v>
      </c>
      <c r="J35" s="3" t="s">
        <v>103</v>
      </c>
      <c r="K35" s="3" t="s">
        <v>105</v>
      </c>
      <c r="L35" s="3" t="s">
        <v>485</v>
      </c>
      <c r="M35" s="3" t="s">
        <v>352</v>
      </c>
      <c r="N35" s="3" t="s">
        <v>486</v>
      </c>
      <c r="P35" s="3" t="s">
        <v>215</v>
      </c>
      <c r="Q35" t="str">
        <f t="shared" si="1"/>
        <v>http://roarmap.eprints.org/view/country/036.html</v>
      </c>
      <c r="R35" s="3">
        <v>36</v>
      </c>
      <c r="S35" s="6" t="s">
        <v>75</v>
      </c>
      <c r="T35" s="9" t="s">
        <v>3940</v>
      </c>
      <c r="U35" s="7" t="s">
        <v>55</v>
      </c>
      <c r="V35" s="6" t="s">
        <v>55</v>
      </c>
      <c r="W35" s="3" t="s">
        <v>158</v>
      </c>
      <c r="X35" s="3" t="s">
        <v>160</v>
      </c>
      <c r="Y35" s="3" t="s">
        <v>485</v>
      </c>
      <c r="Z35" s="8" t="str">
        <f>HYPERLINK("http://www.usq.edu.au/","http://www.usq.edu.au/")</f>
        <v>http://www.usq.edu.au/</v>
      </c>
      <c r="AB35" s="8" t="str">
        <f>HYPERLINK("http://eprints.usq.edu.au/","http://eprints.usq.edu.au/")</f>
        <v>http://eprints.usq.edu.au/</v>
      </c>
      <c r="AG35" s="3" t="s">
        <v>244</v>
      </c>
      <c r="AH35" s="3" t="s">
        <v>244</v>
      </c>
      <c r="AI35" s="3" t="s">
        <v>244</v>
      </c>
      <c r="AJ35" s="3" t="s">
        <v>244</v>
      </c>
      <c r="AK35" s="3" t="s">
        <v>244</v>
      </c>
      <c r="AL35" s="3" t="s">
        <v>244</v>
      </c>
      <c r="AM35" s="3" t="s">
        <v>247</v>
      </c>
      <c r="AN35" s="3" t="s">
        <v>244</v>
      </c>
      <c r="AO35" s="3" t="s">
        <v>247</v>
      </c>
      <c r="AP35" s="3" t="s">
        <v>244</v>
      </c>
      <c r="AQ35" s="3" t="s">
        <v>247</v>
      </c>
      <c r="AR35" s="3" t="s">
        <v>288</v>
      </c>
      <c r="AS35" s="3" t="s">
        <v>244</v>
      </c>
      <c r="AT35" s="3" t="s">
        <v>244</v>
      </c>
      <c r="AU35" s="3" t="s">
        <v>244</v>
      </c>
      <c r="AV35" s="3" t="s">
        <v>288</v>
      </c>
      <c r="AW35" s="3" t="s">
        <v>244</v>
      </c>
      <c r="AX35" s="3" t="s">
        <v>244</v>
      </c>
      <c r="AY35" s="3" t="s">
        <v>247</v>
      </c>
    </row>
    <row r="36" spans="1:52" ht="15.75" customHeight="1">
      <c r="A36" s="3">
        <v>679</v>
      </c>
      <c r="B36" s="5" t="str">
        <f t="shared" si="0"/>
        <v>http://roarmap.eprints.org/679/</v>
      </c>
      <c r="C36" s="3">
        <v>5</v>
      </c>
      <c r="D36" s="3" t="s">
        <v>98</v>
      </c>
      <c r="E36" s="3">
        <v>65</v>
      </c>
      <c r="F36" s="3" t="s">
        <v>487</v>
      </c>
      <c r="G36" s="3">
        <v>42066.705000000002</v>
      </c>
      <c r="H36" s="3">
        <v>42066.94798611111</v>
      </c>
      <c r="I36" s="3">
        <v>42066.705000000002</v>
      </c>
      <c r="J36" s="3" t="s">
        <v>103</v>
      </c>
      <c r="K36" s="3" t="s">
        <v>105</v>
      </c>
      <c r="L36" s="3" t="s">
        <v>488</v>
      </c>
      <c r="P36" s="3" t="s">
        <v>215</v>
      </c>
      <c r="Q36" t="str">
        <f t="shared" si="1"/>
        <v>http://roarmap.eprints.org/view/country/036.html</v>
      </c>
      <c r="R36" s="3">
        <v>36</v>
      </c>
      <c r="S36" s="6" t="s">
        <v>75</v>
      </c>
      <c r="T36" s="9" t="s">
        <v>3940</v>
      </c>
      <c r="U36" s="7" t="s">
        <v>55</v>
      </c>
      <c r="V36" s="6" t="s">
        <v>55</v>
      </c>
      <c r="W36" s="3" t="s">
        <v>158</v>
      </c>
      <c r="X36" s="3" t="s">
        <v>160</v>
      </c>
      <c r="Y36" s="3" t="s">
        <v>488</v>
      </c>
      <c r="Z36" s="8" t="str">
        <f>HYPERLINK("http://sydney.edu.au/","http://sydney.edu.au/")</f>
        <v>http://sydney.edu.au/</v>
      </c>
      <c r="AA36" s="8" t="str">
        <f>HYPERLINK("http://sydney.edu.au/policies/showdoc.aspx?recnum=PDOC2014/367","http://sydney.edu.au/policies/showdoc.aspx?recnum=PDOC2014/367")</f>
        <v>http://sydney.edu.au/policies/showdoc.aspx?recnum=PDOC2014/367</v>
      </c>
      <c r="AB36" s="8" t="str">
        <f>HYPERLINK("http://ses.library.usyd.edu.au/","http://ses.library.usyd.edu.au/")</f>
        <v>http://ses.library.usyd.edu.au/</v>
      </c>
      <c r="AC36" s="3">
        <v>41977</v>
      </c>
      <c r="AD36" s="3">
        <v>42009</v>
      </c>
      <c r="AF36" s="3" t="s">
        <v>177</v>
      </c>
      <c r="AG36" s="3" t="s">
        <v>178</v>
      </c>
      <c r="AH36" s="3" t="s">
        <v>180</v>
      </c>
      <c r="AI36" s="3" t="s">
        <v>244</v>
      </c>
      <c r="AJ36" s="3" t="s">
        <v>182</v>
      </c>
      <c r="AK36" s="3" t="s">
        <v>393</v>
      </c>
      <c r="AL36" s="3" t="s">
        <v>244</v>
      </c>
      <c r="AM36" s="3" t="s">
        <v>479</v>
      </c>
      <c r="AN36" s="3" t="s">
        <v>189</v>
      </c>
      <c r="AO36" s="3" t="s">
        <v>247</v>
      </c>
      <c r="AP36" s="3" t="s">
        <v>244</v>
      </c>
      <c r="AQ36" s="3" t="s">
        <v>247</v>
      </c>
      <c r="AR36" s="3" t="s">
        <v>244</v>
      </c>
      <c r="AS36" s="3" t="s">
        <v>244</v>
      </c>
      <c r="AT36" s="3" t="s">
        <v>395</v>
      </c>
      <c r="AU36" s="3" t="s">
        <v>395</v>
      </c>
      <c r="AV36" s="3" t="s">
        <v>244</v>
      </c>
      <c r="AW36" s="3" t="s">
        <v>244</v>
      </c>
      <c r="AX36" s="3" t="s">
        <v>244</v>
      </c>
      <c r="AY36" s="3" t="s">
        <v>247</v>
      </c>
    </row>
    <row r="37" spans="1:52" ht="15.75" customHeight="1">
      <c r="A37" s="3">
        <v>590</v>
      </c>
      <c r="B37" s="5" t="str">
        <f t="shared" si="0"/>
        <v>http://roarmap.eprints.org/590/</v>
      </c>
      <c r="C37" s="3">
        <v>3</v>
      </c>
      <c r="D37" s="3" t="s">
        <v>98</v>
      </c>
      <c r="E37" s="3">
        <v>1</v>
      </c>
      <c r="F37" s="3" t="s">
        <v>489</v>
      </c>
      <c r="G37" s="3">
        <v>41988.924189814818</v>
      </c>
      <c r="H37" s="3">
        <v>41988.924189814818</v>
      </c>
      <c r="I37" s="3">
        <v>41988.924189814818</v>
      </c>
      <c r="J37" s="3" t="s">
        <v>103</v>
      </c>
      <c r="K37" s="3" t="s">
        <v>105</v>
      </c>
      <c r="L37" s="3" t="s">
        <v>490</v>
      </c>
      <c r="M37" s="3" t="s">
        <v>469</v>
      </c>
      <c r="N37" s="3" t="s">
        <v>491</v>
      </c>
      <c r="O37" s="3" t="s">
        <v>492</v>
      </c>
      <c r="P37" s="3" t="s">
        <v>215</v>
      </c>
      <c r="Q37" t="str">
        <f t="shared" si="1"/>
        <v>http://roarmap.eprints.org/view/country/036.html</v>
      </c>
      <c r="R37" s="3">
        <v>36</v>
      </c>
      <c r="S37" s="6" t="s">
        <v>75</v>
      </c>
      <c r="T37" s="9" t="s">
        <v>3940</v>
      </c>
      <c r="U37" s="7" t="s">
        <v>55</v>
      </c>
      <c r="V37" s="6" t="s">
        <v>55</v>
      </c>
      <c r="W37" s="3" t="s">
        <v>158</v>
      </c>
      <c r="X37" s="3" t="s">
        <v>160</v>
      </c>
      <c r="Y37" s="3" t="s">
        <v>490</v>
      </c>
      <c r="Z37" s="8" t="str">
        <f>HYPERLINK("http://www.utas.edu.au/","http://www.utas.edu.au/")</f>
        <v>http://www.utas.edu.au/</v>
      </c>
      <c r="AB37" s="8" t="str">
        <f t="shared" ref="AB37:AB38" si="2">HYPERLINK("http://eprints.utas.edu.au/","http://eprints.utas.edu.au/")</f>
        <v>http://eprints.utas.edu.au/</v>
      </c>
      <c r="AG37" s="3" t="s">
        <v>244</v>
      </c>
      <c r="AH37" s="3" t="s">
        <v>244</v>
      </c>
      <c r="AI37" s="3" t="s">
        <v>244</v>
      </c>
      <c r="AJ37" s="3" t="s">
        <v>244</v>
      </c>
      <c r="AK37" s="3" t="s">
        <v>244</v>
      </c>
      <c r="AL37" s="3" t="s">
        <v>244</v>
      </c>
      <c r="AM37" s="3" t="s">
        <v>247</v>
      </c>
      <c r="AN37" s="3" t="s">
        <v>244</v>
      </c>
      <c r="AO37" s="3" t="s">
        <v>247</v>
      </c>
      <c r="AP37" s="3" t="s">
        <v>244</v>
      </c>
      <c r="AQ37" s="3" t="s">
        <v>247</v>
      </c>
      <c r="AR37" s="3" t="s">
        <v>288</v>
      </c>
      <c r="AS37" s="3" t="s">
        <v>244</v>
      </c>
      <c r="AT37" s="3" t="s">
        <v>244</v>
      </c>
      <c r="AU37" s="3" t="s">
        <v>244</v>
      </c>
      <c r="AV37" s="3" t="s">
        <v>288</v>
      </c>
      <c r="AW37" s="3" t="s">
        <v>244</v>
      </c>
      <c r="AX37" s="3" t="s">
        <v>244</v>
      </c>
      <c r="AY37" s="3" t="s">
        <v>247</v>
      </c>
    </row>
    <row r="38" spans="1:52" ht="15.75" customHeight="1">
      <c r="A38" s="3">
        <v>591</v>
      </c>
      <c r="B38" s="5" t="str">
        <f t="shared" si="0"/>
        <v>http://roarmap.eprints.org/591/</v>
      </c>
      <c r="C38" s="3">
        <v>3</v>
      </c>
      <c r="D38" s="3" t="s">
        <v>98</v>
      </c>
      <c r="E38" s="3">
        <v>1</v>
      </c>
      <c r="F38" s="3" t="s">
        <v>493</v>
      </c>
      <c r="G38" s="3">
        <v>41988.924189814818</v>
      </c>
      <c r="H38" s="3">
        <v>41988.924189814818</v>
      </c>
      <c r="I38" s="3">
        <v>41988.924189814818</v>
      </c>
      <c r="J38" s="3" t="s">
        <v>103</v>
      </c>
      <c r="K38" s="3" t="s">
        <v>105</v>
      </c>
      <c r="L38" s="3" t="s">
        <v>494</v>
      </c>
      <c r="M38" s="3" t="s">
        <v>307</v>
      </c>
      <c r="N38" s="3" t="s">
        <v>495</v>
      </c>
      <c r="O38" s="3" t="s">
        <v>496</v>
      </c>
      <c r="P38" s="3" t="s">
        <v>215</v>
      </c>
      <c r="Q38" t="str">
        <f t="shared" si="1"/>
        <v>http://roarmap.eprints.org/view/country/036.html</v>
      </c>
      <c r="R38" s="3">
        <v>36</v>
      </c>
      <c r="S38" s="6" t="s">
        <v>75</v>
      </c>
      <c r="T38" s="9" t="s">
        <v>3940</v>
      </c>
      <c r="U38" s="7" t="s">
        <v>55</v>
      </c>
      <c r="V38" s="6" t="s">
        <v>55</v>
      </c>
      <c r="W38" s="3" t="s">
        <v>158</v>
      </c>
      <c r="X38" s="3" t="s">
        <v>384</v>
      </c>
      <c r="Y38" s="3" t="s">
        <v>494</v>
      </c>
      <c r="Z38" s="8" t="str">
        <f>HYPERLINK("http://www.utas.edu.au/computing-information-systems","http://www.utas.edu.au/computing-information-systems")</f>
        <v>http://www.utas.edu.au/computing-information-systems</v>
      </c>
      <c r="AB38" s="8" t="str">
        <f t="shared" si="2"/>
        <v>http://eprints.utas.edu.au/</v>
      </c>
      <c r="AG38" s="3" t="s">
        <v>244</v>
      </c>
      <c r="AH38" s="3" t="s">
        <v>244</v>
      </c>
      <c r="AI38" s="3" t="s">
        <v>244</v>
      </c>
      <c r="AJ38" s="3" t="s">
        <v>244</v>
      </c>
      <c r="AK38" s="3" t="s">
        <v>244</v>
      </c>
      <c r="AL38" s="3" t="s">
        <v>244</v>
      </c>
      <c r="AM38" s="3" t="s">
        <v>247</v>
      </c>
      <c r="AN38" s="3" t="s">
        <v>244</v>
      </c>
      <c r="AO38" s="3" t="s">
        <v>247</v>
      </c>
      <c r="AP38" s="3" t="s">
        <v>244</v>
      </c>
      <c r="AQ38" s="3" t="s">
        <v>247</v>
      </c>
      <c r="AR38" s="3" t="s">
        <v>288</v>
      </c>
      <c r="AS38" s="3" t="s">
        <v>244</v>
      </c>
      <c r="AT38" s="3" t="s">
        <v>244</v>
      </c>
      <c r="AU38" s="3" t="s">
        <v>244</v>
      </c>
      <c r="AV38" s="3" t="s">
        <v>288</v>
      </c>
      <c r="AW38" s="3" t="s">
        <v>244</v>
      </c>
      <c r="AX38" s="3" t="s">
        <v>244</v>
      </c>
      <c r="AY38" s="3" t="s">
        <v>247</v>
      </c>
    </row>
    <row r="39" spans="1:52" ht="15.75" customHeight="1">
      <c r="A39" s="3">
        <v>592</v>
      </c>
      <c r="B39" s="5" t="str">
        <f t="shared" si="0"/>
        <v>http://roarmap.eprints.org/592/</v>
      </c>
      <c r="C39" s="3">
        <v>5</v>
      </c>
      <c r="D39" s="3" t="s">
        <v>98</v>
      </c>
      <c r="E39" s="3">
        <v>1</v>
      </c>
      <c r="F39" s="3" t="s">
        <v>497</v>
      </c>
      <c r="G39" s="3">
        <v>41988.924201388887</v>
      </c>
      <c r="H39" s="3">
        <v>41988.924201388887</v>
      </c>
      <c r="I39" s="3">
        <v>41988.924201388887</v>
      </c>
      <c r="J39" s="3" t="s">
        <v>103</v>
      </c>
      <c r="K39" s="3" t="s">
        <v>105</v>
      </c>
      <c r="L39" s="3" t="s">
        <v>498</v>
      </c>
      <c r="M39" s="3" t="s">
        <v>374</v>
      </c>
      <c r="N39" s="3" t="s">
        <v>499</v>
      </c>
      <c r="O39" s="3" t="s">
        <v>500</v>
      </c>
      <c r="P39" s="3" t="s">
        <v>501</v>
      </c>
      <c r="Q39" t="str">
        <f t="shared" si="1"/>
        <v>http://roarmap.eprints.org/view/country/036.html</v>
      </c>
      <c r="R39" s="3">
        <v>36</v>
      </c>
      <c r="S39" s="6" t="s">
        <v>75</v>
      </c>
      <c r="T39" s="9" t="s">
        <v>3940</v>
      </c>
      <c r="U39" s="7" t="s">
        <v>55</v>
      </c>
      <c r="V39" s="6" t="s">
        <v>55</v>
      </c>
      <c r="W39" s="3" t="s">
        <v>158</v>
      </c>
      <c r="X39" s="3" t="s">
        <v>160</v>
      </c>
      <c r="Y39" s="3" t="s">
        <v>498</v>
      </c>
      <c r="Z39" s="8" t="str">
        <f>HYPERLINK("https://www.uts.edu.au/","https://www.uts.edu.au/")</f>
        <v>https://www.uts.edu.au/</v>
      </c>
      <c r="AA39" s="8" t="str">
        <f>HYPERLINK("http://www.gsu.uts.edu.au/policies/open-access.html","http://www.gsu.uts.edu.au/policies/open-access.html")</f>
        <v>http://www.gsu.uts.edu.au/policies/open-access.html</v>
      </c>
      <c r="AB39" s="8" t="str">
        <f>HYPERLINK("https://opus.lib.uts.edu.au/research/","https://opus.lib.uts.edu.au/research/")</f>
        <v>https://opus.lib.uts.edu.au/research/</v>
      </c>
      <c r="AC39" s="3">
        <v>41570</v>
      </c>
      <c r="AD39" s="3">
        <v>41627</v>
      </c>
      <c r="AF39" s="3" t="s">
        <v>371</v>
      </c>
      <c r="AG39" s="3" t="s">
        <v>178</v>
      </c>
      <c r="AH39" s="3" t="s">
        <v>180</v>
      </c>
      <c r="AI39" s="3" t="s">
        <v>244</v>
      </c>
      <c r="AJ39" s="3" t="s">
        <v>371</v>
      </c>
      <c r="AK39" s="3" t="s">
        <v>371</v>
      </c>
      <c r="AL39" s="3" t="s">
        <v>185</v>
      </c>
      <c r="AM39" s="3" t="s">
        <v>178</v>
      </c>
      <c r="AN39" s="3" t="s">
        <v>189</v>
      </c>
      <c r="AO39" s="3" t="s">
        <v>247</v>
      </c>
      <c r="AP39" s="3" t="s">
        <v>185</v>
      </c>
      <c r="AQ39" s="3" t="s">
        <v>394</v>
      </c>
      <c r="AR39" s="3" t="s">
        <v>288</v>
      </c>
      <c r="AS39" s="3" t="s">
        <v>185</v>
      </c>
      <c r="AT39" s="3" t="s">
        <v>244</v>
      </c>
      <c r="AU39" s="3" t="s">
        <v>244</v>
      </c>
      <c r="AV39" s="3" t="s">
        <v>288</v>
      </c>
      <c r="AW39" s="3" t="s">
        <v>339</v>
      </c>
      <c r="AX39" s="3" t="s">
        <v>244</v>
      </c>
      <c r="AY39" s="3" t="s">
        <v>247</v>
      </c>
    </row>
    <row r="40" spans="1:52" ht="15.75" customHeight="1">
      <c r="A40" s="3">
        <v>593</v>
      </c>
      <c r="B40" s="5" t="str">
        <f t="shared" si="0"/>
        <v>http://roarmap.eprints.org/593/</v>
      </c>
      <c r="C40" s="3">
        <v>3</v>
      </c>
      <c r="D40" s="3" t="s">
        <v>98</v>
      </c>
      <c r="E40" s="3">
        <v>1</v>
      </c>
      <c r="F40" s="3" t="s">
        <v>502</v>
      </c>
      <c r="G40" s="3">
        <v>41988.924201388887</v>
      </c>
      <c r="H40" s="3">
        <v>41988.924201388887</v>
      </c>
      <c r="I40" s="3">
        <v>41988.924201388887</v>
      </c>
      <c r="J40" s="3" t="s">
        <v>103</v>
      </c>
      <c r="K40" s="3" t="s">
        <v>105</v>
      </c>
      <c r="L40" s="3" t="s">
        <v>503</v>
      </c>
      <c r="M40" s="3" t="s">
        <v>352</v>
      </c>
      <c r="N40" s="3" t="s">
        <v>504</v>
      </c>
      <c r="P40" s="3" t="s">
        <v>215</v>
      </c>
      <c r="Q40" t="str">
        <f t="shared" si="1"/>
        <v>http://roarmap.eprints.org/view/country/036.html</v>
      </c>
      <c r="R40" s="3">
        <v>36</v>
      </c>
      <c r="S40" s="6" t="s">
        <v>75</v>
      </c>
      <c r="T40" s="9" t="s">
        <v>3940</v>
      </c>
      <c r="U40" s="7" t="s">
        <v>55</v>
      </c>
      <c r="V40" s="6" t="s">
        <v>55</v>
      </c>
      <c r="W40" s="3" t="s">
        <v>158</v>
      </c>
      <c r="X40" s="3" t="s">
        <v>384</v>
      </c>
      <c r="Y40" s="3" t="s">
        <v>503</v>
      </c>
      <c r="Z40" s="8" t="str">
        <f>HYPERLINK("http://www.uwa.edu.au/","http://www.uwa.edu.au/")</f>
        <v>http://www.uwa.edu.au/</v>
      </c>
      <c r="AA40" s="8" t="str">
        <f>HYPERLINK("http://www.is.uwa.edu.au/research/theses#submitting","http://www.is.uwa.edu.au/research/theses#submitting")</f>
        <v>http://www.is.uwa.edu.au/research/theses#submitting</v>
      </c>
      <c r="AB40" s="8" t="str">
        <f>HYPERLINK("http://www.is.uwa.edu.au/repository/home","http://www.is.uwa.edu.au/repository/home")</f>
        <v>http://www.is.uwa.edu.au/repository/home</v>
      </c>
      <c r="AF40" s="3" t="s">
        <v>244</v>
      </c>
      <c r="AG40" s="3" t="s">
        <v>178</v>
      </c>
      <c r="AH40" s="3" t="s">
        <v>370</v>
      </c>
      <c r="AI40" s="3" t="s">
        <v>244</v>
      </c>
      <c r="AJ40" s="3" t="s">
        <v>385</v>
      </c>
      <c r="AK40" s="3" t="s">
        <v>244</v>
      </c>
      <c r="AL40" s="3" t="s">
        <v>244</v>
      </c>
      <c r="AM40" s="3" t="s">
        <v>247</v>
      </c>
      <c r="AN40" s="3" t="s">
        <v>244</v>
      </c>
      <c r="AO40" s="3" t="s">
        <v>247</v>
      </c>
      <c r="AP40" s="3" t="s">
        <v>244</v>
      </c>
      <c r="AQ40" s="3" t="s">
        <v>247</v>
      </c>
      <c r="AR40" s="3" t="s">
        <v>288</v>
      </c>
      <c r="AS40" s="3" t="s">
        <v>288</v>
      </c>
      <c r="AT40" s="3" t="s">
        <v>244</v>
      </c>
      <c r="AU40" s="3" t="s">
        <v>244</v>
      </c>
      <c r="AV40" s="3" t="s">
        <v>288</v>
      </c>
      <c r="AW40" s="3" t="s">
        <v>339</v>
      </c>
      <c r="AX40" s="3" t="s">
        <v>244</v>
      </c>
      <c r="AY40" s="3" t="s">
        <v>247</v>
      </c>
    </row>
    <row r="41" spans="1:52" ht="15.75" customHeight="1">
      <c r="A41" s="3">
        <v>594</v>
      </c>
      <c r="B41" s="5" t="str">
        <f t="shared" si="0"/>
        <v>http://roarmap.eprints.org/594/</v>
      </c>
      <c r="C41" s="3">
        <v>3</v>
      </c>
      <c r="D41" s="3" t="s">
        <v>98</v>
      </c>
      <c r="E41" s="3">
        <v>1</v>
      </c>
      <c r="F41" s="3" t="s">
        <v>505</v>
      </c>
      <c r="G41" s="3">
        <v>41988.924201388887</v>
      </c>
      <c r="H41" s="3">
        <v>41988.924201388887</v>
      </c>
      <c r="I41" s="3">
        <v>41988.924201388887</v>
      </c>
      <c r="J41" s="3" t="s">
        <v>103</v>
      </c>
      <c r="K41" s="3" t="s">
        <v>105</v>
      </c>
      <c r="L41" s="3" t="s">
        <v>506</v>
      </c>
      <c r="M41" s="3" t="s">
        <v>374</v>
      </c>
      <c r="N41" s="3" t="s">
        <v>507</v>
      </c>
      <c r="P41" s="3" t="s">
        <v>215</v>
      </c>
      <c r="Q41" t="str">
        <f t="shared" si="1"/>
        <v>http://roarmap.eprints.org/view/country/036.html</v>
      </c>
      <c r="R41" s="3">
        <v>36</v>
      </c>
      <c r="S41" s="6" t="s">
        <v>75</v>
      </c>
      <c r="T41" s="9" t="s">
        <v>3940</v>
      </c>
      <c r="U41" s="7" t="s">
        <v>55</v>
      </c>
      <c r="V41" s="6" t="s">
        <v>55</v>
      </c>
      <c r="W41" s="3" t="s">
        <v>158</v>
      </c>
      <c r="X41" s="3" t="s">
        <v>160</v>
      </c>
      <c r="Y41" s="3" t="s">
        <v>506</v>
      </c>
      <c r="Z41" s="8" t="str">
        <f>HYPERLINK("http://www.uow.edu.au/index.html","http://www.uow.edu.au/index.html")</f>
        <v>http://www.uow.edu.au/index.html</v>
      </c>
      <c r="AA41" s="8" t="str">
        <f>HYPERLINK("http://www.uow.edu.au/content/groups/public/@web/@gov/documents/doc/uow167088.pdf","http://www.uow.edu.au/content/groups/public/@web/@gov/documents/doc/uow167088.pdf")</f>
        <v>http://www.uow.edu.au/content/groups/public/@web/@gov/documents/doc/uow167088.pdf</v>
      </c>
      <c r="AB41" s="8" t="str">
        <f>HYPERLINK("http://ro.uow.edu.au/","http://ro.uow.edu.au/")</f>
        <v>http://ro.uow.edu.au/</v>
      </c>
      <c r="AC41" s="3">
        <v>41702</v>
      </c>
      <c r="AD41" s="3">
        <v>41702</v>
      </c>
      <c r="AF41" s="3" t="s">
        <v>244</v>
      </c>
      <c r="AG41" s="3" t="s">
        <v>244</v>
      </c>
      <c r="AH41" s="3" t="s">
        <v>180</v>
      </c>
      <c r="AI41" s="3" t="s">
        <v>244</v>
      </c>
      <c r="AJ41" s="3" t="s">
        <v>371</v>
      </c>
      <c r="AK41" s="3" t="s">
        <v>371</v>
      </c>
      <c r="AL41" s="3" t="s">
        <v>244</v>
      </c>
      <c r="AM41" s="3" t="s">
        <v>371</v>
      </c>
      <c r="AN41" s="3" t="s">
        <v>244</v>
      </c>
      <c r="AO41" s="3" t="s">
        <v>247</v>
      </c>
      <c r="AP41" s="3" t="s">
        <v>244</v>
      </c>
      <c r="AQ41" s="3" t="s">
        <v>386</v>
      </c>
      <c r="AR41" s="3" t="s">
        <v>288</v>
      </c>
      <c r="AS41" s="3" t="s">
        <v>288</v>
      </c>
      <c r="AT41" s="3" t="s">
        <v>244</v>
      </c>
      <c r="AU41" s="3" t="s">
        <v>244</v>
      </c>
      <c r="AV41" s="3" t="s">
        <v>288</v>
      </c>
      <c r="AW41" s="3" t="s">
        <v>339</v>
      </c>
      <c r="AX41" s="3" t="s">
        <v>341</v>
      </c>
      <c r="AY41" s="3" t="s">
        <v>371</v>
      </c>
    </row>
    <row r="42" spans="1:52" ht="15.75" customHeight="1">
      <c r="A42" s="3">
        <v>595</v>
      </c>
      <c r="B42" s="5" t="str">
        <f t="shared" si="0"/>
        <v>http://roarmap.eprints.org/595/</v>
      </c>
      <c r="C42" s="3">
        <v>3</v>
      </c>
      <c r="D42" s="3" t="s">
        <v>98</v>
      </c>
      <c r="E42" s="3">
        <v>1</v>
      </c>
      <c r="F42" s="3" t="s">
        <v>508</v>
      </c>
      <c r="G42" s="3">
        <v>41988.924201388887</v>
      </c>
      <c r="H42" s="3">
        <v>41988.924201388887</v>
      </c>
      <c r="I42" s="3">
        <v>41988.924201388887</v>
      </c>
      <c r="J42" s="3" t="s">
        <v>103</v>
      </c>
      <c r="K42" s="3" t="s">
        <v>105</v>
      </c>
      <c r="L42" s="3" t="s">
        <v>509</v>
      </c>
      <c r="M42" s="3" t="s">
        <v>374</v>
      </c>
      <c r="N42" s="3" t="s">
        <v>510</v>
      </c>
      <c r="P42" s="3" t="s">
        <v>215</v>
      </c>
      <c r="Q42" t="str">
        <f t="shared" si="1"/>
        <v>http://roarmap.eprints.org/view/country/036.html</v>
      </c>
      <c r="R42" s="3">
        <v>36</v>
      </c>
      <c r="S42" s="6" t="s">
        <v>75</v>
      </c>
      <c r="T42" s="9" t="s">
        <v>3940</v>
      </c>
      <c r="U42" s="7" t="s">
        <v>55</v>
      </c>
      <c r="V42" s="6" t="s">
        <v>55</v>
      </c>
      <c r="W42" s="3" t="s">
        <v>158</v>
      </c>
      <c r="X42" s="3" t="s">
        <v>160</v>
      </c>
      <c r="Y42" s="3" t="s">
        <v>509</v>
      </c>
      <c r="Z42" s="8" t="str">
        <f>HYPERLINK("http://www.vu.edu.au/","http://www.vu.edu.au/")</f>
        <v>http://www.vu.edu.au/</v>
      </c>
      <c r="AA42" s="8" t="str">
        <f>HYPERLINK("http://wcf.vu.edu.au/GovernancePolicy/PDF/POI041116000.PDF","http://wcf.vu.edu.au/GovernancePolicy/PDF/POI041116000.PDF")</f>
        <v>http://wcf.vu.edu.au/GovernancePolicy/PDF/POI041116000.PDF</v>
      </c>
      <c r="AB42" s="8" t="str">
        <f>HYPERLINK("http://vuir.vu.edu.au/","http://vuir.vu.edu.au/")</f>
        <v>http://vuir.vu.edu.au/</v>
      </c>
      <c r="AC42" s="3">
        <v>40725</v>
      </c>
      <c r="AF42" s="3" t="s">
        <v>244</v>
      </c>
      <c r="AG42" s="3" t="s">
        <v>178</v>
      </c>
      <c r="AH42" s="3" t="s">
        <v>180</v>
      </c>
      <c r="AI42" s="3" t="s">
        <v>244</v>
      </c>
      <c r="AJ42" s="3" t="s">
        <v>182</v>
      </c>
      <c r="AK42" s="3" t="s">
        <v>371</v>
      </c>
      <c r="AL42" s="3" t="s">
        <v>244</v>
      </c>
      <c r="AM42" s="3" t="s">
        <v>371</v>
      </c>
      <c r="AN42" s="3" t="s">
        <v>244</v>
      </c>
      <c r="AO42" s="3" t="s">
        <v>247</v>
      </c>
      <c r="AP42" s="3" t="s">
        <v>244</v>
      </c>
      <c r="AQ42" s="3" t="s">
        <v>386</v>
      </c>
      <c r="AR42" s="3" t="s">
        <v>288</v>
      </c>
      <c r="AS42" s="3" t="s">
        <v>288</v>
      </c>
      <c r="AT42" s="3" t="s">
        <v>244</v>
      </c>
      <c r="AU42" s="3" t="s">
        <v>244</v>
      </c>
      <c r="AV42" s="3" t="s">
        <v>288</v>
      </c>
      <c r="AW42" s="3" t="s">
        <v>339</v>
      </c>
      <c r="AX42" s="3" t="s">
        <v>244</v>
      </c>
      <c r="AY42" s="3" t="s">
        <v>247</v>
      </c>
    </row>
    <row r="43" spans="1:52" ht="15.75" customHeight="1">
      <c r="A43" s="3">
        <v>773</v>
      </c>
      <c r="B43" s="5" t="str">
        <f t="shared" si="0"/>
        <v>http://roarmap.eprints.org/773/</v>
      </c>
      <c r="C43" s="3">
        <v>4</v>
      </c>
      <c r="D43" s="3" t="s">
        <v>98</v>
      </c>
      <c r="E43" s="3">
        <v>788</v>
      </c>
      <c r="F43" s="3" t="s">
        <v>511</v>
      </c>
      <c r="G43" s="3">
        <v>42145.449942129628</v>
      </c>
      <c r="H43" s="3">
        <v>42145.449942129628</v>
      </c>
      <c r="I43" s="3">
        <v>42145.449942129628</v>
      </c>
      <c r="J43" s="3" t="s">
        <v>103</v>
      </c>
      <c r="K43" s="3" t="s">
        <v>105</v>
      </c>
      <c r="L43" s="3" t="s">
        <v>512</v>
      </c>
      <c r="P43" s="3" t="s">
        <v>513</v>
      </c>
      <c r="Q43" t="str">
        <f t="shared" si="1"/>
        <v>http://roarmap.eprints.org/view/country/040.html</v>
      </c>
      <c r="R43" s="3">
        <v>40</v>
      </c>
      <c r="S43" s="6" t="s">
        <v>77</v>
      </c>
      <c r="T43" s="9" t="s">
        <v>3944</v>
      </c>
      <c r="U43" s="7" t="s">
        <v>123</v>
      </c>
      <c r="V43" s="6" t="s">
        <v>108</v>
      </c>
      <c r="W43" s="3" t="s">
        <v>158</v>
      </c>
      <c r="X43" s="3" t="s">
        <v>160</v>
      </c>
      <c r="Y43" s="3" t="s">
        <v>512</v>
      </c>
      <c r="Z43" s="8" t="str">
        <f>HYPERLINK("https://www.akbild.ac.at/","https://www.akbild.ac.at/")</f>
        <v>https://www.akbild.ac.at/</v>
      </c>
      <c r="AA43" s="8" t="str">
        <f>HYPERLINK("https://www.akbild.ac.at/Portal/kunst-forschung/open-access","https://www.akbild.ac.at/Portal/kunst-forschung/open-access")</f>
        <v>https://www.akbild.ac.at/Portal/kunst-forschung/open-access</v>
      </c>
      <c r="AC43" s="3">
        <v>42125</v>
      </c>
      <c r="AF43" s="3" t="s">
        <v>177</v>
      </c>
      <c r="AG43" s="3" t="s">
        <v>244</v>
      </c>
      <c r="AH43" s="3" t="s">
        <v>370</v>
      </c>
      <c r="AI43" s="3" t="s">
        <v>244</v>
      </c>
      <c r="AJ43" s="3" t="s">
        <v>182</v>
      </c>
      <c r="AK43" s="3" t="s">
        <v>244</v>
      </c>
      <c r="AL43" s="3" t="s">
        <v>189</v>
      </c>
      <c r="AM43" s="3" t="s">
        <v>479</v>
      </c>
      <c r="AN43" s="3" t="s">
        <v>189</v>
      </c>
      <c r="AO43" s="3" t="s">
        <v>247</v>
      </c>
      <c r="AP43" s="3" t="s">
        <v>185</v>
      </c>
      <c r="AQ43" s="3" t="s">
        <v>394</v>
      </c>
      <c r="AR43" s="3" t="s">
        <v>189</v>
      </c>
      <c r="AS43" s="3" t="s">
        <v>189</v>
      </c>
      <c r="AT43" s="3" t="s">
        <v>244</v>
      </c>
      <c r="AU43" s="3" t="s">
        <v>244</v>
      </c>
      <c r="AV43" s="3" t="s">
        <v>244</v>
      </c>
      <c r="AW43" s="3" t="s">
        <v>371</v>
      </c>
      <c r="AX43" s="3" t="s">
        <v>341</v>
      </c>
      <c r="AY43" s="3" t="s">
        <v>428</v>
      </c>
    </row>
    <row r="44" spans="1:52" ht="15.75" customHeight="1">
      <c r="A44" s="3">
        <v>76</v>
      </c>
      <c r="B44" s="5" t="str">
        <f t="shared" si="0"/>
        <v>http://roarmap.eprints.org/76/</v>
      </c>
      <c r="C44" s="3">
        <v>7</v>
      </c>
      <c r="D44" s="3" t="s">
        <v>98</v>
      </c>
      <c r="E44" s="3">
        <v>605</v>
      </c>
      <c r="F44" s="3" t="s">
        <v>514</v>
      </c>
      <c r="G44" s="3">
        <v>41988.923206018517</v>
      </c>
      <c r="H44" s="3">
        <v>42109.520011574074</v>
      </c>
      <c r="I44" s="3">
        <v>41988.923206018517</v>
      </c>
      <c r="J44" s="3" t="s">
        <v>103</v>
      </c>
      <c r="K44" s="3" t="s">
        <v>105</v>
      </c>
      <c r="L44" s="3" t="s">
        <v>515</v>
      </c>
      <c r="M44" s="3" t="s">
        <v>374</v>
      </c>
      <c r="P44" s="3" t="s">
        <v>215</v>
      </c>
      <c r="Q44" t="str">
        <f t="shared" si="1"/>
        <v>http://roarmap.eprints.org/view/country/040.html</v>
      </c>
      <c r="R44" s="3">
        <v>40</v>
      </c>
      <c r="S44" s="6" t="s">
        <v>77</v>
      </c>
      <c r="T44" s="9" t="s">
        <v>3944</v>
      </c>
      <c r="U44" s="7" t="s">
        <v>123</v>
      </c>
      <c r="V44" s="6" t="s">
        <v>108</v>
      </c>
      <c r="W44" s="3" t="s">
        <v>158</v>
      </c>
      <c r="X44" s="3" t="s">
        <v>160</v>
      </c>
      <c r="Y44" s="3" t="s">
        <v>515</v>
      </c>
      <c r="Z44" s="8" t="str">
        <f>HYPERLINK("http://www.oeaw.ac.at/english/home.html","http://www.oeaw.ac.at/english/home.html")</f>
        <v>http://www.oeaw.ac.at/english/home.html</v>
      </c>
      <c r="AA44" s="8" t="str">
        <f>HYPERLINK("http://epub.oeaw.ac.at/oa/","http://epub.oeaw.ac.at/oa/")</f>
        <v>http://epub.oeaw.ac.at/oa/</v>
      </c>
      <c r="AB44" s="8" t="str">
        <f>HYPERLINK("http://epub.oeaw.ac.at/","http://epub.oeaw.ac.at/")</f>
        <v>http://epub.oeaw.ac.at/</v>
      </c>
      <c r="AC44" s="3">
        <v>41088</v>
      </c>
      <c r="AD44" s="3">
        <v>41088</v>
      </c>
      <c r="AF44" s="3" t="s">
        <v>177</v>
      </c>
      <c r="AG44" s="3" t="s">
        <v>333</v>
      </c>
      <c r="AH44" s="3" t="s">
        <v>370</v>
      </c>
      <c r="AI44" s="3" t="s">
        <v>244</v>
      </c>
      <c r="AJ44" s="3" t="s">
        <v>182</v>
      </c>
      <c r="AK44" s="3" t="s">
        <v>244</v>
      </c>
      <c r="AL44" s="3" t="s">
        <v>244</v>
      </c>
      <c r="AM44" s="3" t="s">
        <v>479</v>
      </c>
      <c r="AN44" s="3" t="s">
        <v>244</v>
      </c>
      <c r="AO44" s="3" t="s">
        <v>247</v>
      </c>
      <c r="AP44" s="3" t="s">
        <v>185</v>
      </c>
      <c r="AQ44" s="3" t="s">
        <v>394</v>
      </c>
      <c r="AR44" s="3" t="s">
        <v>288</v>
      </c>
      <c r="AS44" s="3" t="s">
        <v>189</v>
      </c>
      <c r="AT44" s="3" t="s">
        <v>244</v>
      </c>
      <c r="AU44" s="3" t="s">
        <v>244</v>
      </c>
      <c r="AV44" s="3" t="s">
        <v>288</v>
      </c>
      <c r="AW44" s="3" t="s">
        <v>339</v>
      </c>
      <c r="AX44" s="3" t="s">
        <v>244</v>
      </c>
      <c r="AY44" s="3" t="s">
        <v>247</v>
      </c>
    </row>
    <row r="45" spans="1:52" ht="15.75" customHeight="1">
      <c r="A45" s="3">
        <v>77</v>
      </c>
      <c r="B45" s="5" t="str">
        <f t="shared" si="0"/>
        <v>http://roarmap.eprints.org/77/</v>
      </c>
      <c r="C45" s="3">
        <v>9</v>
      </c>
      <c r="D45" s="3" t="s">
        <v>98</v>
      </c>
      <c r="E45" s="3">
        <v>590</v>
      </c>
      <c r="F45" s="3" t="s">
        <v>516</v>
      </c>
      <c r="G45" s="3">
        <v>41988.923206018517</v>
      </c>
      <c r="H45" s="3">
        <v>42108.631574074076</v>
      </c>
      <c r="I45" s="3">
        <v>41988.923206018517</v>
      </c>
      <c r="J45" s="3" t="s">
        <v>103</v>
      </c>
      <c r="K45" s="3" t="s">
        <v>105</v>
      </c>
      <c r="L45" s="3" t="s">
        <v>517</v>
      </c>
      <c r="M45" s="3" t="s">
        <v>374</v>
      </c>
      <c r="N45" s="3" t="s">
        <v>518</v>
      </c>
      <c r="O45" s="3" t="s">
        <v>519</v>
      </c>
      <c r="P45" s="3" t="s">
        <v>215</v>
      </c>
      <c r="Q45" t="str">
        <f t="shared" si="1"/>
        <v>http://roarmap.eprints.org/view/country/040.html</v>
      </c>
      <c r="R45" s="3">
        <v>40</v>
      </c>
      <c r="S45" s="6" t="s">
        <v>77</v>
      </c>
      <c r="T45" s="9" t="s">
        <v>3944</v>
      </c>
      <c r="U45" s="7" t="s">
        <v>123</v>
      </c>
      <c r="V45" s="6" t="s">
        <v>108</v>
      </c>
      <c r="W45" s="3" t="s">
        <v>158</v>
      </c>
      <c r="X45" s="3" t="s">
        <v>376</v>
      </c>
      <c r="Y45" s="3" t="s">
        <v>517</v>
      </c>
      <c r="Z45" s="8" t="str">
        <f>HYPERLINK("http://www.fwf.ac.at/en/index.asp","http://www.fwf.ac.at/en/index.asp")</f>
        <v>http://www.fwf.ac.at/en/index.asp</v>
      </c>
      <c r="AA45" s="8" t="str">
        <f>HYPERLINK("https://www.fwf.ac.at/en/research-funding/open-access-policy/","https://www.fwf.ac.at/en/research-funding/open-access-policy/")</f>
        <v>https://www.fwf.ac.at/en/research-funding/open-access-policy/</v>
      </c>
      <c r="AC45" s="3">
        <v>38999</v>
      </c>
      <c r="AD45" s="3">
        <v>38999</v>
      </c>
      <c r="AE45" s="3">
        <v>42005</v>
      </c>
      <c r="AF45" s="3" t="s">
        <v>177</v>
      </c>
      <c r="AG45" s="3" t="s">
        <v>178</v>
      </c>
      <c r="AH45" s="3" t="s">
        <v>370</v>
      </c>
      <c r="AI45" s="3" t="s">
        <v>377</v>
      </c>
      <c r="AJ45" s="3" t="s">
        <v>182</v>
      </c>
      <c r="AK45" s="3" t="s">
        <v>393</v>
      </c>
      <c r="AL45" s="3" t="s">
        <v>185</v>
      </c>
      <c r="AM45" s="3" t="s">
        <v>178</v>
      </c>
      <c r="AN45" s="3" t="s">
        <v>244</v>
      </c>
      <c r="AO45" s="3" t="s">
        <v>378</v>
      </c>
      <c r="AP45" s="3" t="s">
        <v>189</v>
      </c>
      <c r="AQ45" s="3" t="s">
        <v>386</v>
      </c>
      <c r="AR45" s="3" t="s">
        <v>288</v>
      </c>
      <c r="AS45" s="3" t="s">
        <v>185</v>
      </c>
      <c r="AT45" s="3" t="s">
        <v>395</v>
      </c>
      <c r="AU45" s="3" t="s">
        <v>395</v>
      </c>
      <c r="AV45" s="3" t="s">
        <v>185</v>
      </c>
      <c r="AW45" s="3" t="s">
        <v>520</v>
      </c>
      <c r="AX45" s="3" t="s">
        <v>341</v>
      </c>
      <c r="AY45" s="3" t="s">
        <v>521</v>
      </c>
      <c r="AZ45" s="8" t="str">
        <f>HYPERLINK("https://www.fwf.ac.at/en/research-funding/fwf-programmes/peer-reviewed-publications/","https://www.fwf.ac.at/en/research-funding/fwf-programmes/peer-reviewed-publications/")</f>
        <v>https://www.fwf.ac.at/en/research-funding/fwf-programmes/peer-reviewed-publications/</v>
      </c>
    </row>
    <row r="46" spans="1:52" ht="15.75" customHeight="1">
      <c r="A46" s="3">
        <v>78</v>
      </c>
      <c r="B46" s="5" t="str">
        <f t="shared" si="0"/>
        <v>http://roarmap.eprints.org/78/</v>
      </c>
      <c r="C46" s="3">
        <v>3</v>
      </c>
      <c r="D46" s="3" t="s">
        <v>98</v>
      </c>
      <c r="E46" s="3">
        <v>1</v>
      </c>
      <c r="F46" s="3" t="s">
        <v>522</v>
      </c>
      <c r="G46" s="3">
        <v>41988.923206018517</v>
      </c>
      <c r="H46" s="3">
        <v>41988.923206018517</v>
      </c>
      <c r="I46" s="3">
        <v>41988.923206018517</v>
      </c>
      <c r="J46" s="3" t="s">
        <v>103</v>
      </c>
      <c r="K46" s="3" t="s">
        <v>105</v>
      </c>
      <c r="L46" s="3" t="s">
        <v>523</v>
      </c>
      <c r="M46" s="3" t="s">
        <v>374</v>
      </c>
      <c r="O46" s="3" t="s">
        <v>524</v>
      </c>
      <c r="P46" s="3" t="s">
        <v>215</v>
      </c>
      <c r="Q46" t="str">
        <f t="shared" si="1"/>
        <v>http://roarmap.eprints.org/view/country/040.html</v>
      </c>
      <c r="R46" s="3">
        <v>40</v>
      </c>
      <c r="S46" s="6" t="s">
        <v>77</v>
      </c>
      <c r="T46" s="9" t="s">
        <v>3944</v>
      </c>
      <c r="U46" s="7" t="s">
        <v>123</v>
      </c>
      <c r="V46" s="6" t="s">
        <v>108</v>
      </c>
      <c r="W46" s="3" t="s">
        <v>158</v>
      </c>
      <c r="X46" s="3" t="s">
        <v>160</v>
      </c>
      <c r="Y46" s="3" t="s">
        <v>523</v>
      </c>
      <c r="Z46" s="8" t="str">
        <f>HYPERLINK("http://ist.ac.at/","http://ist.ac.at/")</f>
        <v>http://ist.ac.at/</v>
      </c>
      <c r="AA46" s="8" t="str">
        <f>HYPERLINK("http://ist.ac.at/open-access/open-access-policy/","http://ist.ac.at/open-access/open-access-policy/")</f>
        <v>http://ist.ac.at/open-access/open-access-policy/</v>
      </c>
      <c r="AB46" s="8" t="str">
        <f>HYPERLINK("https://repository.ist.ac.at/","https://repository.ist.ac.at/")</f>
        <v>https://repository.ist.ac.at/</v>
      </c>
      <c r="AC46" s="3">
        <v>41685</v>
      </c>
      <c r="AD46" s="3">
        <v>41685</v>
      </c>
      <c r="AF46" s="3" t="s">
        <v>177</v>
      </c>
      <c r="AG46" s="3" t="s">
        <v>178</v>
      </c>
      <c r="AH46" s="3" t="s">
        <v>370</v>
      </c>
      <c r="AI46" s="3" t="s">
        <v>244</v>
      </c>
      <c r="AJ46" s="3" t="s">
        <v>182</v>
      </c>
      <c r="AK46" s="3" t="s">
        <v>393</v>
      </c>
      <c r="AL46" s="3" t="s">
        <v>244</v>
      </c>
      <c r="AM46" s="3" t="s">
        <v>178</v>
      </c>
      <c r="AN46" s="3" t="s">
        <v>244</v>
      </c>
      <c r="AO46" s="3" t="s">
        <v>247</v>
      </c>
      <c r="AP46" s="3" t="s">
        <v>244</v>
      </c>
      <c r="AQ46" s="3" t="s">
        <v>247</v>
      </c>
      <c r="AR46" s="3" t="s">
        <v>288</v>
      </c>
      <c r="AS46" s="3" t="s">
        <v>189</v>
      </c>
      <c r="AT46" s="3" t="s">
        <v>244</v>
      </c>
      <c r="AU46" s="3" t="s">
        <v>244</v>
      </c>
      <c r="AV46" s="3" t="s">
        <v>288</v>
      </c>
      <c r="AW46" s="3" t="s">
        <v>339</v>
      </c>
      <c r="AX46" s="3" t="s">
        <v>442</v>
      </c>
      <c r="AY46" s="3" t="s">
        <v>198</v>
      </c>
      <c r="AZ46" s="8" t="str">
        <f>HYPERLINK("http://ist.ac.at/open-access/funding-agencies-on-oa/","http://ist.ac.at/open-access/funding-agencies-on-oa/")</f>
        <v>http://ist.ac.at/open-access/funding-agencies-on-oa/</v>
      </c>
    </row>
    <row r="47" spans="1:52" ht="15.75" customHeight="1">
      <c r="A47" s="3">
        <v>79</v>
      </c>
      <c r="B47" s="5" t="str">
        <f t="shared" si="0"/>
        <v>http://roarmap.eprints.org/79/</v>
      </c>
      <c r="C47" s="3">
        <v>3</v>
      </c>
      <c r="D47" s="3" t="s">
        <v>98</v>
      </c>
      <c r="E47" s="3">
        <v>1</v>
      </c>
      <c r="F47" s="3" t="s">
        <v>525</v>
      </c>
      <c r="G47" s="3">
        <v>41988.923206018517</v>
      </c>
      <c r="H47" s="3">
        <v>41988.923206018517</v>
      </c>
      <c r="I47" s="3">
        <v>41988.923206018517</v>
      </c>
      <c r="J47" s="3" t="s">
        <v>103</v>
      </c>
      <c r="K47" s="3" t="s">
        <v>105</v>
      </c>
      <c r="L47" s="3" t="s">
        <v>526</v>
      </c>
      <c r="M47" s="3" t="s">
        <v>374</v>
      </c>
      <c r="O47" s="3" t="s">
        <v>524</v>
      </c>
      <c r="P47" s="3" t="s">
        <v>215</v>
      </c>
      <c r="Q47" t="str">
        <f t="shared" si="1"/>
        <v>http://roarmap.eprints.org/view/country/040.html</v>
      </c>
      <c r="R47" s="3">
        <v>40</v>
      </c>
      <c r="S47" s="6" t="s">
        <v>77</v>
      </c>
      <c r="T47" s="9" t="s">
        <v>3944</v>
      </c>
      <c r="U47" s="7" t="s">
        <v>123</v>
      </c>
      <c r="V47" s="6" t="s">
        <v>108</v>
      </c>
      <c r="W47" s="3" t="s">
        <v>158</v>
      </c>
      <c r="X47" s="3" t="s">
        <v>160</v>
      </c>
      <c r="Y47" s="3" t="s">
        <v>526</v>
      </c>
      <c r="Z47" s="8" t="str">
        <f>HYPERLINK("http://www.uni-graz.at/en/","http://www.uni-graz.at/en/")</f>
        <v>http://www.uni-graz.at/en/</v>
      </c>
      <c r="AA47" s="8" t="str">
        <f>HYPERLINK("http://ub.uni-graz.at/de/dienstleistungen/open-access/die-uni-graz-und-open-access/open-access-policy/","http://ub.uni-graz.at/de/dienstleistungen/open-access/die-uni-graz-und-open-access/open-access-policy/")</f>
        <v>http://ub.uni-graz.at/de/dienstleistungen/open-access/die-uni-graz-und-open-access/open-access-policy/</v>
      </c>
      <c r="AB47" s="8" t="str">
        <f>HYPERLINK("http://unipub.uni-graz.at/","http://unipub.uni-graz.at/")</f>
        <v>http://unipub.uni-graz.at/</v>
      </c>
      <c r="AC47" s="3">
        <v>41522</v>
      </c>
      <c r="AD47" s="3">
        <v>41523</v>
      </c>
      <c r="AF47" s="3" t="s">
        <v>177</v>
      </c>
      <c r="AG47" s="3" t="s">
        <v>333</v>
      </c>
      <c r="AH47" s="3" t="s">
        <v>180</v>
      </c>
      <c r="AI47" s="3" t="s">
        <v>244</v>
      </c>
      <c r="AJ47" s="3" t="s">
        <v>244</v>
      </c>
      <c r="AK47" s="3" t="s">
        <v>244</v>
      </c>
      <c r="AL47" s="3" t="s">
        <v>288</v>
      </c>
      <c r="AM47" s="3" t="s">
        <v>479</v>
      </c>
      <c r="AN47" s="3" t="s">
        <v>244</v>
      </c>
      <c r="AO47" s="3" t="s">
        <v>247</v>
      </c>
      <c r="AP47" s="3" t="s">
        <v>185</v>
      </c>
      <c r="AQ47" s="3" t="s">
        <v>386</v>
      </c>
      <c r="AR47" s="3" t="s">
        <v>288</v>
      </c>
      <c r="AS47" s="3" t="s">
        <v>288</v>
      </c>
      <c r="AT47" s="3" t="s">
        <v>244</v>
      </c>
      <c r="AU47" s="3" t="s">
        <v>244</v>
      </c>
      <c r="AV47" s="3" t="s">
        <v>288</v>
      </c>
      <c r="AW47" s="3" t="s">
        <v>339</v>
      </c>
      <c r="AX47" s="3" t="s">
        <v>244</v>
      </c>
      <c r="AY47" s="3" t="s">
        <v>247</v>
      </c>
    </row>
    <row r="48" spans="1:52" ht="15.75" customHeight="1">
      <c r="A48" s="3">
        <v>80</v>
      </c>
      <c r="B48" s="5" t="str">
        <f t="shared" si="0"/>
        <v>http://roarmap.eprints.org/80/</v>
      </c>
      <c r="C48" s="3">
        <v>4</v>
      </c>
      <c r="D48" s="3" t="s">
        <v>98</v>
      </c>
      <c r="E48" s="3">
        <v>1</v>
      </c>
      <c r="F48" s="3" t="s">
        <v>527</v>
      </c>
      <c r="G48" s="3">
        <v>41988.923206018517</v>
      </c>
      <c r="H48" s="3">
        <v>42145.448969907404</v>
      </c>
      <c r="I48" s="3">
        <v>41988.923206018517</v>
      </c>
      <c r="J48" s="3" t="s">
        <v>103</v>
      </c>
      <c r="K48" s="3" t="s">
        <v>105</v>
      </c>
      <c r="L48" s="3" t="s">
        <v>528</v>
      </c>
      <c r="N48" s="3" t="s">
        <v>529</v>
      </c>
      <c r="P48" s="3" t="s">
        <v>501</v>
      </c>
      <c r="Q48" t="str">
        <f t="shared" si="1"/>
        <v>http://roarmap.eprints.org/view/country/040.html</v>
      </c>
      <c r="R48" s="3">
        <v>40</v>
      </c>
      <c r="S48" s="6" t="s">
        <v>77</v>
      </c>
      <c r="T48" s="9" t="s">
        <v>3944</v>
      </c>
      <c r="U48" s="7" t="s">
        <v>123</v>
      </c>
      <c r="V48" s="6" t="s">
        <v>108</v>
      </c>
      <c r="W48" s="3" t="s">
        <v>158</v>
      </c>
      <c r="X48" s="3" t="s">
        <v>160</v>
      </c>
      <c r="Y48" s="3" t="s">
        <v>528</v>
      </c>
      <c r="Z48" s="8" t="str">
        <f>HYPERLINK("http://www.univie.ac.at/en/","http://www.univie.ac.at/en/")</f>
        <v>http://www.univie.ac.at/en/</v>
      </c>
      <c r="AA48" s="8" t="str">
        <f>HYPERLINK("http://openaccess.univie.ac.at/policy/","http://openaccess.univie.ac.at/policy/")</f>
        <v>http://openaccess.univie.ac.at/policy/</v>
      </c>
      <c r="AB48" s="8" t="str">
        <f>HYPERLINK("https://uscholar.univie.ac.at/","https://uscholar.univie.ac.at/")</f>
        <v>https://uscholar.univie.ac.at/</v>
      </c>
      <c r="AC48" s="3">
        <v>41807</v>
      </c>
      <c r="AF48" s="3" t="s">
        <v>177</v>
      </c>
      <c r="AG48" s="3" t="s">
        <v>333</v>
      </c>
      <c r="AH48" s="3" t="s">
        <v>180</v>
      </c>
      <c r="AI48" s="3" t="s">
        <v>371</v>
      </c>
      <c r="AJ48" s="3" t="s">
        <v>244</v>
      </c>
      <c r="AK48" s="3" t="s">
        <v>244</v>
      </c>
      <c r="AL48" s="3" t="s">
        <v>189</v>
      </c>
      <c r="AM48" s="3" t="s">
        <v>479</v>
      </c>
      <c r="AN48" s="3" t="s">
        <v>189</v>
      </c>
      <c r="AO48" s="3" t="s">
        <v>247</v>
      </c>
      <c r="AP48" s="3" t="s">
        <v>244</v>
      </c>
      <c r="AQ48" s="3" t="s">
        <v>247</v>
      </c>
      <c r="AR48" s="3" t="s">
        <v>288</v>
      </c>
      <c r="AS48" s="3" t="s">
        <v>189</v>
      </c>
      <c r="AT48" s="3" t="s">
        <v>244</v>
      </c>
      <c r="AU48" s="3" t="s">
        <v>244</v>
      </c>
      <c r="AV48" s="3" t="s">
        <v>288</v>
      </c>
      <c r="AW48" s="3" t="s">
        <v>371</v>
      </c>
      <c r="AX48" s="3" t="s">
        <v>341</v>
      </c>
      <c r="AY48" s="3" t="s">
        <v>428</v>
      </c>
      <c r="AZ48" s="8" t="str">
        <f>HYPERLINK("http://openaccess.univie.ac.at/foerderungen/zentraler-publikationsfonds/","http://openaccess.univie.ac.at/foerderungen/zentraler-publikationsfonds/")</f>
        <v>http://openaccess.univie.ac.at/foerderungen/zentraler-publikationsfonds/</v>
      </c>
    </row>
    <row r="49" spans="1:51" ht="15.75" customHeight="1">
      <c r="A49" s="3">
        <v>83</v>
      </c>
      <c r="B49" s="5" t="str">
        <f t="shared" si="0"/>
        <v>http://roarmap.eprints.org/83/</v>
      </c>
      <c r="C49" s="3">
        <v>4</v>
      </c>
      <c r="D49" s="3" t="s">
        <v>98</v>
      </c>
      <c r="E49" s="3">
        <v>245</v>
      </c>
      <c r="F49" s="3" t="s">
        <v>530</v>
      </c>
      <c r="G49" s="3">
        <v>41988.923217592594</v>
      </c>
      <c r="H49" s="3">
        <v>42046.98164351852</v>
      </c>
      <c r="I49" s="3">
        <v>41988.923217592594</v>
      </c>
      <c r="J49" s="3" t="s">
        <v>103</v>
      </c>
      <c r="K49" s="3" t="s">
        <v>105</v>
      </c>
      <c r="L49" s="3" t="s">
        <v>531</v>
      </c>
      <c r="M49" s="3" t="s">
        <v>532</v>
      </c>
      <c r="N49" s="3" t="s">
        <v>533</v>
      </c>
      <c r="O49" s="3" t="s">
        <v>534</v>
      </c>
      <c r="P49" s="3" t="s">
        <v>215</v>
      </c>
      <c r="Q49" t="str">
        <f t="shared" si="1"/>
        <v>http://roarmap.eprints.org/view/country/056.html</v>
      </c>
      <c r="R49" s="3">
        <v>56</v>
      </c>
      <c r="S49" s="6" t="s">
        <v>85</v>
      </c>
      <c r="T49" s="9" t="s">
        <v>3945</v>
      </c>
      <c r="U49" s="7" t="s">
        <v>123</v>
      </c>
      <c r="V49" s="6" t="s">
        <v>108</v>
      </c>
      <c r="W49" s="3" t="s">
        <v>158</v>
      </c>
      <c r="X49" s="3" t="s">
        <v>160</v>
      </c>
      <c r="Y49" s="3" t="s">
        <v>531</v>
      </c>
      <c r="Z49" s="8" t="str">
        <f>HYPERLINK("http://www.academielouvain.be/redirect.php3?id=410","http://www.academielouvain.be/redirect.php3?id=410")</f>
        <v>http://www.academielouvain.be/redirect.php3?id=410</v>
      </c>
      <c r="AA49" s="8" t="str">
        <f>HYPERLINK("http://openaccess.eprints.org/index.php?/archives/71-guid.html","http://openaccess.eprints.org/index.php?/archives/71-guid.html")</f>
        <v>http://openaccess.eprints.org/index.php?/archives/71-guid.html</v>
      </c>
      <c r="AB49" s="8" t="str">
        <f t="shared" ref="AB49:AB50" si="3">HYPERLINK("http://dial.academielouvain.be/vital/access/manager/Index?site_name=BOREAL","http://dial.academielouvain.be/vital/access/manager/Index?site_name=BOREAL")</f>
        <v>http://dial.academielouvain.be/vital/access/manager/Index?site_name=BOREAL</v>
      </c>
      <c r="AC49" s="3">
        <v>41092</v>
      </c>
      <c r="AD49" s="3">
        <v>41275</v>
      </c>
      <c r="AF49" s="3" t="s">
        <v>478</v>
      </c>
      <c r="AG49" s="3" t="s">
        <v>178</v>
      </c>
      <c r="AH49" s="3" t="s">
        <v>180</v>
      </c>
      <c r="AI49" s="3" t="s">
        <v>187</v>
      </c>
      <c r="AJ49" s="3" t="s">
        <v>182</v>
      </c>
      <c r="AK49" s="3" t="s">
        <v>393</v>
      </c>
      <c r="AL49" s="3" t="s">
        <v>189</v>
      </c>
      <c r="AM49" s="3" t="s">
        <v>479</v>
      </c>
      <c r="AN49" s="3" t="s">
        <v>189</v>
      </c>
      <c r="AO49" s="3" t="s">
        <v>181</v>
      </c>
      <c r="AP49" s="3" t="s">
        <v>189</v>
      </c>
      <c r="AQ49" s="3" t="s">
        <v>386</v>
      </c>
      <c r="AR49" s="3" t="s">
        <v>288</v>
      </c>
      <c r="AS49" s="3" t="s">
        <v>189</v>
      </c>
      <c r="AT49" s="3" t="s">
        <v>244</v>
      </c>
      <c r="AU49" s="3" t="s">
        <v>244</v>
      </c>
      <c r="AV49" s="3" t="s">
        <v>288</v>
      </c>
      <c r="AW49" s="3" t="s">
        <v>339</v>
      </c>
      <c r="AX49" s="3" t="s">
        <v>341</v>
      </c>
      <c r="AY49" s="3" t="s">
        <v>247</v>
      </c>
    </row>
    <row r="50" spans="1:51" ht="15.75" customHeight="1">
      <c r="A50" s="3">
        <v>85</v>
      </c>
      <c r="B50" s="5" t="str">
        <f t="shared" si="0"/>
        <v>http://roarmap.eprints.org/85/</v>
      </c>
      <c r="C50" s="3">
        <v>5</v>
      </c>
      <c r="D50" s="3" t="s">
        <v>98</v>
      </c>
      <c r="E50" s="3">
        <v>245</v>
      </c>
      <c r="F50" s="3" t="s">
        <v>535</v>
      </c>
      <c r="G50" s="3">
        <v>41988.923217592594</v>
      </c>
      <c r="H50" s="3">
        <v>42046.98164351852</v>
      </c>
      <c r="I50" s="3">
        <v>41988.923217592594</v>
      </c>
      <c r="J50" s="3" t="s">
        <v>103</v>
      </c>
      <c r="K50" s="3" t="s">
        <v>105</v>
      </c>
      <c r="L50" s="3" t="s">
        <v>536</v>
      </c>
      <c r="M50" s="3" t="s">
        <v>532</v>
      </c>
      <c r="N50" s="3" t="s">
        <v>537</v>
      </c>
      <c r="O50" s="3" t="s">
        <v>538</v>
      </c>
      <c r="P50" s="3" t="s">
        <v>215</v>
      </c>
      <c r="Q50" t="str">
        <f t="shared" si="1"/>
        <v>http://roarmap.eprints.org/view/country/056.html</v>
      </c>
      <c r="R50" s="3">
        <v>56</v>
      </c>
      <c r="S50" s="6" t="s">
        <v>85</v>
      </c>
      <c r="T50" s="9" t="s">
        <v>3945</v>
      </c>
      <c r="U50" s="7" t="s">
        <v>123</v>
      </c>
      <c r="V50" s="6" t="s">
        <v>108</v>
      </c>
      <c r="W50" s="3" t="s">
        <v>158</v>
      </c>
      <c r="X50" s="3" t="s">
        <v>160</v>
      </c>
      <c r="Y50" s="3" t="s">
        <v>536</v>
      </c>
      <c r="Z50" s="8" t="str">
        <f>HYPERLINK("http://www.uclouvain.be/index.html","http://www.uclouvain.be/index.html")</f>
        <v>http://www.uclouvain.be/index.html</v>
      </c>
      <c r="AA50" s="8" t="str">
        <f>HYPERLINK("http://dial.academielouvain.be/vital/access/manager/FAQ#q1-1","http://dial.academielouvain.be/vital/access/manager/FAQ#q1-1")</f>
        <v>http://dial.academielouvain.be/vital/access/manager/FAQ#q1-1</v>
      </c>
      <c r="AB50" s="8" t="str">
        <f t="shared" si="3"/>
        <v>http://dial.academielouvain.be/vital/access/manager/Index?site_name=BOREAL</v>
      </c>
      <c r="AC50" s="3">
        <v>41092</v>
      </c>
      <c r="AD50" s="3">
        <v>41275</v>
      </c>
      <c r="AF50" s="3" t="s">
        <v>478</v>
      </c>
      <c r="AG50" s="3" t="s">
        <v>178</v>
      </c>
      <c r="AH50" s="3" t="s">
        <v>180</v>
      </c>
      <c r="AI50" s="3" t="s">
        <v>187</v>
      </c>
      <c r="AJ50" s="3" t="s">
        <v>182</v>
      </c>
      <c r="AK50" s="3" t="s">
        <v>393</v>
      </c>
      <c r="AL50" s="3" t="s">
        <v>189</v>
      </c>
      <c r="AM50" s="3" t="s">
        <v>479</v>
      </c>
      <c r="AN50" s="3" t="s">
        <v>189</v>
      </c>
      <c r="AO50" s="3" t="s">
        <v>181</v>
      </c>
      <c r="AP50" s="3" t="s">
        <v>189</v>
      </c>
      <c r="AQ50" s="3" t="s">
        <v>386</v>
      </c>
      <c r="AR50" s="3" t="s">
        <v>288</v>
      </c>
      <c r="AS50" s="3" t="s">
        <v>288</v>
      </c>
      <c r="AT50" s="3" t="s">
        <v>244</v>
      </c>
      <c r="AU50" s="3" t="s">
        <v>244</v>
      </c>
      <c r="AV50" s="3" t="s">
        <v>288</v>
      </c>
      <c r="AW50" s="3" t="s">
        <v>339</v>
      </c>
      <c r="AX50" s="3" t="s">
        <v>341</v>
      </c>
      <c r="AY50" s="3" t="s">
        <v>198</v>
      </c>
    </row>
    <row r="51" spans="1:51" ht="15.75" customHeight="1">
      <c r="A51" s="3">
        <v>680</v>
      </c>
      <c r="B51" s="5" t="str">
        <f t="shared" si="0"/>
        <v>http://roarmap.eprints.org/680/</v>
      </c>
      <c r="C51" s="3">
        <v>4</v>
      </c>
      <c r="D51" s="3" t="s">
        <v>98</v>
      </c>
      <c r="E51" s="3">
        <v>65</v>
      </c>
      <c r="F51" s="3" t="s">
        <v>539</v>
      </c>
      <c r="G51" s="3">
        <v>42066.720358796294</v>
      </c>
      <c r="H51" s="3">
        <v>42066.720358796294</v>
      </c>
      <c r="I51" s="3">
        <v>42066.720358796294</v>
      </c>
      <c r="J51" s="3" t="s">
        <v>103</v>
      </c>
      <c r="K51" s="3" t="s">
        <v>105</v>
      </c>
      <c r="L51" s="3" t="s">
        <v>540</v>
      </c>
      <c r="P51" s="3" t="s">
        <v>215</v>
      </c>
      <c r="Q51" t="str">
        <f t="shared" si="1"/>
        <v>http://roarmap.eprints.org/view/country/056.html</v>
      </c>
      <c r="R51" s="3">
        <v>56</v>
      </c>
      <c r="S51" s="6" t="s">
        <v>85</v>
      </c>
      <c r="T51" s="9" t="s">
        <v>3945</v>
      </c>
      <c r="U51" s="7" t="s">
        <v>123</v>
      </c>
      <c r="V51" s="6" t="s">
        <v>108</v>
      </c>
      <c r="W51" s="3" t="s">
        <v>158</v>
      </c>
      <c r="X51" s="3" t="s">
        <v>376</v>
      </c>
      <c r="Y51" s="3" t="s">
        <v>540</v>
      </c>
      <c r="Z51" s="8" t="str">
        <f>HYPERLINK("http://ec.europa.eu/programmes/horizon2020/en","http://ec.europa.eu/programmes/horizon2020/en")</f>
        <v>http://ec.europa.eu/programmes/horizon2020/en</v>
      </c>
      <c r="AA51" s="8" t="str">
        <f>HYPERLINK("http://ec.europa.eu/research/participants/data/ref/h2020/grants_manual/hi/oa_pilot/h2020-hi-oa-pilot-guide_en.pdf","http://ec.europa.eu/research/participants/data/ref/h2020/grants_manual/hi/oa_pilot/h2020-hi-oa-pilot-guide_en.pdf")</f>
        <v>http://ec.europa.eu/research/participants/data/ref/h2020/grants_manual/hi/oa_pilot/h2020-hi-oa-pilot-guide_en.pdf</v>
      </c>
      <c r="AC51" s="3">
        <v>41619</v>
      </c>
      <c r="AF51" s="3" t="s">
        <v>177</v>
      </c>
      <c r="AG51" s="3" t="s">
        <v>178</v>
      </c>
      <c r="AH51" s="3" t="s">
        <v>370</v>
      </c>
      <c r="AI51" s="3" t="s">
        <v>392</v>
      </c>
      <c r="AJ51" s="3" t="s">
        <v>182</v>
      </c>
      <c r="AK51" s="3" t="s">
        <v>393</v>
      </c>
      <c r="AL51" s="3" t="s">
        <v>185</v>
      </c>
      <c r="AM51" s="3" t="s">
        <v>178</v>
      </c>
      <c r="AN51" s="3" t="s">
        <v>185</v>
      </c>
      <c r="AO51" s="3" t="s">
        <v>378</v>
      </c>
      <c r="AP51" s="3" t="s">
        <v>189</v>
      </c>
      <c r="AQ51" s="3" t="s">
        <v>394</v>
      </c>
      <c r="AR51" s="3" t="s">
        <v>244</v>
      </c>
      <c r="AS51" s="3" t="s">
        <v>185</v>
      </c>
      <c r="AT51" s="3" t="s">
        <v>379</v>
      </c>
      <c r="AU51" s="3" t="s">
        <v>395</v>
      </c>
      <c r="AV51" s="3" t="s">
        <v>244</v>
      </c>
      <c r="AW51" s="3" t="s">
        <v>520</v>
      </c>
      <c r="AX51" s="3" t="s">
        <v>442</v>
      </c>
      <c r="AY51" s="3" t="s">
        <v>198</v>
      </c>
    </row>
    <row r="52" spans="1:51" ht="15.75" customHeight="1">
      <c r="A52" s="3">
        <v>683</v>
      </c>
      <c r="B52" s="5" t="str">
        <f t="shared" si="0"/>
        <v>http://roarmap.eprints.org/683/</v>
      </c>
      <c r="C52" s="3">
        <v>4</v>
      </c>
      <c r="D52" s="3" t="s">
        <v>98</v>
      </c>
      <c r="E52" s="3">
        <v>65</v>
      </c>
      <c r="F52" s="3" t="s">
        <v>541</v>
      </c>
      <c r="G52" s="3">
        <v>42066.744560185187</v>
      </c>
      <c r="H52" s="3">
        <v>42066.744560185187</v>
      </c>
      <c r="I52" s="3">
        <v>42066.744560185187</v>
      </c>
      <c r="J52" s="3" t="s">
        <v>103</v>
      </c>
      <c r="K52" s="3" t="s">
        <v>105</v>
      </c>
      <c r="L52" s="3" t="s">
        <v>542</v>
      </c>
      <c r="P52" s="3" t="s">
        <v>215</v>
      </c>
      <c r="Q52" t="str">
        <f t="shared" si="1"/>
        <v>http://roarmap.eprints.org/view/country/056.html</v>
      </c>
      <c r="R52" s="3">
        <v>56</v>
      </c>
      <c r="S52" s="6" t="s">
        <v>85</v>
      </c>
      <c r="T52" s="9" t="s">
        <v>3945</v>
      </c>
      <c r="U52" s="7" t="s">
        <v>123</v>
      </c>
      <c r="V52" s="6" t="s">
        <v>108</v>
      </c>
      <c r="W52" s="3" t="s">
        <v>158</v>
      </c>
      <c r="X52" s="3" t="s">
        <v>376</v>
      </c>
      <c r="Y52" s="3" t="s">
        <v>542</v>
      </c>
      <c r="Z52" s="8" t="str">
        <f>HYPERLINK("http://erc.europa.eu/","http://erc.europa.eu/")</f>
        <v>http://erc.europa.eu/</v>
      </c>
      <c r="AA52" s="8" t="str">
        <f>HYPERLINK("http://erc.europa.eu/sites/default/files/document/file/ERC_Open_Access_Guidelines-revised_2014.pdf","http://erc.europa.eu/sites/default/files/document/file/ERC_Open_Access_Guidelines-revised_2014.pdf")</f>
        <v>http://erc.europa.eu/sites/default/files/document/file/ERC_Open_Access_Guidelines-revised_2014.pdf</v>
      </c>
      <c r="AC52" s="3">
        <v>41974</v>
      </c>
      <c r="AF52" s="3" t="s">
        <v>177</v>
      </c>
      <c r="AG52" s="3" t="s">
        <v>333</v>
      </c>
      <c r="AH52" s="3" t="s">
        <v>463</v>
      </c>
      <c r="AI52" s="3" t="s">
        <v>377</v>
      </c>
      <c r="AJ52" s="3" t="s">
        <v>182</v>
      </c>
      <c r="AK52" s="3" t="s">
        <v>393</v>
      </c>
      <c r="AL52" s="3" t="s">
        <v>288</v>
      </c>
      <c r="AM52" s="3" t="s">
        <v>479</v>
      </c>
      <c r="AN52" s="3" t="s">
        <v>244</v>
      </c>
      <c r="AO52" s="3" t="s">
        <v>378</v>
      </c>
      <c r="AP52" s="3" t="s">
        <v>244</v>
      </c>
      <c r="AQ52" s="3" t="s">
        <v>247</v>
      </c>
      <c r="AR52" s="3" t="s">
        <v>244</v>
      </c>
      <c r="AS52" s="3" t="s">
        <v>244</v>
      </c>
      <c r="AT52" s="3" t="s">
        <v>379</v>
      </c>
      <c r="AU52" s="3" t="s">
        <v>395</v>
      </c>
      <c r="AV52" s="3" t="s">
        <v>244</v>
      </c>
      <c r="AW52" s="3" t="s">
        <v>244</v>
      </c>
      <c r="AX52" s="3" t="s">
        <v>442</v>
      </c>
      <c r="AY52" s="3" t="s">
        <v>198</v>
      </c>
    </row>
    <row r="53" spans="1:51" ht="15.75" customHeight="1">
      <c r="A53" s="3">
        <v>86</v>
      </c>
      <c r="B53" s="5" t="str">
        <f t="shared" si="0"/>
        <v>http://roarmap.eprints.org/86/</v>
      </c>
      <c r="C53" s="3">
        <v>3</v>
      </c>
      <c r="D53" s="3" t="s">
        <v>98</v>
      </c>
      <c r="E53" s="3">
        <v>1</v>
      </c>
      <c r="F53" s="3" t="s">
        <v>543</v>
      </c>
      <c r="G53" s="3">
        <v>41988.923217592594</v>
      </c>
      <c r="H53" s="3">
        <v>41988.923217592594</v>
      </c>
      <c r="I53" s="3">
        <v>41988.923217592594</v>
      </c>
      <c r="J53" s="3" t="s">
        <v>103</v>
      </c>
      <c r="K53" s="3" t="s">
        <v>105</v>
      </c>
      <c r="L53" s="3" t="s">
        <v>544</v>
      </c>
      <c r="M53" s="3" t="s">
        <v>374</v>
      </c>
      <c r="N53" s="3" t="s">
        <v>545</v>
      </c>
      <c r="P53" s="3" t="s">
        <v>215</v>
      </c>
      <c r="Q53" t="str">
        <f t="shared" si="1"/>
        <v>http://roarmap.eprints.org/view/country/056.html</v>
      </c>
      <c r="R53" s="3">
        <v>56</v>
      </c>
      <c r="S53" s="6" t="s">
        <v>85</v>
      </c>
      <c r="T53" s="9" t="s">
        <v>3945</v>
      </c>
      <c r="U53" s="7" t="s">
        <v>123</v>
      </c>
      <c r="V53" s="6" t="s">
        <v>108</v>
      </c>
      <c r="W53" s="3" t="s">
        <v>158</v>
      </c>
      <c r="X53" s="3" t="s">
        <v>376</v>
      </c>
      <c r="Y53" s="3" t="s">
        <v>544</v>
      </c>
      <c r="Z53" s="8" t="str">
        <f>HYPERLINK("http://www.frs-fnrs.be/","http://www.frs-fnrs.be/")</f>
        <v>http://www.frs-fnrs.be/</v>
      </c>
      <c r="AA53" s="8" t="str">
        <f>HYPERLINK("http://www.uclouvain.be/cps/ucl/doc/bspo/documents/FRS-FNRS_Reglement_OPEN_ACCESS.pdf","http://www.uclouvain.be/cps/ucl/doc/bspo/documents/FRS-FNRS_Reglement_OPEN_ACCESS.pdf")</f>
        <v>http://www.uclouvain.be/cps/ucl/doc/bspo/documents/FRS-FNRS_Reglement_OPEN_ACCESS.pdf</v>
      </c>
      <c r="AB53" s="8" t="str">
        <f>HYPERLINK("http://www.frs-fnrs.be/uploaddocs/docs/SOUTENIR/FRS-FNRS_Reglement_OPEN_ACCESS.pdf","http://www.frs-fnrs.be/uploaddocs/docs/SOUTENIR/FRS-FNRS_Reglement_OPEN_ACCESS.pdf")</f>
        <v>http://www.frs-fnrs.be/uploaddocs/docs/SOUTENIR/FRS-FNRS_Reglement_OPEN_ACCESS.pdf</v>
      </c>
      <c r="AC53" s="3">
        <v>41365</v>
      </c>
      <c r="AD53" s="3">
        <v>41183</v>
      </c>
      <c r="AF53" s="3" t="s">
        <v>177</v>
      </c>
      <c r="AG53" s="3" t="s">
        <v>178</v>
      </c>
      <c r="AH53" s="3" t="s">
        <v>180</v>
      </c>
      <c r="AI53" s="3" t="s">
        <v>187</v>
      </c>
      <c r="AJ53" s="3" t="s">
        <v>182</v>
      </c>
      <c r="AK53" s="3" t="s">
        <v>393</v>
      </c>
      <c r="AL53" s="3" t="s">
        <v>185</v>
      </c>
      <c r="AM53" s="3" t="s">
        <v>178</v>
      </c>
      <c r="AN53" s="3" t="s">
        <v>189</v>
      </c>
      <c r="AO53" s="3" t="s">
        <v>378</v>
      </c>
      <c r="AP53" s="3" t="s">
        <v>244</v>
      </c>
      <c r="AQ53" s="3" t="s">
        <v>394</v>
      </c>
      <c r="AR53" s="3" t="s">
        <v>288</v>
      </c>
      <c r="AS53" s="3" t="s">
        <v>189</v>
      </c>
      <c r="AT53" s="3" t="s">
        <v>379</v>
      </c>
      <c r="AU53" s="3" t="s">
        <v>395</v>
      </c>
      <c r="AV53" s="3" t="s">
        <v>288</v>
      </c>
      <c r="AW53" s="3" t="s">
        <v>195</v>
      </c>
      <c r="AX53" s="3" t="s">
        <v>442</v>
      </c>
      <c r="AY53" s="3" t="s">
        <v>428</v>
      </c>
    </row>
    <row r="54" spans="1:51" ht="15.75" customHeight="1">
      <c r="A54" s="3">
        <v>87</v>
      </c>
      <c r="B54" s="5" t="str">
        <f t="shared" si="0"/>
        <v>http://roarmap.eprints.org/87/</v>
      </c>
      <c r="C54" s="3">
        <v>3</v>
      </c>
      <c r="D54" s="3" t="s">
        <v>98</v>
      </c>
      <c r="E54" s="3">
        <v>1</v>
      </c>
      <c r="F54" s="3" t="s">
        <v>546</v>
      </c>
      <c r="G54" s="3">
        <v>41988.923217592594</v>
      </c>
      <c r="H54" s="3">
        <v>41988.923217592594</v>
      </c>
      <c r="I54" s="3">
        <v>41988.923217592594</v>
      </c>
      <c r="J54" s="3" t="s">
        <v>103</v>
      </c>
      <c r="K54" s="3" t="s">
        <v>105</v>
      </c>
      <c r="L54" s="3" t="s">
        <v>547</v>
      </c>
      <c r="M54" s="3" t="s">
        <v>352</v>
      </c>
      <c r="N54" s="3" t="s">
        <v>548</v>
      </c>
      <c r="P54" s="3" t="s">
        <v>215</v>
      </c>
      <c r="Q54" t="str">
        <f t="shared" si="1"/>
        <v>http://roarmap.eprints.org/view/country/056.html</v>
      </c>
      <c r="R54" s="3">
        <v>56</v>
      </c>
      <c r="S54" s="6" t="s">
        <v>85</v>
      </c>
      <c r="T54" s="9" t="s">
        <v>3945</v>
      </c>
      <c r="U54" s="7" t="s">
        <v>123</v>
      </c>
      <c r="V54" s="6" t="s">
        <v>108</v>
      </c>
      <c r="W54" s="3" t="s">
        <v>158</v>
      </c>
      <c r="X54" s="3" t="s">
        <v>160</v>
      </c>
      <c r="Y54" s="3" t="s">
        <v>547</v>
      </c>
      <c r="Z54" s="8" t="str">
        <f>HYPERLINK("http://www.vliz.be/","http://www.vliz.be/")</f>
        <v>http://www.vliz.be/</v>
      </c>
      <c r="AB54" s="8" t="str">
        <f>HYPERLINK("http://www.vliz.be/en/open-marine-archive?page&amp;module=ref","http://www.vliz.be/en/open-marine-archive?page&amp;module=ref")</f>
        <v>http://www.vliz.be/en/open-marine-archive?page&amp;module=ref</v>
      </c>
      <c r="AC54" s="3">
        <v>39387</v>
      </c>
      <c r="AD54" s="3">
        <v>39387</v>
      </c>
      <c r="AF54" s="3" t="s">
        <v>177</v>
      </c>
      <c r="AG54" s="3" t="s">
        <v>244</v>
      </c>
      <c r="AH54" s="3" t="s">
        <v>180</v>
      </c>
      <c r="AI54" s="3" t="s">
        <v>244</v>
      </c>
      <c r="AJ54" s="3" t="s">
        <v>182</v>
      </c>
      <c r="AK54" s="3" t="s">
        <v>244</v>
      </c>
      <c r="AL54" s="3" t="s">
        <v>244</v>
      </c>
      <c r="AM54" s="3" t="s">
        <v>247</v>
      </c>
      <c r="AN54" s="3" t="s">
        <v>244</v>
      </c>
      <c r="AO54" s="3" t="s">
        <v>247</v>
      </c>
      <c r="AP54" s="3" t="s">
        <v>244</v>
      </c>
      <c r="AQ54" s="3" t="s">
        <v>247</v>
      </c>
      <c r="AR54" s="3" t="s">
        <v>288</v>
      </c>
      <c r="AS54" s="3" t="s">
        <v>288</v>
      </c>
      <c r="AT54" s="3" t="s">
        <v>244</v>
      </c>
      <c r="AU54" s="3" t="s">
        <v>244</v>
      </c>
      <c r="AV54" s="3" t="s">
        <v>288</v>
      </c>
      <c r="AW54" s="3" t="s">
        <v>371</v>
      </c>
      <c r="AX54" s="3" t="s">
        <v>244</v>
      </c>
      <c r="AY54" s="3" t="s">
        <v>247</v>
      </c>
    </row>
    <row r="55" spans="1:51" ht="15.75" customHeight="1">
      <c r="A55" s="3">
        <v>88</v>
      </c>
      <c r="B55" s="5" t="str">
        <f t="shared" si="0"/>
        <v>http://roarmap.eprints.org/88/</v>
      </c>
      <c r="C55" s="3">
        <v>3</v>
      </c>
      <c r="D55" s="3" t="s">
        <v>98</v>
      </c>
      <c r="E55" s="3">
        <v>1</v>
      </c>
      <c r="F55" s="3" t="s">
        <v>549</v>
      </c>
      <c r="G55" s="3">
        <v>41988.923217592594</v>
      </c>
      <c r="H55" s="3">
        <v>41988.923217592594</v>
      </c>
      <c r="I55" s="3">
        <v>41988.923217592594</v>
      </c>
      <c r="J55" s="3" t="s">
        <v>103</v>
      </c>
      <c r="K55" s="3" t="s">
        <v>105</v>
      </c>
      <c r="L55" s="3" t="s">
        <v>550</v>
      </c>
      <c r="M55" s="3" t="s">
        <v>374</v>
      </c>
      <c r="N55" s="3" t="s">
        <v>551</v>
      </c>
      <c r="P55" s="3" t="s">
        <v>215</v>
      </c>
      <c r="Q55" t="str">
        <f t="shared" si="1"/>
        <v>http://roarmap.eprints.org/view/country/056.html</v>
      </c>
      <c r="R55" s="3">
        <v>56</v>
      </c>
      <c r="S55" s="6" t="s">
        <v>85</v>
      </c>
      <c r="T55" s="9" t="s">
        <v>3945</v>
      </c>
      <c r="U55" s="7" t="s">
        <v>123</v>
      </c>
      <c r="V55" s="6" t="s">
        <v>108</v>
      </c>
      <c r="W55" s="3" t="s">
        <v>158</v>
      </c>
      <c r="X55" s="3" t="s">
        <v>160</v>
      </c>
      <c r="Y55" s="3" t="s">
        <v>550</v>
      </c>
      <c r="Z55" s="8" t="str">
        <f>HYPERLINK("http://www.ugent.be/","http://www.ugent.be/")</f>
        <v>http://www.ugent.be/</v>
      </c>
      <c r="AA55" s="8" t="str">
        <f>HYPERLINK("https://biblio.ugent.be/downloads/20121109-oa-mandaat-ugent-v2.pdf","https://biblio.ugent.be/downloads/20121109-oa-mandaat-ugent-v2.pdf")</f>
        <v>https://biblio.ugent.be/downloads/20121109-oa-mandaat-ugent-v2.pdf</v>
      </c>
      <c r="AB55" s="8" t="str">
        <f>HYPERLINK("https://biblio.ugent.be/","https://biblio.ugent.be/")</f>
        <v>https://biblio.ugent.be/</v>
      </c>
      <c r="AC55" s="3">
        <v>41222</v>
      </c>
      <c r="AD55" s="3">
        <v>41222</v>
      </c>
      <c r="AF55" s="3" t="s">
        <v>177</v>
      </c>
      <c r="AG55" s="3" t="s">
        <v>178</v>
      </c>
      <c r="AH55" s="3" t="s">
        <v>180</v>
      </c>
      <c r="AI55" s="3" t="s">
        <v>187</v>
      </c>
      <c r="AJ55" s="3" t="s">
        <v>182</v>
      </c>
      <c r="AK55" s="3" t="s">
        <v>393</v>
      </c>
      <c r="AL55" s="3" t="s">
        <v>185</v>
      </c>
      <c r="AM55" s="3" t="s">
        <v>178</v>
      </c>
      <c r="AN55" s="3" t="s">
        <v>189</v>
      </c>
      <c r="AO55" s="3" t="s">
        <v>181</v>
      </c>
      <c r="AP55" s="3" t="s">
        <v>189</v>
      </c>
      <c r="AQ55" s="3" t="s">
        <v>394</v>
      </c>
      <c r="AR55" s="3" t="s">
        <v>288</v>
      </c>
      <c r="AS55" s="3" t="s">
        <v>185</v>
      </c>
      <c r="AT55" s="3" t="s">
        <v>244</v>
      </c>
      <c r="AU55" s="3" t="s">
        <v>244</v>
      </c>
      <c r="AV55" s="3" t="s">
        <v>288</v>
      </c>
      <c r="AW55" s="3" t="s">
        <v>339</v>
      </c>
      <c r="AX55" s="3" t="s">
        <v>341</v>
      </c>
      <c r="AY55" s="3" t="s">
        <v>371</v>
      </c>
    </row>
    <row r="56" spans="1:51" ht="15.75" customHeight="1">
      <c r="A56" s="3">
        <v>89</v>
      </c>
      <c r="B56" s="5" t="str">
        <f t="shared" si="0"/>
        <v>http://roarmap.eprints.org/89/</v>
      </c>
      <c r="C56" s="3">
        <v>5</v>
      </c>
      <c r="D56" s="3" t="s">
        <v>98</v>
      </c>
      <c r="E56" s="3">
        <v>1</v>
      </c>
      <c r="F56" s="3" t="s">
        <v>552</v>
      </c>
      <c r="G56" s="3">
        <v>41988.923217592594</v>
      </c>
      <c r="H56" s="3">
        <v>42020.708391203705</v>
      </c>
      <c r="I56" s="3">
        <v>41988.923217592594</v>
      </c>
      <c r="J56" s="3" t="s">
        <v>103</v>
      </c>
      <c r="K56" s="3" t="s">
        <v>105</v>
      </c>
      <c r="L56" s="3" t="s">
        <v>553</v>
      </c>
      <c r="P56" s="3" t="s">
        <v>215</v>
      </c>
      <c r="Q56" t="str">
        <f t="shared" si="1"/>
        <v>http://roarmap.eprints.org/view/country/056.html</v>
      </c>
      <c r="R56" s="3">
        <v>56</v>
      </c>
      <c r="S56" s="6" t="s">
        <v>85</v>
      </c>
      <c r="T56" s="9" t="s">
        <v>3945</v>
      </c>
      <c r="U56" s="7" t="s">
        <v>123</v>
      </c>
      <c r="V56" s="6" t="s">
        <v>108</v>
      </c>
      <c r="W56" s="3" t="s">
        <v>158</v>
      </c>
      <c r="X56" s="3" t="s">
        <v>160</v>
      </c>
      <c r="Y56" s="3" t="s">
        <v>553</v>
      </c>
      <c r="Z56" s="8" t="str">
        <f>HYPERLINK("http://www.itg.be/itg","http://www.itg.be/itg")</f>
        <v>http://www.itg.be/itg</v>
      </c>
      <c r="AB56" s="8" t="str">
        <f>HYPERLINK("http://dspace.itg.be/","http://dspace.itg.be/")</f>
        <v>http://dspace.itg.be/</v>
      </c>
      <c r="AG56" s="3" t="s">
        <v>244</v>
      </c>
      <c r="AH56" s="3" t="s">
        <v>180</v>
      </c>
      <c r="AI56" s="3" t="s">
        <v>181</v>
      </c>
      <c r="AJ56" s="3" t="s">
        <v>244</v>
      </c>
      <c r="AK56" s="3" t="s">
        <v>393</v>
      </c>
      <c r="AL56" s="3" t="s">
        <v>244</v>
      </c>
      <c r="AM56" s="3" t="s">
        <v>178</v>
      </c>
      <c r="AN56" s="3" t="s">
        <v>244</v>
      </c>
      <c r="AO56" s="3" t="s">
        <v>378</v>
      </c>
      <c r="AP56" s="3" t="s">
        <v>185</v>
      </c>
      <c r="AQ56" s="3" t="s">
        <v>394</v>
      </c>
      <c r="AR56" s="3" t="s">
        <v>288</v>
      </c>
      <c r="AS56" s="3" t="s">
        <v>244</v>
      </c>
      <c r="AT56" s="3" t="s">
        <v>244</v>
      </c>
      <c r="AU56" s="3" t="s">
        <v>244</v>
      </c>
      <c r="AV56" s="3" t="s">
        <v>288</v>
      </c>
      <c r="AW56" s="3" t="s">
        <v>244</v>
      </c>
      <c r="AX56" s="3" t="s">
        <v>442</v>
      </c>
      <c r="AY56" s="3" t="s">
        <v>371</v>
      </c>
    </row>
    <row r="57" spans="1:51" ht="15.75" customHeight="1">
      <c r="A57" s="3">
        <v>90</v>
      </c>
      <c r="B57" s="5" t="str">
        <f t="shared" si="0"/>
        <v>http://roarmap.eprints.org/90/</v>
      </c>
      <c r="C57" s="3">
        <v>6</v>
      </c>
      <c r="D57" s="3" t="s">
        <v>98</v>
      </c>
      <c r="E57" s="3">
        <v>1</v>
      </c>
      <c r="F57" s="3" t="s">
        <v>554</v>
      </c>
      <c r="G57" s="3">
        <v>41988.923217592594</v>
      </c>
      <c r="H57" s="3">
        <v>42024.67659722222</v>
      </c>
      <c r="I57" s="3">
        <v>41988.923217592594</v>
      </c>
      <c r="J57" s="3" t="s">
        <v>103</v>
      </c>
      <c r="K57" s="3" t="s">
        <v>105</v>
      </c>
      <c r="L57" s="3" t="s">
        <v>555</v>
      </c>
      <c r="M57" s="3" t="s">
        <v>532</v>
      </c>
      <c r="N57" s="3" t="s">
        <v>556</v>
      </c>
      <c r="O57" s="3" t="s">
        <v>557</v>
      </c>
      <c r="P57" s="3" t="s">
        <v>215</v>
      </c>
      <c r="Q57" t="str">
        <f t="shared" si="1"/>
        <v>http://roarmap.eprints.org/view/country/056.html</v>
      </c>
      <c r="R57" s="3">
        <v>56</v>
      </c>
      <c r="S57" s="6" t="s">
        <v>85</v>
      </c>
      <c r="T57" s="9" t="s">
        <v>3945</v>
      </c>
      <c r="U57" s="7" t="s">
        <v>123</v>
      </c>
      <c r="V57" s="6" t="s">
        <v>108</v>
      </c>
      <c r="W57" s="3" t="s">
        <v>158</v>
      </c>
      <c r="X57" s="3" t="s">
        <v>160</v>
      </c>
      <c r="Y57" s="3" t="s">
        <v>555</v>
      </c>
      <c r="Z57" s="8" t="str">
        <f>HYPERLINK("http://www.kuleuven.be/english/","http://www.kuleuven.be/english/")</f>
        <v>http://www.kuleuven.be/english/</v>
      </c>
      <c r="AA57" s="8" t="str">
        <f>HYPERLINK("http://bib.kuleuven.be/english/ub/target-group-research/open-access/KULeuvenOA","http://bib.kuleuven.be/english/ub/target-group-research/open-access/KULeuvenOA")</f>
        <v>http://bib.kuleuven.be/english/ub/target-group-research/open-access/KULeuvenOA</v>
      </c>
      <c r="AB57" s="8" t="str">
        <f>HYPERLINK("https://lirias.kuleuven.be/","https://lirias.kuleuven.be/")</f>
        <v>https://lirias.kuleuven.be/</v>
      </c>
      <c r="AC57" s="3">
        <v>40715</v>
      </c>
      <c r="AD57" s="3">
        <v>40715</v>
      </c>
      <c r="AE57" s="3">
        <v>41944</v>
      </c>
      <c r="AF57" s="3" t="s">
        <v>177</v>
      </c>
      <c r="AG57" s="3" t="s">
        <v>333</v>
      </c>
      <c r="AH57" s="3" t="s">
        <v>180</v>
      </c>
      <c r="AI57" s="3" t="s">
        <v>244</v>
      </c>
      <c r="AJ57" s="3" t="s">
        <v>182</v>
      </c>
      <c r="AK57" s="3" t="s">
        <v>244</v>
      </c>
      <c r="AL57" s="3" t="s">
        <v>288</v>
      </c>
      <c r="AM57" s="3" t="s">
        <v>479</v>
      </c>
      <c r="AN57" s="3" t="s">
        <v>288</v>
      </c>
      <c r="AO57" s="3" t="s">
        <v>247</v>
      </c>
      <c r="AP57" s="3" t="s">
        <v>185</v>
      </c>
      <c r="AQ57" s="3" t="s">
        <v>394</v>
      </c>
      <c r="AR57" s="3" t="s">
        <v>244</v>
      </c>
      <c r="AS57" s="3" t="s">
        <v>288</v>
      </c>
      <c r="AT57" s="3" t="s">
        <v>244</v>
      </c>
      <c r="AU57" s="3" t="s">
        <v>244</v>
      </c>
      <c r="AV57" s="3" t="s">
        <v>288</v>
      </c>
      <c r="AW57" s="3" t="s">
        <v>244</v>
      </c>
      <c r="AX57" s="3" t="s">
        <v>442</v>
      </c>
      <c r="AY57" s="3" t="s">
        <v>198</v>
      </c>
    </row>
    <row r="58" spans="1:51" ht="15.75" customHeight="1">
      <c r="A58" s="3">
        <v>91</v>
      </c>
      <c r="B58" s="5" t="str">
        <f t="shared" si="0"/>
        <v>http://roarmap.eprints.org/91/</v>
      </c>
      <c r="C58" s="3">
        <v>3</v>
      </c>
      <c r="D58" s="3" t="s">
        <v>98</v>
      </c>
      <c r="E58" s="3">
        <v>1</v>
      </c>
      <c r="F58" s="3" t="s">
        <v>558</v>
      </c>
      <c r="G58" s="3">
        <v>41988.923217592594</v>
      </c>
      <c r="H58" s="3">
        <v>41988.923217592594</v>
      </c>
      <c r="I58" s="3">
        <v>41988.923217592594</v>
      </c>
      <c r="J58" s="3" t="s">
        <v>103</v>
      </c>
      <c r="K58" s="3" t="s">
        <v>105</v>
      </c>
      <c r="L58" s="3" t="s">
        <v>559</v>
      </c>
      <c r="M58" s="3" t="s">
        <v>374</v>
      </c>
      <c r="N58" s="3" t="s">
        <v>560</v>
      </c>
      <c r="P58" s="3" t="s">
        <v>215</v>
      </c>
      <c r="Q58" t="str">
        <f t="shared" si="1"/>
        <v>http://roarmap.eprints.org/view/country/056.html</v>
      </c>
      <c r="R58" s="3">
        <v>56</v>
      </c>
      <c r="S58" s="6" t="s">
        <v>85</v>
      </c>
      <c r="T58" s="9" t="s">
        <v>3945</v>
      </c>
      <c r="U58" s="7" t="s">
        <v>123</v>
      </c>
      <c r="V58" s="6" t="s">
        <v>108</v>
      </c>
      <c r="W58" s="3" t="s">
        <v>158</v>
      </c>
      <c r="X58" s="3" t="s">
        <v>376</v>
      </c>
      <c r="Y58" s="3" t="s">
        <v>559</v>
      </c>
      <c r="Z58" s="8" t="str">
        <f>HYPERLINK("http://www.fwo.be/","http://www.fwo.be/")</f>
        <v>http://www.fwo.be/</v>
      </c>
      <c r="AA58" s="8" t="str">
        <f>HYPERLINK("http://www.fwo.be/en/general-regulations/","http://www.fwo.be/en/general-regulations/")</f>
        <v>http://www.fwo.be/en/general-regulations/</v>
      </c>
      <c r="AC58" s="3">
        <v>39173</v>
      </c>
      <c r="AD58" s="3">
        <v>39173</v>
      </c>
      <c r="AF58" s="3" t="s">
        <v>177</v>
      </c>
      <c r="AG58" s="3" t="s">
        <v>178</v>
      </c>
      <c r="AH58" s="3" t="s">
        <v>370</v>
      </c>
      <c r="AI58" s="3" t="s">
        <v>377</v>
      </c>
      <c r="AJ58" s="3" t="s">
        <v>182</v>
      </c>
      <c r="AK58" s="3" t="s">
        <v>244</v>
      </c>
      <c r="AL58" s="3" t="s">
        <v>185</v>
      </c>
      <c r="AM58" s="3" t="s">
        <v>178</v>
      </c>
      <c r="AN58" s="3" t="s">
        <v>185</v>
      </c>
      <c r="AO58" s="3" t="s">
        <v>378</v>
      </c>
      <c r="AP58" s="3" t="s">
        <v>244</v>
      </c>
      <c r="AQ58" s="3" t="s">
        <v>386</v>
      </c>
      <c r="AR58" s="3" t="s">
        <v>288</v>
      </c>
      <c r="AS58" s="3" t="s">
        <v>185</v>
      </c>
      <c r="AT58" s="3" t="s">
        <v>395</v>
      </c>
      <c r="AU58" s="3" t="s">
        <v>244</v>
      </c>
      <c r="AV58" s="3" t="s">
        <v>244</v>
      </c>
      <c r="AW58" s="3" t="s">
        <v>339</v>
      </c>
      <c r="AX58" s="3" t="s">
        <v>244</v>
      </c>
      <c r="AY58" s="3" t="s">
        <v>247</v>
      </c>
    </row>
    <row r="59" spans="1:51" ht="15.75" customHeight="1">
      <c r="A59" s="3">
        <v>92</v>
      </c>
      <c r="B59" s="5" t="str">
        <f t="shared" si="0"/>
        <v>http://roarmap.eprints.org/92/</v>
      </c>
      <c r="C59" s="3">
        <v>4</v>
      </c>
      <c r="D59" s="3" t="s">
        <v>98</v>
      </c>
      <c r="E59" s="3">
        <v>245</v>
      </c>
      <c r="F59" s="3" t="s">
        <v>561</v>
      </c>
      <c r="G59" s="3">
        <v>41988.923217592594</v>
      </c>
      <c r="H59" s="3">
        <v>42046.98164351852</v>
      </c>
      <c r="I59" s="3">
        <v>41988.923217592594</v>
      </c>
      <c r="J59" s="3" t="s">
        <v>103</v>
      </c>
      <c r="K59" s="3" t="s">
        <v>105</v>
      </c>
      <c r="L59" s="3" t="s">
        <v>562</v>
      </c>
      <c r="M59" s="3" t="s">
        <v>374</v>
      </c>
      <c r="N59" s="3" t="s">
        <v>563</v>
      </c>
      <c r="P59" s="3" t="s">
        <v>215</v>
      </c>
      <c r="Q59" t="str">
        <f t="shared" si="1"/>
        <v>http://roarmap.eprints.org/view/country/056.html</v>
      </c>
      <c r="R59" s="3">
        <v>56</v>
      </c>
      <c r="S59" s="6" t="s">
        <v>85</v>
      </c>
      <c r="T59" s="9" t="s">
        <v>3945</v>
      </c>
      <c r="U59" s="7" t="s">
        <v>123</v>
      </c>
      <c r="V59" s="6" t="s">
        <v>108</v>
      </c>
      <c r="W59" s="3" t="s">
        <v>158</v>
      </c>
      <c r="X59" s="3" t="s">
        <v>160</v>
      </c>
      <c r="Y59" s="3" t="s">
        <v>562</v>
      </c>
      <c r="Z59" s="8" t="str">
        <f>HYPERLINK("http://www.usaintlouis.be/","http://www.usaintlouis.be/")</f>
        <v>http://www.usaintlouis.be/</v>
      </c>
      <c r="AA59" s="8" t="str">
        <f>HYPERLINK("http://roarmap.eprints.org/992/1/DIAL%20et%20OA%20CR.pdf","http://roarmap.eprints.org/992/1/DIAL%20et%20OA%20CR.pdf")</f>
        <v>http://roarmap.eprints.org/992/1/DIAL%20et%20OA%20CR.pdf</v>
      </c>
      <c r="AB59" s="8" t="str">
        <f>HYPERLINK("http://dial.academielouvain.be/vital/access/manager/Index?site_name=BOREAL","http://dial.academielouvain.be/vital/access/manager/Index?site_name=BOREAL")</f>
        <v>http://dial.academielouvain.be/vital/access/manager/Index?site_name=BOREAL</v>
      </c>
      <c r="AC59" s="3">
        <v>41628</v>
      </c>
      <c r="AD59" s="3">
        <v>41913</v>
      </c>
      <c r="AF59" s="3" t="s">
        <v>177</v>
      </c>
      <c r="AG59" s="3" t="s">
        <v>178</v>
      </c>
      <c r="AH59" s="3" t="s">
        <v>180</v>
      </c>
      <c r="AI59" s="3" t="s">
        <v>187</v>
      </c>
      <c r="AJ59" s="3" t="s">
        <v>182</v>
      </c>
      <c r="AK59" s="3" t="s">
        <v>393</v>
      </c>
      <c r="AL59" s="3" t="s">
        <v>185</v>
      </c>
      <c r="AM59" s="3" t="s">
        <v>178</v>
      </c>
      <c r="AN59" s="3" t="s">
        <v>189</v>
      </c>
      <c r="AO59" s="3" t="s">
        <v>378</v>
      </c>
      <c r="AP59" s="3" t="s">
        <v>189</v>
      </c>
      <c r="AQ59" s="3" t="s">
        <v>386</v>
      </c>
      <c r="AR59" s="3" t="s">
        <v>288</v>
      </c>
      <c r="AS59" s="3" t="s">
        <v>185</v>
      </c>
      <c r="AT59" s="3" t="s">
        <v>193</v>
      </c>
      <c r="AU59" s="3" t="s">
        <v>193</v>
      </c>
      <c r="AV59" s="3" t="s">
        <v>288</v>
      </c>
      <c r="AW59" s="3" t="s">
        <v>339</v>
      </c>
      <c r="AX59" s="3" t="s">
        <v>244</v>
      </c>
      <c r="AY59" s="3" t="s">
        <v>247</v>
      </c>
    </row>
    <row r="60" spans="1:51" ht="15.75" customHeight="1">
      <c r="A60" s="3">
        <v>93</v>
      </c>
      <c r="B60" s="5" t="str">
        <f t="shared" si="0"/>
        <v>http://roarmap.eprints.org/93/</v>
      </c>
      <c r="C60" s="3">
        <v>3</v>
      </c>
      <c r="D60" s="3" t="s">
        <v>98</v>
      </c>
      <c r="E60" s="3">
        <v>1</v>
      </c>
      <c r="F60" s="3" t="s">
        <v>564</v>
      </c>
      <c r="G60" s="3">
        <v>41988.923217592594</v>
      </c>
      <c r="H60" s="3">
        <v>41988.923229166663</v>
      </c>
      <c r="I60" s="3">
        <v>41988.923217592594</v>
      </c>
      <c r="J60" s="3" t="s">
        <v>103</v>
      </c>
      <c r="K60" s="3" t="s">
        <v>105</v>
      </c>
      <c r="L60" s="3" t="s">
        <v>565</v>
      </c>
      <c r="M60" s="3" t="s">
        <v>374</v>
      </c>
      <c r="N60" s="3" t="s">
        <v>566</v>
      </c>
      <c r="O60" s="3" t="s">
        <v>567</v>
      </c>
      <c r="P60" s="3" t="s">
        <v>215</v>
      </c>
      <c r="Q60" t="str">
        <f t="shared" si="1"/>
        <v>http://roarmap.eprints.org/view/country/056.html</v>
      </c>
      <c r="R60" s="3">
        <v>56</v>
      </c>
      <c r="S60" s="6" t="s">
        <v>85</v>
      </c>
      <c r="T60" s="9" t="s">
        <v>3945</v>
      </c>
      <c r="U60" s="7" t="s">
        <v>123</v>
      </c>
      <c r="V60" s="6" t="s">
        <v>108</v>
      </c>
      <c r="W60" s="3" t="s">
        <v>158</v>
      </c>
      <c r="X60" s="3" t="s">
        <v>376</v>
      </c>
      <c r="Y60" s="3" t="s">
        <v>565</v>
      </c>
      <c r="Z60" s="8" t="str">
        <f>HYPERLINK("http://www.scienceeurope.org/","http://www.scienceeurope.org/")</f>
        <v>http://www.scienceeurope.org/</v>
      </c>
      <c r="AA60" s="8" t="str">
        <f>HYPERLINK("http://roarmap.eprints.org/704/1/ESFmandateRec.pdf","http://roarmap.eprints.org/704/1/ESFmandateRec.pdf")</f>
        <v>http://roarmap.eprints.org/704/1/ESFmandateRec.pdf</v>
      </c>
      <c r="AC60" s="3">
        <v>41000</v>
      </c>
      <c r="AD60" s="3">
        <v>41000</v>
      </c>
      <c r="AE60" s="3">
        <v>41365</v>
      </c>
      <c r="AF60" s="3" t="s">
        <v>371</v>
      </c>
      <c r="AG60" s="3" t="s">
        <v>178</v>
      </c>
      <c r="AH60" s="3" t="s">
        <v>370</v>
      </c>
      <c r="AI60" s="3" t="s">
        <v>244</v>
      </c>
      <c r="AJ60" s="3" t="s">
        <v>182</v>
      </c>
      <c r="AK60" s="3" t="s">
        <v>244</v>
      </c>
      <c r="AL60" s="3" t="s">
        <v>185</v>
      </c>
      <c r="AM60" s="3" t="s">
        <v>178</v>
      </c>
      <c r="AN60" s="3" t="s">
        <v>185</v>
      </c>
      <c r="AO60" s="3" t="s">
        <v>378</v>
      </c>
      <c r="AP60" s="3" t="s">
        <v>244</v>
      </c>
      <c r="AQ60" s="3" t="s">
        <v>247</v>
      </c>
      <c r="AR60" s="3" t="s">
        <v>288</v>
      </c>
      <c r="AS60" s="3" t="s">
        <v>185</v>
      </c>
      <c r="AT60" s="3" t="s">
        <v>379</v>
      </c>
      <c r="AU60" s="3" t="s">
        <v>395</v>
      </c>
      <c r="AV60" s="3" t="s">
        <v>244</v>
      </c>
      <c r="AW60" s="3" t="s">
        <v>195</v>
      </c>
      <c r="AX60" s="3" t="s">
        <v>341</v>
      </c>
      <c r="AY60" s="3" t="s">
        <v>371</v>
      </c>
    </row>
    <row r="61" spans="1:51" ht="15.75" customHeight="1">
      <c r="A61" s="3">
        <v>84</v>
      </c>
      <c r="B61" s="5" t="str">
        <f t="shared" si="0"/>
        <v>http://roarmap.eprints.org/84/</v>
      </c>
      <c r="C61" s="3">
        <v>3</v>
      </c>
      <c r="D61" s="3" t="s">
        <v>98</v>
      </c>
      <c r="E61" s="3">
        <v>1</v>
      </c>
      <c r="F61" s="3" t="s">
        <v>568</v>
      </c>
      <c r="G61" s="3">
        <v>41988.923217592594</v>
      </c>
      <c r="H61" s="3">
        <v>41988.923217592594</v>
      </c>
      <c r="I61" s="3">
        <v>41988.923217592594</v>
      </c>
      <c r="J61" s="3" t="s">
        <v>103</v>
      </c>
      <c r="K61" s="3" t="s">
        <v>105</v>
      </c>
      <c r="L61" s="3" t="s">
        <v>569</v>
      </c>
      <c r="O61" s="3" t="s">
        <v>570</v>
      </c>
      <c r="P61" s="3" t="s">
        <v>215</v>
      </c>
      <c r="Q61" t="str">
        <f t="shared" si="1"/>
        <v>http://roarmap.eprints.org/view/country/056.html</v>
      </c>
      <c r="R61" s="3">
        <v>56</v>
      </c>
      <c r="S61" s="6" t="s">
        <v>85</v>
      </c>
      <c r="T61" s="9" t="s">
        <v>3945</v>
      </c>
      <c r="U61" s="7" t="s">
        <v>123</v>
      </c>
      <c r="V61" s="6" t="s">
        <v>108</v>
      </c>
      <c r="W61" s="3" t="s">
        <v>158</v>
      </c>
      <c r="X61" s="3" t="s">
        <v>160</v>
      </c>
      <c r="Y61" s="3" t="s">
        <v>569</v>
      </c>
      <c r="Z61" s="8" t="str">
        <f t="shared" ref="Z61:AA61" si="4">HYPERLINK("https://www.uantwerpen.be/en/library/services/publishing/open-access---reposi/","https://www.uantwerpen.be/en/library/services/publishing/open-access---reposi/")</f>
        <v>https://www.uantwerpen.be/en/library/services/publishing/open-access---reposi/</v>
      </c>
      <c r="AA61" s="8" t="str">
        <f t="shared" si="4"/>
        <v>https://www.uantwerpen.be/en/library/services/publishing/open-access---reposi/</v>
      </c>
      <c r="AB61" s="8" t="str">
        <f>HYPERLINK("https://anet.ua.ac.be/desktop/irua/","https://anet.ua.ac.be/desktop/irua/")</f>
        <v>https://anet.ua.ac.be/desktop/irua/</v>
      </c>
      <c r="AC61" s="3">
        <v>41781</v>
      </c>
      <c r="AD61" s="3">
        <v>41649</v>
      </c>
      <c r="AE61" s="3">
        <v>41781</v>
      </c>
      <c r="AF61" s="3" t="s">
        <v>177</v>
      </c>
      <c r="AG61" s="3" t="s">
        <v>178</v>
      </c>
      <c r="AH61" s="3" t="s">
        <v>180</v>
      </c>
      <c r="AI61" s="3" t="s">
        <v>392</v>
      </c>
      <c r="AJ61" s="3" t="s">
        <v>182</v>
      </c>
      <c r="AK61" s="3" t="s">
        <v>393</v>
      </c>
      <c r="AL61" s="3" t="s">
        <v>185</v>
      </c>
      <c r="AM61" s="3" t="s">
        <v>479</v>
      </c>
      <c r="AN61" s="3" t="s">
        <v>189</v>
      </c>
      <c r="AO61" s="3" t="s">
        <v>378</v>
      </c>
      <c r="AP61" s="3" t="s">
        <v>185</v>
      </c>
      <c r="AQ61" s="3" t="s">
        <v>394</v>
      </c>
      <c r="AR61" s="3" t="s">
        <v>288</v>
      </c>
      <c r="AS61" s="3" t="s">
        <v>189</v>
      </c>
      <c r="AT61" s="3" t="s">
        <v>395</v>
      </c>
      <c r="AU61" s="3" t="s">
        <v>395</v>
      </c>
      <c r="AV61" s="3" t="s">
        <v>288</v>
      </c>
      <c r="AW61" s="3" t="s">
        <v>371</v>
      </c>
      <c r="AX61" s="3" t="s">
        <v>244</v>
      </c>
      <c r="AY61" s="3" t="s">
        <v>371</v>
      </c>
    </row>
    <row r="62" spans="1:51" ht="15.75" customHeight="1">
      <c r="A62" s="3">
        <v>94</v>
      </c>
      <c r="B62" s="5" t="str">
        <f t="shared" si="0"/>
        <v>http://roarmap.eprints.org/94/</v>
      </c>
      <c r="C62" s="3">
        <v>5</v>
      </c>
      <c r="D62" s="3" t="s">
        <v>98</v>
      </c>
      <c r="E62" s="3">
        <v>1</v>
      </c>
      <c r="F62" s="3" t="s">
        <v>571</v>
      </c>
      <c r="G62" s="3">
        <v>41988.923229166663</v>
      </c>
      <c r="H62" s="3">
        <v>41988.923229166663</v>
      </c>
      <c r="I62" s="3">
        <v>41988.923229166663</v>
      </c>
      <c r="J62" s="3" t="s">
        <v>103</v>
      </c>
      <c r="K62" s="3" t="s">
        <v>105</v>
      </c>
      <c r="L62" s="3" t="s">
        <v>572</v>
      </c>
      <c r="M62" s="3" t="s">
        <v>374</v>
      </c>
      <c r="N62" s="3" t="s">
        <v>573</v>
      </c>
      <c r="O62" s="3" t="s">
        <v>574</v>
      </c>
      <c r="P62" s="3" t="s">
        <v>215</v>
      </c>
      <c r="Q62" t="str">
        <f t="shared" si="1"/>
        <v>http://roarmap.eprints.org/view/country/056.html</v>
      </c>
      <c r="R62" s="3">
        <v>56</v>
      </c>
      <c r="S62" s="6" t="s">
        <v>85</v>
      </c>
      <c r="T62" s="9" t="s">
        <v>3945</v>
      </c>
      <c r="U62" s="7" t="s">
        <v>123</v>
      </c>
      <c r="V62" s="6" t="s">
        <v>108</v>
      </c>
      <c r="W62" s="3" t="s">
        <v>158</v>
      </c>
      <c r="X62" s="3" t="s">
        <v>160</v>
      </c>
      <c r="Y62" s="3" t="s">
        <v>572</v>
      </c>
      <c r="Z62" s="8" t="str">
        <f>HYPERLINK("http://www.ulg.ac.be/cms/c_5000/en/home","http://www.ulg.ac.be/cms/c_5000/en/home")</f>
        <v>http://www.ulg.ac.be/cms/c_5000/en/home</v>
      </c>
      <c r="AA62" s="8" t="str">
        <f>HYPERLINK("http://orbi.ulg.ac.be/files/extrait_moniteur_CA.pdf","http://orbi.ulg.ac.be/files/extrait_moniteur_CA.pdf")</f>
        <v>http://orbi.ulg.ac.be/files/extrait_moniteur_CA.pdf</v>
      </c>
      <c r="AB62" s="8" t="str">
        <f>HYPERLINK("http://orbi.ulg.ac.be/","http://orbi.ulg.ac.be/")</f>
        <v>http://orbi.ulg.ac.be/</v>
      </c>
      <c r="AC62" s="3">
        <v>39225</v>
      </c>
      <c r="AE62" s="3">
        <v>41899</v>
      </c>
      <c r="AF62" s="3" t="s">
        <v>177</v>
      </c>
      <c r="AG62" s="3" t="s">
        <v>178</v>
      </c>
      <c r="AH62" s="3" t="s">
        <v>180</v>
      </c>
      <c r="AI62" s="3" t="s">
        <v>187</v>
      </c>
      <c r="AJ62" s="3" t="s">
        <v>371</v>
      </c>
      <c r="AK62" s="3" t="s">
        <v>244</v>
      </c>
      <c r="AL62" s="3" t="s">
        <v>185</v>
      </c>
      <c r="AM62" s="3" t="s">
        <v>479</v>
      </c>
      <c r="AN62" s="3" t="s">
        <v>288</v>
      </c>
      <c r="AO62" s="3" t="s">
        <v>181</v>
      </c>
      <c r="AP62" s="3" t="s">
        <v>189</v>
      </c>
      <c r="AQ62" s="3" t="s">
        <v>386</v>
      </c>
      <c r="AR62" s="3" t="s">
        <v>288</v>
      </c>
      <c r="AS62" s="3" t="s">
        <v>189</v>
      </c>
      <c r="AT62" s="3" t="s">
        <v>244</v>
      </c>
      <c r="AU62" s="3" t="s">
        <v>244</v>
      </c>
      <c r="AV62" s="3" t="s">
        <v>288</v>
      </c>
      <c r="AW62" s="3" t="s">
        <v>371</v>
      </c>
      <c r="AX62" s="3" t="s">
        <v>442</v>
      </c>
      <c r="AY62" s="3" t="s">
        <v>247</v>
      </c>
    </row>
    <row r="63" spans="1:51" ht="15.75" customHeight="1">
      <c r="A63" s="3">
        <v>96</v>
      </c>
      <c r="B63" s="5" t="str">
        <f t="shared" si="0"/>
        <v>http://roarmap.eprints.org/96/</v>
      </c>
      <c r="C63" s="3">
        <v>3</v>
      </c>
      <c r="D63" s="3" t="s">
        <v>98</v>
      </c>
      <c r="E63" s="3">
        <v>1</v>
      </c>
      <c r="F63" s="3" t="s">
        <v>575</v>
      </c>
      <c r="G63" s="3">
        <v>41988.923229166663</v>
      </c>
      <c r="H63" s="3">
        <v>41988.923229166663</v>
      </c>
      <c r="I63" s="3">
        <v>41988.923229166663</v>
      </c>
      <c r="J63" s="3" t="s">
        <v>103</v>
      </c>
      <c r="K63" s="3" t="s">
        <v>105</v>
      </c>
      <c r="L63" s="3" t="s">
        <v>576</v>
      </c>
      <c r="M63" s="3" t="s">
        <v>352</v>
      </c>
      <c r="Q63" t="str">
        <f t="shared" si="1"/>
        <v>http://roarmap.eprints.org/view/country/056.html</v>
      </c>
      <c r="R63" s="3">
        <v>56</v>
      </c>
      <c r="S63" s="6" t="s">
        <v>85</v>
      </c>
      <c r="T63" s="9" t="s">
        <v>3945</v>
      </c>
      <c r="U63" s="7" t="s">
        <v>123</v>
      </c>
      <c r="V63" s="6" t="s">
        <v>108</v>
      </c>
      <c r="W63" s="3" t="s">
        <v>158</v>
      </c>
      <c r="X63" s="3" t="s">
        <v>160</v>
      </c>
      <c r="Y63" s="3" t="s">
        <v>576</v>
      </c>
      <c r="Z63" s="8" t="str">
        <f>HYPERLINK("http://www.umons.ac.be","www.umons.ac.be")</f>
        <v>www.umons.ac.be</v>
      </c>
      <c r="AB63" s="8" t="str">
        <f>HYPERLINK("http://di.umons.ac.be/","http://di.umons.ac.be/")</f>
        <v>http://di.umons.ac.be/</v>
      </c>
      <c r="AC63" s="3">
        <v>41155</v>
      </c>
      <c r="AD63" s="3">
        <v>41275</v>
      </c>
      <c r="AE63" s="3">
        <v>41699</v>
      </c>
      <c r="AF63" s="3" t="s">
        <v>177</v>
      </c>
      <c r="AG63" s="3" t="s">
        <v>178</v>
      </c>
      <c r="AH63" s="3" t="s">
        <v>180</v>
      </c>
      <c r="AI63" s="3" t="s">
        <v>181</v>
      </c>
      <c r="AJ63" s="3" t="s">
        <v>182</v>
      </c>
      <c r="AK63" s="3" t="s">
        <v>393</v>
      </c>
      <c r="AL63" s="3" t="s">
        <v>185</v>
      </c>
      <c r="AM63" s="3" t="s">
        <v>479</v>
      </c>
      <c r="AN63" s="3" t="s">
        <v>189</v>
      </c>
      <c r="AO63" s="3" t="s">
        <v>181</v>
      </c>
      <c r="AP63" s="3" t="s">
        <v>189</v>
      </c>
      <c r="AQ63" s="3" t="s">
        <v>394</v>
      </c>
      <c r="AR63" s="3" t="s">
        <v>288</v>
      </c>
      <c r="AS63" s="3" t="s">
        <v>189</v>
      </c>
      <c r="AT63" s="3" t="s">
        <v>244</v>
      </c>
      <c r="AU63" s="3" t="s">
        <v>244</v>
      </c>
      <c r="AV63" s="3" t="s">
        <v>288</v>
      </c>
      <c r="AW63" s="3" t="s">
        <v>339</v>
      </c>
      <c r="AX63" s="3" t="s">
        <v>341</v>
      </c>
      <c r="AY63" s="3" t="s">
        <v>198</v>
      </c>
    </row>
    <row r="64" spans="1:51" ht="15.75" customHeight="1">
      <c r="A64" s="3">
        <v>97</v>
      </c>
      <c r="B64" s="5" t="str">
        <f t="shared" si="0"/>
        <v>http://roarmap.eprints.org/97/</v>
      </c>
      <c r="C64" s="3">
        <v>4</v>
      </c>
      <c r="D64" s="3" t="s">
        <v>98</v>
      </c>
      <c r="E64" s="3">
        <v>1</v>
      </c>
      <c r="F64" s="3" t="s">
        <v>577</v>
      </c>
      <c r="G64" s="3">
        <v>41988.923229166663</v>
      </c>
      <c r="H64" s="3">
        <v>42023.031435185185</v>
      </c>
      <c r="I64" s="3">
        <v>41988.923229166663</v>
      </c>
      <c r="J64" s="3" t="s">
        <v>103</v>
      </c>
      <c r="K64" s="3" t="s">
        <v>105</v>
      </c>
      <c r="L64" s="3" t="s">
        <v>578</v>
      </c>
      <c r="M64" s="3" t="s">
        <v>352</v>
      </c>
      <c r="Q64" t="str">
        <f t="shared" si="1"/>
        <v>http://roarmap.eprints.org/view/country/056.html</v>
      </c>
      <c r="R64" s="3">
        <v>56</v>
      </c>
      <c r="S64" s="6" t="s">
        <v>85</v>
      </c>
      <c r="T64" s="9" t="s">
        <v>3945</v>
      </c>
      <c r="U64" s="7" t="s">
        <v>123</v>
      </c>
      <c r="V64" s="6" t="s">
        <v>108</v>
      </c>
      <c r="W64" s="3" t="s">
        <v>158</v>
      </c>
      <c r="X64" s="3" t="s">
        <v>160</v>
      </c>
      <c r="Y64" s="3" t="s">
        <v>578</v>
      </c>
      <c r="Z64" s="8" t="str">
        <f>HYPERLINK("https://www.unamur.be/en","https://www.unamur.be/en")</f>
        <v>https://www.unamur.be/en</v>
      </c>
      <c r="AB64" s="8" t="str">
        <f>HYPERLINK("https://pure.fundp.ac.be/admin/login.xhtml","https://pure.fundp.ac.be/admin/login.xhtml")</f>
        <v>https://pure.fundp.ac.be/admin/login.xhtml</v>
      </c>
      <c r="AC64" s="3">
        <v>40946</v>
      </c>
      <c r="AD64" s="3">
        <v>41648</v>
      </c>
      <c r="AF64" s="3" t="s">
        <v>177</v>
      </c>
      <c r="AG64" s="3" t="s">
        <v>178</v>
      </c>
      <c r="AH64" s="3" t="s">
        <v>180</v>
      </c>
      <c r="AI64" s="3" t="s">
        <v>187</v>
      </c>
      <c r="AJ64" s="3" t="s">
        <v>182</v>
      </c>
      <c r="AK64" s="3" t="s">
        <v>393</v>
      </c>
      <c r="AL64" s="3" t="s">
        <v>189</v>
      </c>
      <c r="AM64" s="3" t="s">
        <v>479</v>
      </c>
      <c r="AN64" s="3" t="s">
        <v>189</v>
      </c>
      <c r="AO64" s="3" t="s">
        <v>181</v>
      </c>
      <c r="AP64" s="3" t="s">
        <v>189</v>
      </c>
      <c r="AQ64" s="3" t="s">
        <v>394</v>
      </c>
      <c r="AR64" s="3" t="s">
        <v>288</v>
      </c>
      <c r="AS64" s="3" t="s">
        <v>189</v>
      </c>
      <c r="AT64" s="3" t="s">
        <v>244</v>
      </c>
      <c r="AU64" s="3" t="s">
        <v>244</v>
      </c>
      <c r="AV64" s="3" t="s">
        <v>288</v>
      </c>
      <c r="AW64" s="3" t="s">
        <v>244</v>
      </c>
      <c r="AX64" s="3" t="s">
        <v>341</v>
      </c>
      <c r="AY64" s="3" t="s">
        <v>198</v>
      </c>
    </row>
    <row r="65" spans="1:51" ht="15.75" customHeight="1">
      <c r="A65" s="3">
        <v>95</v>
      </c>
      <c r="B65" s="5" t="str">
        <f t="shared" si="0"/>
        <v>http://roarmap.eprints.org/95/</v>
      </c>
      <c r="C65" s="3">
        <v>3</v>
      </c>
      <c r="D65" s="3" t="s">
        <v>98</v>
      </c>
      <c r="E65" s="3">
        <v>1</v>
      </c>
      <c r="F65" s="3" t="s">
        <v>579</v>
      </c>
      <c r="G65" s="3">
        <v>41988.923229166663</v>
      </c>
      <c r="H65" s="3">
        <v>41988.923229166663</v>
      </c>
      <c r="I65" s="3">
        <v>41988.923229166663</v>
      </c>
      <c r="J65" s="3" t="s">
        <v>103</v>
      </c>
      <c r="K65" s="3" t="s">
        <v>105</v>
      </c>
      <c r="L65" s="3" t="s">
        <v>580</v>
      </c>
      <c r="M65" s="3" t="s">
        <v>374</v>
      </c>
      <c r="Q65" t="str">
        <f t="shared" si="1"/>
        <v>http://roarmap.eprints.org/view/country/056.html</v>
      </c>
      <c r="R65" s="3">
        <v>56</v>
      </c>
      <c r="S65" s="6" t="s">
        <v>85</v>
      </c>
      <c r="T65" s="9" t="s">
        <v>3945</v>
      </c>
      <c r="U65" s="7" t="s">
        <v>123</v>
      </c>
      <c r="V65" s="6" t="s">
        <v>108</v>
      </c>
      <c r="W65" s="3" t="s">
        <v>158</v>
      </c>
      <c r="X65" s="3" t="s">
        <v>160</v>
      </c>
      <c r="Y65" s="3" t="s">
        <v>580</v>
      </c>
      <c r="Z65" s="8" t="str">
        <f>HYPERLINK("http://www.ulb.ac.be","http://www.ulb.ac.be")</f>
        <v>http://www.ulb.ac.be</v>
      </c>
      <c r="AA65" s="8" t="str">
        <f>HYPERLINK("http://www.bib.ulb.ac.be/fr/bibliotheque-electronique/depot-institutionnel-di-fusion/contexte-et-objectifs/index.html#c12738","http://www.bib.ulb.ac.be/fr/bibliotheque-electronique/depot-institutionnel-di-fusion/contexte-et-objectifs/index.html#c12738")</f>
        <v>http://www.bib.ulb.ac.be/fr/bibliotheque-electronique/depot-institutionnel-di-fusion/contexte-et-objectifs/index.html#c12738</v>
      </c>
      <c r="AB65" s="8" t="str">
        <f>HYPERLINK("http://difusion.ulb.ac.be","http://difusion.ulb.ac.be")</f>
        <v>http://difusion.ulb.ac.be</v>
      </c>
      <c r="AC65" s="3">
        <v>39229</v>
      </c>
      <c r="AD65" s="3">
        <v>40065</v>
      </c>
      <c r="AF65" s="3" t="s">
        <v>177</v>
      </c>
      <c r="AG65" s="3" t="s">
        <v>178</v>
      </c>
      <c r="AH65" s="3" t="s">
        <v>180</v>
      </c>
      <c r="AI65" s="3" t="s">
        <v>187</v>
      </c>
      <c r="AJ65" s="3" t="s">
        <v>182</v>
      </c>
      <c r="AK65" s="3" t="s">
        <v>393</v>
      </c>
      <c r="AL65" s="3" t="s">
        <v>185</v>
      </c>
      <c r="AM65" s="3" t="s">
        <v>479</v>
      </c>
      <c r="AN65" s="3" t="s">
        <v>189</v>
      </c>
      <c r="AO65" s="3" t="s">
        <v>392</v>
      </c>
      <c r="AP65" s="3" t="s">
        <v>185</v>
      </c>
      <c r="AQ65" s="3" t="s">
        <v>247</v>
      </c>
      <c r="AR65" s="3" t="s">
        <v>288</v>
      </c>
      <c r="AS65" s="3" t="s">
        <v>189</v>
      </c>
      <c r="AT65" s="3" t="s">
        <v>244</v>
      </c>
      <c r="AU65" s="3" t="s">
        <v>244</v>
      </c>
      <c r="AV65" s="3" t="s">
        <v>288</v>
      </c>
      <c r="AW65" s="3" t="s">
        <v>339</v>
      </c>
      <c r="AX65" s="3" t="s">
        <v>341</v>
      </c>
      <c r="AY65" s="3" t="s">
        <v>198</v>
      </c>
    </row>
    <row r="66" spans="1:51" ht="15.75" customHeight="1">
      <c r="A66" s="3">
        <v>606</v>
      </c>
      <c r="B66" s="5" t="str">
        <f t="shared" si="0"/>
        <v>http://roarmap.eprints.org/606/</v>
      </c>
      <c r="C66" s="3">
        <v>3</v>
      </c>
      <c r="D66" s="3" t="s">
        <v>98</v>
      </c>
      <c r="E66" s="3">
        <v>1</v>
      </c>
      <c r="F66" s="3" t="s">
        <v>581</v>
      </c>
      <c r="G66" s="3">
        <v>41988.924224537041</v>
      </c>
      <c r="H66" s="3">
        <v>41988.924224537041</v>
      </c>
      <c r="I66" s="3">
        <v>41988.924224537041</v>
      </c>
      <c r="J66" s="3" t="s">
        <v>103</v>
      </c>
      <c r="K66" s="3" t="s">
        <v>105</v>
      </c>
      <c r="L66" s="3" t="s">
        <v>582</v>
      </c>
      <c r="M66" s="3" t="s">
        <v>352</v>
      </c>
      <c r="N66" s="3" t="s">
        <v>583</v>
      </c>
      <c r="O66" s="3" t="s">
        <v>584</v>
      </c>
      <c r="P66" s="3" t="s">
        <v>215</v>
      </c>
      <c r="Q66" t="str">
        <f t="shared" si="1"/>
        <v>http://roarmap.eprints.org/view/country/068.html</v>
      </c>
      <c r="R66" s="3">
        <v>68</v>
      </c>
      <c r="S66" s="6" t="s">
        <v>90</v>
      </c>
      <c r="T66" s="9" t="s">
        <v>3946</v>
      </c>
      <c r="U66" s="7" t="s">
        <v>2517</v>
      </c>
      <c r="V66" s="6" t="s">
        <v>53</v>
      </c>
      <c r="W66" s="3" t="s">
        <v>158</v>
      </c>
      <c r="X66" s="3" t="s">
        <v>384</v>
      </c>
      <c r="Y66" s="3" t="s">
        <v>582</v>
      </c>
      <c r="Z66" s="8" t="str">
        <f>HYPERLINK("http://www.postgradouagrm.net/","http://www.postgradouagrm.net/")</f>
        <v>http://www.postgradouagrm.net/</v>
      </c>
      <c r="AC66" s="3">
        <v>39236</v>
      </c>
      <c r="AG66" s="3" t="s">
        <v>244</v>
      </c>
      <c r="AH66" s="3" t="s">
        <v>244</v>
      </c>
      <c r="AI66" s="3" t="s">
        <v>244</v>
      </c>
      <c r="AJ66" s="3" t="s">
        <v>244</v>
      </c>
      <c r="AK66" s="3" t="s">
        <v>244</v>
      </c>
      <c r="AL66" s="3" t="s">
        <v>244</v>
      </c>
      <c r="AM66" s="3" t="s">
        <v>247</v>
      </c>
      <c r="AN66" s="3" t="s">
        <v>244</v>
      </c>
      <c r="AO66" s="3" t="s">
        <v>247</v>
      </c>
      <c r="AP66" s="3" t="s">
        <v>244</v>
      </c>
      <c r="AQ66" s="3" t="s">
        <v>247</v>
      </c>
      <c r="AR66" s="3" t="s">
        <v>288</v>
      </c>
      <c r="AS66" s="3" t="s">
        <v>244</v>
      </c>
      <c r="AT66" s="3" t="s">
        <v>244</v>
      </c>
      <c r="AU66" s="3" t="s">
        <v>244</v>
      </c>
      <c r="AV66" s="3" t="s">
        <v>288</v>
      </c>
      <c r="AW66" s="3" t="s">
        <v>244</v>
      </c>
      <c r="AX66" s="3" t="s">
        <v>244</v>
      </c>
      <c r="AY66" s="3" t="s">
        <v>247</v>
      </c>
    </row>
    <row r="67" spans="1:51" ht="15.75" customHeight="1">
      <c r="A67" s="3">
        <v>607</v>
      </c>
      <c r="B67" s="5" t="str">
        <f t="shared" si="0"/>
        <v>http://roarmap.eprints.org/607/</v>
      </c>
      <c r="C67" s="3">
        <v>5</v>
      </c>
      <c r="D67" s="3" t="s">
        <v>98</v>
      </c>
      <c r="E67" s="3">
        <v>1</v>
      </c>
      <c r="F67" s="3" t="s">
        <v>585</v>
      </c>
      <c r="G67" s="3">
        <v>41988.924224537041</v>
      </c>
      <c r="H67" s="3">
        <v>42026.536979166667</v>
      </c>
      <c r="I67" s="3">
        <v>41988.924224537041</v>
      </c>
      <c r="J67" s="3" t="s">
        <v>103</v>
      </c>
      <c r="K67" s="3" t="s">
        <v>105</v>
      </c>
      <c r="L67" s="3" t="s">
        <v>586</v>
      </c>
      <c r="M67" s="3" t="s">
        <v>374</v>
      </c>
      <c r="N67" s="3" t="s">
        <v>587</v>
      </c>
      <c r="P67" s="3" t="s">
        <v>215</v>
      </c>
      <c r="Q67" t="str">
        <f t="shared" ref="Q67:Q130" si="5">CONCATENATE("http://roarmap.eprints.org/view/country/",T67,".html")</f>
        <v>http://roarmap.eprints.org/view/country/076.html</v>
      </c>
      <c r="R67" s="3">
        <v>76</v>
      </c>
      <c r="S67" s="6" t="s">
        <v>93</v>
      </c>
      <c r="T67" s="9" t="s">
        <v>3947</v>
      </c>
      <c r="U67" s="7" t="s">
        <v>2517</v>
      </c>
      <c r="V67" s="6" t="s">
        <v>53</v>
      </c>
      <c r="W67" s="3" t="s">
        <v>158</v>
      </c>
      <c r="X67" s="3" t="s">
        <v>376</v>
      </c>
      <c r="Y67" s="3" t="s">
        <v>586</v>
      </c>
      <c r="Z67" s="8" t="str">
        <f>HYPERLINK("http://www2.camara.leg.br/","http://www2.camara.leg.br/")</f>
        <v>http://www2.camara.leg.br/</v>
      </c>
      <c r="AA67" s="8" t="str">
        <f>HYPERLINK("http://www.camara.gov.br/sileg/integras/461698.pdf","http://www.camara.gov.br/sileg/integras/461698.pdf")</f>
        <v>http://www.camara.gov.br/sileg/integras/461698.pdf</v>
      </c>
      <c r="AC67" s="3">
        <v>2007</v>
      </c>
      <c r="AF67" s="3" t="s">
        <v>177</v>
      </c>
      <c r="AG67" s="3" t="s">
        <v>178</v>
      </c>
      <c r="AH67" s="3" t="s">
        <v>370</v>
      </c>
      <c r="AI67" s="3" t="s">
        <v>244</v>
      </c>
      <c r="AJ67" s="3" t="s">
        <v>371</v>
      </c>
      <c r="AK67" s="3" t="s">
        <v>244</v>
      </c>
      <c r="AL67" s="3" t="s">
        <v>244</v>
      </c>
      <c r="AM67" s="3" t="s">
        <v>247</v>
      </c>
      <c r="AN67" s="3" t="s">
        <v>244</v>
      </c>
      <c r="AO67" s="3" t="s">
        <v>247</v>
      </c>
      <c r="AP67" s="3" t="s">
        <v>244</v>
      </c>
      <c r="AQ67" s="3" t="s">
        <v>247</v>
      </c>
      <c r="AR67" s="3" t="s">
        <v>288</v>
      </c>
      <c r="AS67" s="3" t="s">
        <v>288</v>
      </c>
      <c r="AT67" s="3" t="s">
        <v>244</v>
      </c>
      <c r="AU67" s="3" t="s">
        <v>244</v>
      </c>
      <c r="AV67" s="3" t="s">
        <v>288</v>
      </c>
      <c r="AW67" s="3" t="s">
        <v>339</v>
      </c>
      <c r="AX67" s="3" t="s">
        <v>244</v>
      </c>
      <c r="AY67" s="3" t="s">
        <v>247</v>
      </c>
    </row>
    <row r="68" spans="1:51" ht="15.75" customHeight="1">
      <c r="A68" s="3">
        <v>608</v>
      </c>
      <c r="B68" s="5" t="str">
        <f t="shared" si="0"/>
        <v>http://roarmap.eprints.org/608/</v>
      </c>
      <c r="C68" s="3">
        <v>4</v>
      </c>
      <c r="D68" s="3" t="s">
        <v>98</v>
      </c>
      <c r="E68" s="3">
        <v>352</v>
      </c>
      <c r="F68" s="3" t="s">
        <v>588</v>
      </c>
      <c r="G68" s="3">
        <v>41988.924224537041</v>
      </c>
      <c r="H68" s="3">
        <v>42046.981759259259</v>
      </c>
      <c r="I68" s="3">
        <v>41988.924224537041</v>
      </c>
      <c r="J68" s="3" t="s">
        <v>103</v>
      </c>
      <c r="K68" s="3" t="s">
        <v>105</v>
      </c>
      <c r="L68" s="3" t="s">
        <v>589</v>
      </c>
      <c r="M68" s="3" t="s">
        <v>374</v>
      </c>
      <c r="N68" s="3" t="s">
        <v>590</v>
      </c>
      <c r="O68" s="3" t="s">
        <v>591</v>
      </c>
      <c r="P68" s="3" t="s">
        <v>215</v>
      </c>
      <c r="Q68" t="str">
        <f t="shared" si="5"/>
        <v>http://roarmap.eprints.org/view/country/076.html</v>
      </c>
      <c r="R68" s="3">
        <v>76</v>
      </c>
      <c r="S68" s="6" t="s">
        <v>93</v>
      </c>
      <c r="T68" s="9" t="s">
        <v>3947</v>
      </c>
      <c r="U68" s="7" t="s">
        <v>2517</v>
      </c>
      <c r="V68" s="6" t="s">
        <v>53</v>
      </c>
      <c r="W68" s="3" t="s">
        <v>158</v>
      </c>
      <c r="X68" s="3" t="s">
        <v>384</v>
      </c>
      <c r="Y68" s="3" t="s">
        <v>589</v>
      </c>
      <c r="Z68" s="8" t="str">
        <f>HYPERLINK("http://www.ensp.fiocruz.br/","http://www.ensp.fiocruz.br/")</f>
        <v>http://www.ensp.fiocruz.br/</v>
      </c>
      <c r="AA68" s="8" t="str">
        <f>HYPERLINK("http://roarmap.eprints.org/700/1/portaria_acesso.pdf","http://roarmap.eprints.org/700/1/portaria_acesso.pdf")</f>
        <v>http://roarmap.eprints.org/700/1/portaria_acesso.pdf</v>
      </c>
      <c r="AB68" s="8" t="str">
        <f>HYPERLINK("http://www6.ensp.fiocruz.br/repositorio/","http://www6.ensp.fiocruz.br/repositorio/")</f>
        <v>http://www6.ensp.fiocruz.br/repositorio/</v>
      </c>
      <c r="AC68" s="3">
        <v>41163</v>
      </c>
      <c r="AF68" s="3" t="s">
        <v>177</v>
      </c>
      <c r="AG68" s="3" t="s">
        <v>178</v>
      </c>
      <c r="AH68" s="3" t="s">
        <v>180</v>
      </c>
      <c r="AI68" s="3" t="s">
        <v>244</v>
      </c>
      <c r="AJ68" s="3" t="s">
        <v>244</v>
      </c>
      <c r="AK68" s="3" t="s">
        <v>244</v>
      </c>
      <c r="AL68" s="3" t="s">
        <v>244</v>
      </c>
      <c r="AM68" s="3" t="s">
        <v>247</v>
      </c>
      <c r="AN68" s="3" t="s">
        <v>244</v>
      </c>
      <c r="AO68" s="3" t="s">
        <v>247</v>
      </c>
      <c r="AP68" s="3" t="s">
        <v>244</v>
      </c>
      <c r="AQ68" s="3" t="s">
        <v>394</v>
      </c>
      <c r="AR68" s="3" t="s">
        <v>288</v>
      </c>
      <c r="AS68" s="3" t="s">
        <v>288</v>
      </c>
      <c r="AT68" s="3" t="s">
        <v>244</v>
      </c>
      <c r="AU68" s="3" t="s">
        <v>244</v>
      </c>
      <c r="AV68" s="3" t="s">
        <v>288</v>
      </c>
      <c r="AW68" s="3" t="s">
        <v>339</v>
      </c>
      <c r="AX68" s="3" t="s">
        <v>244</v>
      </c>
      <c r="AY68" s="3" t="s">
        <v>247</v>
      </c>
    </row>
    <row r="69" spans="1:51" ht="15.75" customHeight="1">
      <c r="A69" s="3">
        <v>618</v>
      </c>
      <c r="B69" s="5" t="str">
        <f t="shared" si="0"/>
        <v>http://roarmap.eprints.org/618/</v>
      </c>
      <c r="C69" s="3">
        <v>5</v>
      </c>
      <c r="D69" s="3" t="s">
        <v>98</v>
      </c>
      <c r="E69" s="3">
        <v>1</v>
      </c>
      <c r="F69" s="3" t="s">
        <v>592</v>
      </c>
      <c r="G69" s="3">
        <v>41988.92423611111</v>
      </c>
      <c r="H69" s="3">
        <v>42026.617928240739</v>
      </c>
      <c r="I69" s="3">
        <v>41988.92423611111</v>
      </c>
      <c r="J69" s="3" t="s">
        <v>103</v>
      </c>
      <c r="K69" s="3" t="s">
        <v>105</v>
      </c>
      <c r="L69" s="3" t="s">
        <v>593</v>
      </c>
      <c r="M69" s="3" t="s">
        <v>352</v>
      </c>
      <c r="N69" s="3" t="s">
        <v>594</v>
      </c>
      <c r="P69" s="3" t="s">
        <v>595</v>
      </c>
      <c r="Q69" t="str">
        <f t="shared" si="5"/>
        <v>http://roarmap.eprints.org/view/country/076.html</v>
      </c>
      <c r="R69" s="3">
        <v>76</v>
      </c>
      <c r="S69" s="6" t="s">
        <v>93</v>
      </c>
      <c r="T69" s="9" t="s">
        <v>3947</v>
      </c>
      <c r="U69" s="7" t="s">
        <v>2517</v>
      </c>
      <c r="V69" s="6" t="s">
        <v>53</v>
      </c>
      <c r="W69" s="3" t="s">
        <v>158</v>
      </c>
      <c r="X69" s="3" t="s">
        <v>160</v>
      </c>
      <c r="Y69" s="3" t="s">
        <v>593</v>
      </c>
      <c r="Z69" s="8" t="str">
        <f>HYPERLINK("http://www.fjp.mg.gov.br/","http://www.fjp.mg.gov.br/")</f>
        <v>http://www.fjp.mg.gov.br/</v>
      </c>
      <c r="AA69" s="8" t="str">
        <f>HYPERLINK("http://www.repositorio.fjp.mg.gov.br/static/Politica_Repositorio.pdf","http://www.repositorio.fjp.mg.gov.br/static/Politica_Repositorio.pdf")</f>
        <v>http://www.repositorio.fjp.mg.gov.br/static/Politica_Repositorio.pdf</v>
      </c>
      <c r="AB69" s="8" t="str">
        <f>HYPERLINK("http://www.repositorio.fjp.mg.gov.br/","http://www.repositorio.fjp.mg.gov.br/")</f>
        <v>http://www.repositorio.fjp.mg.gov.br/</v>
      </c>
      <c r="AC69" s="3">
        <v>38938</v>
      </c>
      <c r="AG69" s="3" t="s">
        <v>333</v>
      </c>
      <c r="AH69" s="3" t="s">
        <v>180</v>
      </c>
      <c r="AI69" s="3" t="s">
        <v>244</v>
      </c>
      <c r="AJ69" s="3" t="s">
        <v>244</v>
      </c>
      <c r="AK69" s="3" t="s">
        <v>244</v>
      </c>
      <c r="AL69" s="3" t="s">
        <v>288</v>
      </c>
      <c r="AM69" s="3" t="s">
        <v>247</v>
      </c>
      <c r="AN69" s="3" t="s">
        <v>244</v>
      </c>
      <c r="AO69" s="3" t="s">
        <v>247</v>
      </c>
      <c r="AP69" s="3" t="s">
        <v>244</v>
      </c>
      <c r="AQ69" s="3" t="s">
        <v>247</v>
      </c>
      <c r="AR69" s="3" t="s">
        <v>288</v>
      </c>
      <c r="AS69" s="3" t="s">
        <v>288</v>
      </c>
      <c r="AT69" s="3" t="s">
        <v>244</v>
      </c>
      <c r="AU69" s="3" t="s">
        <v>244</v>
      </c>
      <c r="AV69" s="3" t="s">
        <v>288</v>
      </c>
      <c r="AW69" s="3" t="s">
        <v>339</v>
      </c>
      <c r="AX69" s="3" t="s">
        <v>244</v>
      </c>
      <c r="AY69" s="3" t="s">
        <v>247</v>
      </c>
    </row>
    <row r="70" spans="1:51" ht="15.75" customHeight="1">
      <c r="A70" s="3">
        <v>622</v>
      </c>
      <c r="B70" s="5" t="str">
        <f t="shared" si="0"/>
        <v>http://roarmap.eprints.org/622/</v>
      </c>
      <c r="C70" s="3">
        <v>4</v>
      </c>
      <c r="D70" s="3" t="s">
        <v>98</v>
      </c>
      <c r="E70" s="3">
        <v>352</v>
      </c>
      <c r="F70" s="3" t="s">
        <v>596</v>
      </c>
      <c r="G70" s="3">
        <v>41988.924247685187</v>
      </c>
      <c r="H70" s="3">
        <v>42046.981759259259</v>
      </c>
      <c r="I70" s="3">
        <v>41988.924247685187</v>
      </c>
      <c r="J70" s="3" t="s">
        <v>103</v>
      </c>
      <c r="K70" s="3" t="s">
        <v>105</v>
      </c>
      <c r="L70" s="3" t="s">
        <v>597</v>
      </c>
      <c r="M70" s="3" t="s">
        <v>374</v>
      </c>
      <c r="P70" s="3" t="s">
        <v>595</v>
      </c>
      <c r="Q70" t="str">
        <f t="shared" si="5"/>
        <v>http://roarmap.eprints.org/view/country/076.html</v>
      </c>
      <c r="R70" s="3">
        <v>76</v>
      </c>
      <c r="S70" s="6" t="s">
        <v>93</v>
      </c>
      <c r="T70" s="9" t="s">
        <v>3947</v>
      </c>
      <c r="U70" s="7" t="s">
        <v>2517</v>
      </c>
      <c r="V70" s="6" t="s">
        <v>53</v>
      </c>
      <c r="W70" s="3" t="s">
        <v>158</v>
      </c>
      <c r="X70" s="3" t="s">
        <v>160</v>
      </c>
      <c r="Y70" s="3" t="s">
        <v>597</v>
      </c>
      <c r="Z70" s="8" t="str">
        <f>HYPERLINK("https://portal.fiocruz.br/pt-br","https://portal.fiocruz.br/pt-br")</f>
        <v>https://portal.fiocruz.br/pt-br</v>
      </c>
      <c r="AA70" s="8" t="str">
        <f>HYPERLINK("https://portal.fiocruz.br/sites/portal.fiocruz.br/files/documentos/portaria_-_politica_de_acesso_aberto_ao_conhecimento_na_fiocruz.pdf","https://portal.fiocruz.br/sites/portal.fiocruz.br/files/documentos/portaria_-_politica_de_acesso_aberto_ao_conhecimento_na_fiocruz.pdf")</f>
        <v>https://portal.fiocruz.br/sites/portal.fiocruz.br/files/documentos/portaria_-_politica_de_acesso_aberto_ao_conhecimento_na_fiocruz.pdf</v>
      </c>
      <c r="AB70" s="8" t="str">
        <f>HYPERLINK("http://www.arca.fiocruz.br/","http://www.arca.fiocruz.br/")</f>
        <v>http://www.arca.fiocruz.br/</v>
      </c>
      <c r="AD70" s="3">
        <v>41729</v>
      </c>
      <c r="AF70" s="3" t="s">
        <v>177</v>
      </c>
      <c r="AG70" s="3" t="s">
        <v>178</v>
      </c>
      <c r="AH70" s="3" t="s">
        <v>180</v>
      </c>
      <c r="AI70" s="3" t="s">
        <v>181</v>
      </c>
      <c r="AJ70" s="3" t="s">
        <v>182</v>
      </c>
      <c r="AK70" s="3" t="s">
        <v>183</v>
      </c>
      <c r="AL70" s="3" t="s">
        <v>185</v>
      </c>
      <c r="AM70" s="3" t="s">
        <v>178</v>
      </c>
      <c r="AN70" s="3" t="s">
        <v>189</v>
      </c>
      <c r="AO70" s="3" t="s">
        <v>181</v>
      </c>
      <c r="AP70" s="3" t="s">
        <v>185</v>
      </c>
      <c r="AQ70" s="3" t="s">
        <v>394</v>
      </c>
      <c r="AR70" s="3" t="s">
        <v>288</v>
      </c>
      <c r="AS70" s="3" t="s">
        <v>288</v>
      </c>
      <c r="AT70" s="3" t="s">
        <v>244</v>
      </c>
      <c r="AU70" s="3" t="s">
        <v>244</v>
      </c>
      <c r="AV70" s="3" t="s">
        <v>288</v>
      </c>
      <c r="AW70" s="3" t="s">
        <v>339</v>
      </c>
      <c r="AX70" s="3" t="s">
        <v>341</v>
      </c>
      <c r="AY70" s="3" t="s">
        <v>428</v>
      </c>
    </row>
    <row r="71" spans="1:51" ht="15.75" customHeight="1">
      <c r="A71" s="3">
        <v>615</v>
      </c>
      <c r="B71" s="5" t="str">
        <f t="shared" si="0"/>
        <v>http://roarmap.eprints.org/615/</v>
      </c>
      <c r="C71" s="3">
        <v>4</v>
      </c>
      <c r="D71" s="3" t="s">
        <v>98</v>
      </c>
      <c r="E71" s="3">
        <v>1</v>
      </c>
      <c r="F71" s="3" t="s">
        <v>598</v>
      </c>
      <c r="G71" s="3">
        <v>41988.92423611111</v>
      </c>
      <c r="H71" s="3">
        <v>42023.028437499997</v>
      </c>
      <c r="I71" s="3">
        <v>41988.92423611111</v>
      </c>
      <c r="J71" s="3" t="s">
        <v>103</v>
      </c>
      <c r="K71" s="3" t="s">
        <v>105</v>
      </c>
      <c r="L71" s="3" t="s">
        <v>599</v>
      </c>
      <c r="M71" s="3" t="s">
        <v>374</v>
      </c>
      <c r="P71" s="3" t="s">
        <v>595</v>
      </c>
      <c r="Q71" t="str">
        <f t="shared" si="5"/>
        <v>http://roarmap.eprints.org/view/country/076.html</v>
      </c>
      <c r="R71" s="3">
        <v>76</v>
      </c>
      <c r="S71" s="6" t="s">
        <v>93</v>
      </c>
      <c r="T71" s="9" t="s">
        <v>3947</v>
      </c>
      <c r="U71" s="7" t="s">
        <v>2517</v>
      </c>
      <c r="V71" s="6" t="s">
        <v>53</v>
      </c>
      <c r="W71" s="3" t="s">
        <v>158</v>
      </c>
      <c r="X71" s="3" t="s">
        <v>160</v>
      </c>
      <c r="Y71" s="3" t="s">
        <v>599</v>
      </c>
      <c r="Z71" s="8" t="str">
        <f>HYPERLINK("https://www.ufba.br/","https://www.ufba.br/")</f>
        <v>https://www.ufba.br/</v>
      </c>
      <c r="AA71" s="8" t="str">
        <f>HYPERLINK("https://repositorio.ufba.br/ri/about/politica%20institucional.pdf","https://repositorio.ufba.br/ri/about/politica%20institucional.pdf")</f>
        <v>https://repositorio.ufba.br/ri/about/politica%20institucional.pdf</v>
      </c>
      <c r="AB71" s="8" t="str">
        <f>HYPERLINK("https://repositorio.ufba.br/ri/","https://repositorio.ufba.br/ri/")</f>
        <v>https://repositorio.ufba.br/ri/</v>
      </c>
      <c r="AD71" s="3">
        <v>40185</v>
      </c>
      <c r="AF71" s="3" t="s">
        <v>177</v>
      </c>
      <c r="AG71" s="3" t="s">
        <v>178</v>
      </c>
      <c r="AH71" s="3" t="s">
        <v>180</v>
      </c>
      <c r="AI71" s="3" t="s">
        <v>187</v>
      </c>
      <c r="AJ71" s="3" t="s">
        <v>182</v>
      </c>
      <c r="AK71" s="3" t="s">
        <v>371</v>
      </c>
      <c r="AL71" s="3" t="s">
        <v>189</v>
      </c>
      <c r="AM71" s="3" t="s">
        <v>247</v>
      </c>
      <c r="AN71" s="3" t="s">
        <v>244</v>
      </c>
      <c r="AO71" s="3" t="s">
        <v>247</v>
      </c>
      <c r="AP71" s="3" t="s">
        <v>244</v>
      </c>
      <c r="AQ71" s="3" t="s">
        <v>386</v>
      </c>
      <c r="AR71" s="3" t="s">
        <v>288</v>
      </c>
      <c r="AS71" s="3" t="s">
        <v>288</v>
      </c>
      <c r="AT71" s="3" t="s">
        <v>379</v>
      </c>
      <c r="AU71" s="3" t="s">
        <v>379</v>
      </c>
      <c r="AV71" s="3" t="s">
        <v>288</v>
      </c>
      <c r="AW71" s="3" t="s">
        <v>339</v>
      </c>
      <c r="AX71" s="3" t="s">
        <v>341</v>
      </c>
      <c r="AY71" s="3" t="s">
        <v>247</v>
      </c>
    </row>
    <row r="72" spans="1:51" ht="15.75" customHeight="1">
      <c r="A72" s="3">
        <v>609</v>
      </c>
      <c r="B72" s="5" t="str">
        <f t="shared" si="0"/>
        <v>http://roarmap.eprints.org/609/</v>
      </c>
      <c r="C72" s="3">
        <v>4</v>
      </c>
      <c r="D72" s="3" t="s">
        <v>98</v>
      </c>
      <c r="E72" s="3">
        <v>353</v>
      </c>
      <c r="F72" s="3" t="s">
        <v>600</v>
      </c>
      <c r="G72" s="3">
        <v>41988.924224537041</v>
      </c>
      <c r="H72" s="3">
        <v>42046.981759259259</v>
      </c>
      <c r="I72" s="3">
        <v>41988.924224537041</v>
      </c>
      <c r="J72" s="3" t="s">
        <v>103</v>
      </c>
      <c r="K72" s="3" t="s">
        <v>105</v>
      </c>
      <c r="L72" s="3" t="s">
        <v>601</v>
      </c>
      <c r="M72" s="3" t="s">
        <v>374</v>
      </c>
      <c r="N72" s="3" t="s">
        <v>602</v>
      </c>
      <c r="O72" s="3" t="s">
        <v>383</v>
      </c>
      <c r="P72" s="3" t="s">
        <v>215</v>
      </c>
      <c r="Q72" t="str">
        <f t="shared" si="5"/>
        <v>http://roarmap.eprints.org/view/country/076.html</v>
      </c>
      <c r="R72" s="3">
        <v>76</v>
      </c>
      <c r="S72" s="6" t="s">
        <v>93</v>
      </c>
      <c r="T72" s="9" t="s">
        <v>3947</v>
      </c>
      <c r="U72" s="7" t="s">
        <v>2517</v>
      </c>
      <c r="V72" s="6" t="s">
        <v>53</v>
      </c>
      <c r="W72" s="3" t="s">
        <v>158</v>
      </c>
      <c r="X72" s="3" t="s">
        <v>160</v>
      </c>
      <c r="Y72" s="3" t="s">
        <v>601</v>
      </c>
      <c r="Z72" s="8" t="str">
        <f>HYPERLINK("http://www.ufla.br/","http://www.ufla.br/")</f>
        <v>http://www.ufla.br/</v>
      </c>
      <c r="AA72" s="8" t="str">
        <f>HYPERLINK("http://www.ufla.br/documentos/arquivos/078_13112012.pdf","http://www.ufla.br/documentos/arquivos/078_13112012.pdf")</f>
        <v>http://www.ufla.br/documentos/arquivos/078_13112012.pdf</v>
      </c>
      <c r="AB72" s="8" t="str">
        <f>HYPERLINK("http://repositorio.ufla.br/","http://repositorio.ufla.br/")</f>
        <v>http://repositorio.ufla.br/</v>
      </c>
      <c r="AC72" s="3">
        <v>41226</v>
      </c>
      <c r="AF72" s="3" t="s">
        <v>177</v>
      </c>
      <c r="AG72" s="3" t="s">
        <v>244</v>
      </c>
      <c r="AH72" s="3" t="s">
        <v>180</v>
      </c>
      <c r="AI72" s="3" t="s">
        <v>187</v>
      </c>
      <c r="AJ72" s="3" t="s">
        <v>371</v>
      </c>
      <c r="AK72" s="3" t="s">
        <v>244</v>
      </c>
      <c r="AL72" s="3" t="s">
        <v>244</v>
      </c>
      <c r="AM72" s="3" t="s">
        <v>371</v>
      </c>
      <c r="AN72" s="3" t="s">
        <v>244</v>
      </c>
      <c r="AO72" s="3" t="s">
        <v>378</v>
      </c>
      <c r="AP72" s="3" t="s">
        <v>244</v>
      </c>
      <c r="AQ72" s="3" t="s">
        <v>247</v>
      </c>
      <c r="AR72" s="3" t="s">
        <v>288</v>
      </c>
      <c r="AS72" s="3" t="s">
        <v>288</v>
      </c>
      <c r="AT72" s="3" t="s">
        <v>379</v>
      </c>
      <c r="AU72" s="3" t="s">
        <v>379</v>
      </c>
      <c r="AV72" s="3" t="s">
        <v>288</v>
      </c>
      <c r="AW72" s="3" t="s">
        <v>339</v>
      </c>
      <c r="AX72" s="3" t="s">
        <v>244</v>
      </c>
      <c r="AY72" s="3" t="s">
        <v>247</v>
      </c>
    </row>
    <row r="73" spans="1:51" ht="15.75" customHeight="1">
      <c r="A73" s="3">
        <v>619</v>
      </c>
      <c r="B73" s="5" t="str">
        <f t="shared" si="0"/>
        <v>http://roarmap.eprints.org/619/</v>
      </c>
      <c r="C73" s="3">
        <v>5</v>
      </c>
      <c r="D73" s="3" t="s">
        <v>98</v>
      </c>
      <c r="E73" s="3">
        <v>360</v>
      </c>
      <c r="F73" s="3" t="s">
        <v>603</v>
      </c>
      <c r="G73" s="3">
        <v>41988.92423611111</v>
      </c>
      <c r="H73" s="3">
        <v>42046.981759259259</v>
      </c>
      <c r="I73" s="3">
        <v>41988.92423611111</v>
      </c>
      <c r="J73" s="3" t="s">
        <v>103</v>
      </c>
      <c r="K73" s="3" t="s">
        <v>105</v>
      </c>
      <c r="L73" s="3" t="s">
        <v>604</v>
      </c>
      <c r="M73" s="3" t="s">
        <v>374</v>
      </c>
      <c r="N73" s="3" t="s">
        <v>605</v>
      </c>
      <c r="P73" s="3" t="s">
        <v>595</v>
      </c>
      <c r="Q73" t="str">
        <f t="shared" si="5"/>
        <v>http://roarmap.eprints.org/view/country/076.html</v>
      </c>
      <c r="R73" s="3">
        <v>76</v>
      </c>
      <c r="S73" s="6" t="s">
        <v>93</v>
      </c>
      <c r="T73" s="9" t="s">
        <v>3947</v>
      </c>
      <c r="U73" s="7" t="s">
        <v>2517</v>
      </c>
      <c r="V73" s="6" t="s">
        <v>53</v>
      </c>
      <c r="W73" s="3" t="s">
        <v>158</v>
      </c>
      <c r="X73" s="3" t="s">
        <v>160</v>
      </c>
      <c r="Y73" s="3" t="s">
        <v>604</v>
      </c>
      <c r="Z73" s="8" t="str">
        <f>HYPERLINK("http://www.ufop.br/","http://www.ufop.br/")</f>
        <v>http://www.ufop.br/</v>
      </c>
      <c r="AA73" s="8" t="str">
        <f>HYPERLINK("http://www.proad.ufop.br/cgp/arquivos/boletins/2013/Boletim_Administrativo_n_64_2013.pdf","http://www.proad.ufop.br/cgp/arquivos/boletins/2013/Boletim_Administrativo_n_64_2013.pdf")</f>
        <v>http://www.proad.ufop.br/cgp/arquivos/boletins/2013/Boletim_Administrativo_n_64_2013.pdf</v>
      </c>
      <c r="AB73" s="8" t="str">
        <f>HYPERLINK("http://www.repositorio.ufop.br/","http://www.repositorio.ufop.br/")</f>
        <v>http://www.repositorio.ufop.br/</v>
      </c>
      <c r="AD73" s="3">
        <v>41585</v>
      </c>
      <c r="AF73" s="3" t="s">
        <v>177</v>
      </c>
      <c r="AG73" s="3" t="s">
        <v>178</v>
      </c>
      <c r="AH73" s="3" t="s">
        <v>180</v>
      </c>
      <c r="AI73" s="3" t="s">
        <v>187</v>
      </c>
      <c r="AJ73" s="3" t="s">
        <v>182</v>
      </c>
      <c r="AK73" s="3" t="s">
        <v>371</v>
      </c>
      <c r="AL73" s="3" t="s">
        <v>189</v>
      </c>
      <c r="AM73" s="3" t="s">
        <v>479</v>
      </c>
      <c r="AN73" s="3" t="s">
        <v>189</v>
      </c>
      <c r="AO73" s="3" t="s">
        <v>181</v>
      </c>
      <c r="AP73" s="3" t="s">
        <v>185</v>
      </c>
      <c r="AQ73" s="3" t="s">
        <v>394</v>
      </c>
      <c r="AR73" s="3" t="s">
        <v>288</v>
      </c>
      <c r="AS73" s="3" t="s">
        <v>288</v>
      </c>
      <c r="AT73" s="3" t="s">
        <v>379</v>
      </c>
      <c r="AU73" s="3" t="s">
        <v>379</v>
      </c>
      <c r="AV73" s="3" t="s">
        <v>288</v>
      </c>
      <c r="AW73" s="3" t="s">
        <v>195</v>
      </c>
      <c r="AX73" s="3" t="s">
        <v>341</v>
      </c>
      <c r="AY73" s="3" t="s">
        <v>247</v>
      </c>
    </row>
    <row r="74" spans="1:51" ht="15.75" customHeight="1">
      <c r="A74" s="3">
        <v>610</v>
      </c>
      <c r="B74" s="5" t="str">
        <f t="shared" si="0"/>
        <v>http://roarmap.eprints.org/610/</v>
      </c>
      <c r="C74" s="3">
        <v>4</v>
      </c>
      <c r="D74" s="3" t="s">
        <v>98</v>
      </c>
      <c r="E74" s="3">
        <v>354</v>
      </c>
      <c r="F74" s="3" t="s">
        <v>606</v>
      </c>
      <c r="G74" s="3">
        <v>41988.924224537041</v>
      </c>
      <c r="H74" s="3">
        <v>42046.981759259259</v>
      </c>
      <c r="I74" s="3">
        <v>41988.924224537041</v>
      </c>
      <c r="J74" s="3" t="s">
        <v>103</v>
      </c>
      <c r="K74" s="3" t="s">
        <v>105</v>
      </c>
      <c r="L74" s="3" t="s">
        <v>607</v>
      </c>
      <c r="M74" s="3" t="s">
        <v>374</v>
      </c>
      <c r="N74" s="3" t="s">
        <v>398</v>
      </c>
      <c r="O74" s="3" t="s">
        <v>608</v>
      </c>
      <c r="P74" s="3" t="s">
        <v>215</v>
      </c>
      <c r="Q74" t="str">
        <f t="shared" si="5"/>
        <v>http://roarmap.eprints.org/view/country/076.html</v>
      </c>
      <c r="R74" s="3">
        <v>76</v>
      </c>
      <c r="S74" s="6" t="s">
        <v>93</v>
      </c>
      <c r="T74" s="9" t="s">
        <v>3947</v>
      </c>
      <c r="U74" s="7" t="s">
        <v>2517</v>
      </c>
      <c r="V74" s="6" t="s">
        <v>53</v>
      </c>
      <c r="W74" s="3" t="s">
        <v>158</v>
      </c>
      <c r="X74" s="3" t="s">
        <v>160</v>
      </c>
      <c r="Y74" s="3" t="s">
        <v>607</v>
      </c>
      <c r="Z74" s="8" t="str">
        <f>HYPERLINK("http://www.ufs.br/","http://www.ufs.br/")</f>
        <v>http://www.ufs.br/</v>
      </c>
      <c r="AA74" s="8" t="str">
        <f>HYPERLINK("https://ri.ufs.br/files/politica-ri-ufs.pdf","https://ri.ufs.br/files/politica-ri-ufs.pdf")</f>
        <v>https://ri.ufs.br/files/politica-ri-ufs.pdf</v>
      </c>
      <c r="AB74" s="8" t="str">
        <f>HYPERLINK("https://ri.ufs.br/","https://ri.ufs.br/")</f>
        <v>https://ri.ufs.br/</v>
      </c>
      <c r="AC74" s="3">
        <v>40347</v>
      </c>
      <c r="AF74" s="3" t="s">
        <v>177</v>
      </c>
      <c r="AG74" s="3" t="s">
        <v>178</v>
      </c>
      <c r="AH74" s="3" t="s">
        <v>180</v>
      </c>
      <c r="AI74" s="3" t="s">
        <v>181</v>
      </c>
      <c r="AJ74" s="3" t="s">
        <v>182</v>
      </c>
      <c r="AK74" s="3" t="s">
        <v>371</v>
      </c>
      <c r="AL74" s="3" t="s">
        <v>189</v>
      </c>
      <c r="AM74" s="3" t="s">
        <v>479</v>
      </c>
      <c r="AN74" s="3" t="s">
        <v>189</v>
      </c>
      <c r="AO74" s="3" t="s">
        <v>392</v>
      </c>
      <c r="AP74" s="3" t="s">
        <v>244</v>
      </c>
      <c r="AQ74" s="3" t="s">
        <v>247</v>
      </c>
      <c r="AR74" s="3" t="s">
        <v>288</v>
      </c>
      <c r="AS74" s="3" t="s">
        <v>189</v>
      </c>
      <c r="AT74" s="3" t="s">
        <v>379</v>
      </c>
      <c r="AU74" s="3" t="s">
        <v>379</v>
      </c>
      <c r="AV74" s="3" t="s">
        <v>288</v>
      </c>
      <c r="AW74" s="3" t="s">
        <v>339</v>
      </c>
      <c r="AX74" s="3" t="s">
        <v>371</v>
      </c>
      <c r="AY74" s="3" t="s">
        <v>247</v>
      </c>
    </row>
    <row r="75" spans="1:51" ht="15.75" customHeight="1">
      <c r="A75" s="3">
        <v>616</v>
      </c>
      <c r="B75" s="5" t="str">
        <f t="shared" si="0"/>
        <v>http://roarmap.eprints.org/616/</v>
      </c>
      <c r="C75" s="3">
        <v>5</v>
      </c>
      <c r="D75" s="3" t="s">
        <v>98</v>
      </c>
      <c r="E75" s="3">
        <v>359</v>
      </c>
      <c r="F75" s="3" t="s">
        <v>609</v>
      </c>
      <c r="G75" s="3">
        <v>41988.92423611111</v>
      </c>
      <c r="H75" s="3">
        <v>42046.981759259259</v>
      </c>
      <c r="I75" s="3">
        <v>41988.92423611111</v>
      </c>
      <c r="J75" s="3" t="s">
        <v>103</v>
      </c>
      <c r="K75" s="3" t="s">
        <v>105</v>
      </c>
      <c r="L75" s="3" t="s">
        <v>610</v>
      </c>
      <c r="M75" s="3" t="s">
        <v>374</v>
      </c>
      <c r="P75" s="3" t="s">
        <v>595</v>
      </c>
      <c r="Q75" t="str">
        <f t="shared" si="5"/>
        <v>http://roarmap.eprints.org/view/country/076.html</v>
      </c>
      <c r="R75" s="3">
        <v>76</v>
      </c>
      <c r="S75" s="6" t="s">
        <v>93</v>
      </c>
      <c r="T75" s="9" t="s">
        <v>3947</v>
      </c>
      <c r="U75" s="7" t="s">
        <v>2517</v>
      </c>
      <c r="V75" s="6" t="s">
        <v>53</v>
      </c>
      <c r="W75" s="3" t="s">
        <v>158</v>
      </c>
      <c r="X75" s="3" t="s">
        <v>160</v>
      </c>
      <c r="Y75" s="3" t="s">
        <v>610</v>
      </c>
      <c r="Z75" s="8" t="str">
        <f>HYPERLINK("http://www.ufc.br/","http://www.ufc.br/")</f>
        <v>http://www.ufc.br/</v>
      </c>
      <c r="AA75" s="8" t="str">
        <f>HYPERLINK("http://www.repositorio.ufc.br/ri/sobre/Resolucao02_Consuni_2011.pdf","http://www.repositorio.ufc.br/ri/sobre/Resolucao02_Consuni_2011.pdf")</f>
        <v>http://www.repositorio.ufc.br/ri/sobre/Resolucao02_Consuni_2011.pdf</v>
      </c>
      <c r="AB75" s="8" t="str">
        <f>HYPERLINK("http://www.repositorio.ufc.br/","http://www.repositorio.ufc.br/")</f>
        <v>http://www.repositorio.ufc.br/</v>
      </c>
      <c r="AD75" s="3">
        <v>40662</v>
      </c>
      <c r="AF75" s="3" t="s">
        <v>177</v>
      </c>
      <c r="AG75" s="3" t="s">
        <v>178</v>
      </c>
      <c r="AH75" s="3" t="s">
        <v>180</v>
      </c>
      <c r="AI75" s="3" t="s">
        <v>187</v>
      </c>
      <c r="AJ75" s="3" t="s">
        <v>182</v>
      </c>
      <c r="AK75" s="3" t="s">
        <v>371</v>
      </c>
      <c r="AL75" s="3" t="s">
        <v>189</v>
      </c>
      <c r="AM75" s="3" t="s">
        <v>479</v>
      </c>
      <c r="AN75" s="3" t="s">
        <v>189</v>
      </c>
      <c r="AO75" s="3" t="s">
        <v>247</v>
      </c>
      <c r="AP75" s="3" t="s">
        <v>185</v>
      </c>
      <c r="AQ75" s="3" t="s">
        <v>247</v>
      </c>
      <c r="AR75" s="3" t="s">
        <v>288</v>
      </c>
      <c r="AS75" s="3" t="s">
        <v>288</v>
      </c>
      <c r="AT75" s="3" t="s">
        <v>379</v>
      </c>
      <c r="AU75" s="3" t="s">
        <v>379</v>
      </c>
      <c r="AV75" s="3" t="s">
        <v>288</v>
      </c>
      <c r="AW75" s="3" t="s">
        <v>371</v>
      </c>
      <c r="AX75" s="3" t="s">
        <v>244</v>
      </c>
      <c r="AY75" s="3" t="s">
        <v>247</v>
      </c>
    </row>
    <row r="76" spans="1:51" ht="15.75" customHeight="1">
      <c r="A76" s="3">
        <v>621</v>
      </c>
      <c r="B76" s="5" t="str">
        <f t="shared" si="0"/>
        <v>http://roarmap.eprints.org/621/</v>
      </c>
      <c r="C76" s="3">
        <v>4</v>
      </c>
      <c r="D76" s="3" t="s">
        <v>98</v>
      </c>
      <c r="E76" s="3">
        <v>1</v>
      </c>
      <c r="F76" s="3" t="s">
        <v>611</v>
      </c>
      <c r="G76" s="3">
        <v>41988.924247685187</v>
      </c>
      <c r="H76" s="3">
        <v>42023.03019675926</v>
      </c>
      <c r="I76" s="3">
        <v>41988.924247685187</v>
      </c>
      <c r="J76" s="3" t="s">
        <v>103</v>
      </c>
      <c r="K76" s="3" t="s">
        <v>105</v>
      </c>
      <c r="L76" s="3" t="s">
        <v>612</v>
      </c>
      <c r="M76" s="3" t="s">
        <v>374</v>
      </c>
      <c r="P76" s="3" t="s">
        <v>595</v>
      </c>
      <c r="Q76" t="str">
        <f t="shared" si="5"/>
        <v>http://roarmap.eprints.org/view/country/076.html</v>
      </c>
      <c r="R76" s="3">
        <v>76</v>
      </c>
      <c r="S76" s="6" t="s">
        <v>93</v>
      </c>
      <c r="T76" s="9" t="s">
        <v>3947</v>
      </c>
      <c r="U76" s="7" t="s">
        <v>2517</v>
      </c>
      <c r="V76" s="6" t="s">
        <v>53</v>
      </c>
      <c r="W76" s="3" t="s">
        <v>158</v>
      </c>
      <c r="X76" s="3" t="s">
        <v>160</v>
      </c>
      <c r="Y76" s="3" t="s">
        <v>612</v>
      </c>
      <c r="Z76" s="8" t="str">
        <f>HYPERLINK("http://www.ufrb.edu.br/portal/","http://www.ufrb.edu.br/portal/")</f>
        <v>http://www.ufrb.edu.br/portal/</v>
      </c>
      <c r="AA76" s="8" t="str">
        <f>HYPERLINK("http://repositorio.ufrb.edu.br/arquivos/Portaria_771_2013.pdf","http://repositorio.ufrb.edu.br/arquivos/Portaria_771_2013.pdf")</f>
        <v>http://repositorio.ufrb.edu.br/arquivos/Portaria_771_2013.pdf</v>
      </c>
      <c r="AB76" s="8" t="str">
        <f>HYPERLINK("http://www.repositorio.ufrb.edu.br/","http://www.repositorio.ufrb.edu.br/")</f>
        <v>http://www.repositorio.ufrb.edu.br/</v>
      </c>
      <c r="AD76" s="3">
        <v>41523</v>
      </c>
      <c r="AF76" s="3" t="s">
        <v>177</v>
      </c>
      <c r="AG76" s="3" t="s">
        <v>333</v>
      </c>
      <c r="AH76" s="3" t="s">
        <v>180</v>
      </c>
      <c r="AI76" s="3" t="s">
        <v>244</v>
      </c>
      <c r="AJ76" s="3" t="s">
        <v>182</v>
      </c>
      <c r="AK76" s="3" t="s">
        <v>244</v>
      </c>
      <c r="AL76" s="3" t="s">
        <v>288</v>
      </c>
      <c r="AM76" s="3" t="s">
        <v>247</v>
      </c>
      <c r="AN76" s="3" t="s">
        <v>244</v>
      </c>
      <c r="AO76" s="3" t="s">
        <v>247</v>
      </c>
      <c r="AP76" s="3" t="s">
        <v>185</v>
      </c>
      <c r="AQ76" s="3" t="s">
        <v>247</v>
      </c>
      <c r="AR76" s="3" t="s">
        <v>288</v>
      </c>
      <c r="AS76" s="3" t="s">
        <v>288</v>
      </c>
      <c r="AT76" s="3" t="s">
        <v>244</v>
      </c>
      <c r="AU76" s="3" t="s">
        <v>244</v>
      </c>
      <c r="AV76" s="3" t="s">
        <v>288</v>
      </c>
      <c r="AW76" s="3" t="s">
        <v>339</v>
      </c>
      <c r="AX76" s="3" t="s">
        <v>244</v>
      </c>
      <c r="AY76" s="3" t="s">
        <v>247</v>
      </c>
    </row>
    <row r="77" spans="1:51" ht="15.75" customHeight="1">
      <c r="A77" s="3">
        <v>612</v>
      </c>
      <c r="B77" s="5" t="str">
        <f t="shared" si="0"/>
        <v>http://roarmap.eprints.org/612/</v>
      </c>
      <c r="C77" s="3">
        <v>4</v>
      </c>
      <c r="D77" s="3" t="s">
        <v>98</v>
      </c>
      <c r="E77" s="3">
        <v>356</v>
      </c>
      <c r="F77" s="3" t="s">
        <v>613</v>
      </c>
      <c r="G77" s="3">
        <v>41988.924224537041</v>
      </c>
      <c r="H77" s="3">
        <v>42046.981759259259</v>
      </c>
      <c r="I77" s="3">
        <v>41988.924224537041</v>
      </c>
      <c r="J77" s="3" t="s">
        <v>103</v>
      </c>
      <c r="K77" s="3" t="s">
        <v>105</v>
      </c>
      <c r="L77" s="3" t="s">
        <v>614</v>
      </c>
      <c r="M77" s="3" t="s">
        <v>374</v>
      </c>
      <c r="N77" s="3" t="s">
        <v>615</v>
      </c>
      <c r="O77" s="3" t="s">
        <v>383</v>
      </c>
      <c r="P77" s="3" t="s">
        <v>215</v>
      </c>
      <c r="Q77" t="str">
        <f t="shared" si="5"/>
        <v>http://roarmap.eprints.org/view/country/076.html</v>
      </c>
      <c r="R77" s="3">
        <v>76</v>
      </c>
      <c r="S77" s="6" t="s">
        <v>93</v>
      </c>
      <c r="T77" s="9" t="s">
        <v>3947</v>
      </c>
      <c r="U77" s="7" t="s">
        <v>2517</v>
      </c>
      <c r="V77" s="6" t="s">
        <v>53</v>
      </c>
      <c r="W77" s="3" t="s">
        <v>158</v>
      </c>
      <c r="X77" s="3" t="s">
        <v>160</v>
      </c>
      <c r="Y77" s="3" t="s">
        <v>614</v>
      </c>
      <c r="Z77" s="8" t="str">
        <f>HYPERLINK("http://www.furg.br/","http://www.furg.br/")</f>
        <v>http://www.furg.br/</v>
      </c>
      <c r="AA77" s="8" t="str">
        <f>HYPERLINK("http://roarmap.eprints.org/434/1/PII___FURG.pdf","http://roarmap.eprints.org/434/1/PII___FURG.pdf")</f>
        <v>http://roarmap.eprints.org/434/1/PII___FURG.pdf</v>
      </c>
      <c r="AB77" s="8" t="str">
        <f>HYPERLINK("http://repositorio.furg.br/","http://repositorio.furg.br/")</f>
        <v>http://repositorio.furg.br/</v>
      </c>
      <c r="AC77" s="3">
        <v>40284</v>
      </c>
      <c r="AD77" s="3">
        <v>40284</v>
      </c>
      <c r="AF77" s="3" t="s">
        <v>177</v>
      </c>
      <c r="AG77" s="3" t="s">
        <v>178</v>
      </c>
      <c r="AH77" s="3" t="s">
        <v>180</v>
      </c>
      <c r="AI77" s="3" t="s">
        <v>392</v>
      </c>
      <c r="AJ77" s="3" t="s">
        <v>371</v>
      </c>
      <c r="AK77" s="3" t="s">
        <v>244</v>
      </c>
      <c r="AL77" s="3" t="s">
        <v>244</v>
      </c>
      <c r="AM77" s="3" t="s">
        <v>247</v>
      </c>
      <c r="AN77" s="3" t="s">
        <v>244</v>
      </c>
      <c r="AO77" s="3" t="s">
        <v>247</v>
      </c>
      <c r="AP77" s="3" t="s">
        <v>244</v>
      </c>
      <c r="AQ77" s="3" t="s">
        <v>247</v>
      </c>
      <c r="AR77" s="3" t="s">
        <v>288</v>
      </c>
      <c r="AS77" s="3" t="s">
        <v>288</v>
      </c>
      <c r="AT77" s="3" t="s">
        <v>379</v>
      </c>
      <c r="AU77" s="3" t="s">
        <v>379</v>
      </c>
      <c r="AV77" s="3" t="s">
        <v>288</v>
      </c>
      <c r="AW77" s="3" t="s">
        <v>339</v>
      </c>
      <c r="AX77" s="3" t="s">
        <v>244</v>
      </c>
      <c r="AY77" s="3" t="s">
        <v>247</v>
      </c>
    </row>
    <row r="78" spans="1:51" ht="15.75" customHeight="1">
      <c r="A78" s="3">
        <v>617</v>
      </c>
      <c r="B78" s="5" t="str">
        <f t="shared" si="0"/>
        <v>http://roarmap.eprints.org/617/</v>
      </c>
      <c r="C78" s="3">
        <v>4</v>
      </c>
      <c r="D78" s="3" t="s">
        <v>98</v>
      </c>
      <c r="E78" s="3">
        <v>1</v>
      </c>
      <c r="F78" s="3" t="s">
        <v>616</v>
      </c>
      <c r="G78" s="3">
        <v>41988.92423611111</v>
      </c>
      <c r="H78" s="3">
        <v>42023.03052083333</v>
      </c>
      <c r="I78" s="3">
        <v>41988.92423611111</v>
      </c>
      <c r="J78" s="3" t="s">
        <v>103</v>
      </c>
      <c r="K78" s="3" t="s">
        <v>105</v>
      </c>
      <c r="L78" s="3" t="s">
        <v>617</v>
      </c>
      <c r="M78" s="3" t="s">
        <v>374</v>
      </c>
      <c r="P78" s="3" t="s">
        <v>595</v>
      </c>
      <c r="Q78" t="str">
        <f t="shared" si="5"/>
        <v>http://roarmap.eprints.org/view/country/076.html</v>
      </c>
      <c r="R78" s="3">
        <v>76</v>
      </c>
      <c r="S78" s="6" t="s">
        <v>93</v>
      </c>
      <c r="T78" s="9" t="s">
        <v>3947</v>
      </c>
      <c r="U78" s="7" t="s">
        <v>2517</v>
      </c>
      <c r="V78" s="6" t="s">
        <v>53</v>
      </c>
      <c r="W78" s="3" t="s">
        <v>158</v>
      </c>
      <c r="X78" s="3" t="s">
        <v>160</v>
      </c>
      <c r="Y78" s="3" t="s">
        <v>617</v>
      </c>
      <c r="Z78" s="8" t="str">
        <f>HYPERLINK("http://www.ufrn.br/","http://www.ufrn.br/")</f>
        <v>http://www.ufrn.br/</v>
      </c>
      <c r="AA78" s="8" t="str">
        <f>HYPERLINK("http://repositorio.ufrn.br:8080/jspui/sobre/resolucao_592010_consepe_riufrn.pdf","http://repositorio.ufrn.br:8080/jspui/sobre/resolucao_592010_consepe_riufrn.pdf")</f>
        <v>http://repositorio.ufrn.br:8080/jspui/sobre/resolucao_592010_consepe_riufrn.pdf</v>
      </c>
      <c r="AB78" s="8" t="str">
        <f>HYPERLINK("http://repositorio.ufrn.br:8080/jspui/","http://repositorio.ufrn.br:8080/jspui/")</f>
        <v>http://repositorio.ufrn.br:8080/jspui/</v>
      </c>
      <c r="AD78" s="3">
        <v>40281</v>
      </c>
      <c r="AF78" s="3" t="s">
        <v>177</v>
      </c>
      <c r="AG78" s="3" t="s">
        <v>178</v>
      </c>
      <c r="AH78" s="3" t="s">
        <v>180</v>
      </c>
      <c r="AI78" s="3" t="s">
        <v>187</v>
      </c>
      <c r="AJ78" s="3" t="s">
        <v>182</v>
      </c>
      <c r="AK78" s="3" t="s">
        <v>371</v>
      </c>
      <c r="AL78" s="3" t="s">
        <v>189</v>
      </c>
      <c r="AM78" s="3" t="s">
        <v>479</v>
      </c>
      <c r="AN78" s="3" t="s">
        <v>189</v>
      </c>
      <c r="AO78" s="3" t="s">
        <v>247</v>
      </c>
      <c r="AP78" s="3" t="s">
        <v>185</v>
      </c>
      <c r="AQ78" s="3" t="s">
        <v>247</v>
      </c>
      <c r="AR78" s="3" t="s">
        <v>288</v>
      </c>
      <c r="AS78" s="3" t="s">
        <v>288</v>
      </c>
      <c r="AT78" s="3" t="s">
        <v>379</v>
      </c>
      <c r="AU78" s="3" t="s">
        <v>379</v>
      </c>
      <c r="AV78" s="3" t="s">
        <v>288</v>
      </c>
      <c r="AW78" s="3" t="s">
        <v>339</v>
      </c>
      <c r="AX78" s="3" t="s">
        <v>244</v>
      </c>
      <c r="AY78" s="3" t="s">
        <v>247</v>
      </c>
    </row>
    <row r="79" spans="1:51" ht="15.75" customHeight="1">
      <c r="A79" s="3">
        <v>611</v>
      </c>
      <c r="B79" s="5" t="str">
        <f t="shared" si="0"/>
        <v>http://roarmap.eprints.org/611/</v>
      </c>
      <c r="C79" s="3">
        <v>4</v>
      </c>
      <c r="D79" s="3" t="s">
        <v>98</v>
      </c>
      <c r="E79" s="3">
        <v>355</v>
      </c>
      <c r="F79" s="3" t="s">
        <v>618</v>
      </c>
      <c r="G79" s="3">
        <v>41988.924224537041</v>
      </c>
      <c r="H79" s="3">
        <v>42046.981759259259</v>
      </c>
      <c r="I79" s="3">
        <v>41988.924224537041</v>
      </c>
      <c r="J79" s="3" t="s">
        <v>103</v>
      </c>
      <c r="K79" s="3" t="s">
        <v>105</v>
      </c>
      <c r="L79" s="3" t="s">
        <v>619</v>
      </c>
      <c r="M79" s="3" t="s">
        <v>374</v>
      </c>
      <c r="N79" s="3" t="s">
        <v>620</v>
      </c>
      <c r="O79" s="3" t="s">
        <v>390</v>
      </c>
      <c r="P79" s="3" t="s">
        <v>215</v>
      </c>
      <c r="Q79" t="str">
        <f t="shared" si="5"/>
        <v>http://roarmap.eprints.org/view/country/076.html</v>
      </c>
      <c r="R79" s="3">
        <v>76</v>
      </c>
      <c r="S79" s="6" t="s">
        <v>93</v>
      </c>
      <c r="T79" s="9" t="s">
        <v>3947</v>
      </c>
      <c r="U79" s="7" t="s">
        <v>2517</v>
      </c>
      <c r="V79" s="6" t="s">
        <v>53</v>
      </c>
      <c r="W79" s="3" t="s">
        <v>158</v>
      </c>
      <c r="X79" s="3" t="s">
        <v>160</v>
      </c>
      <c r="Y79" s="3" t="s">
        <v>619</v>
      </c>
      <c r="Z79" s="8" t="str">
        <f>HYPERLINK("http://www.ufrgs.br/","http://www.ufrgs.br/")</f>
        <v>http://www.ufrgs.br/</v>
      </c>
      <c r="AA79" s="8" t="str">
        <f>HYPERLINK("http://roarmap.eprints.org/468/1/Portaria-5068.pdf","http://roarmap.eprints.org/468/1/Portaria-5068.pdf")</f>
        <v>http://roarmap.eprints.org/468/1/Portaria-5068.pdf</v>
      </c>
      <c r="AB79" s="8" t="str">
        <f>HYPERLINK("http://www.lume.ufrgs.br/","http://www.lume.ufrgs.br/")</f>
        <v>http://www.lume.ufrgs.br/</v>
      </c>
      <c r="AC79" s="3">
        <v>40199</v>
      </c>
      <c r="AF79" s="3" t="s">
        <v>177</v>
      </c>
      <c r="AG79" s="3" t="s">
        <v>178</v>
      </c>
      <c r="AH79" s="3" t="s">
        <v>180</v>
      </c>
      <c r="AI79" s="3" t="s">
        <v>244</v>
      </c>
      <c r="AJ79" s="3" t="s">
        <v>385</v>
      </c>
      <c r="AK79" s="3" t="s">
        <v>244</v>
      </c>
      <c r="AL79" s="3" t="s">
        <v>185</v>
      </c>
      <c r="AM79" s="3" t="s">
        <v>178</v>
      </c>
      <c r="AN79" s="3" t="s">
        <v>185</v>
      </c>
      <c r="AO79" s="3" t="s">
        <v>621</v>
      </c>
      <c r="AP79" s="3" t="s">
        <v>185</v>
      </c>
      <c r="AQ79" s="3" t="s">
        <v>394</v>
      </c>
      <c r="AR79" s="3" t="s">
        <v>288</v>
      </c>
      <c r="AS79" s="3" t="s">
        <v>189</v>
      </c>
      <c r="AT79" s="3" t="s">
        <v>244</v>
      </c>
      <c r="AU79" s="3" t="s">
        <v>244</v>
      </c>
      <c r="AV79" s="3" t="s">
        <v>288</v>
      </c>
      <c r="AW79" s="3" t="s">
        <v>244</v>
      </c>
      <c r="AX79" s="3" t="s">
        <v>244</v>
      </c>
      <c r="AY79" s="3" t="s">
        <v>247</v>
      </c>
    </row>
    <row r="80" spans="1:51" ht="15.75" customHeight="1">
      <c r="A80" s="3">
        <v>620</v>
      </c>
      <c r="B80" s="5" t="str">
        <f t="shared" si="0"/>
        <v>http://roarmap.eprints.org/620/</v>
      </c>
      <c r="C80" s="3">
        <v>5</v>
      </c>
      <c r="D80" s="3" t="s">
        <v>98</v>
      </c>
      <c r="E80" s="3">
        <v>361</v>
      </c>
      <c r="F80" s="3" t="s">
        <v>622</v>
      </c>
      <c r="G80" s="3">
        <v>41988.924247685187</v>
      </c>
      <c r="H80" s="3">
        <v>42046.981759259259</v>
      </c>
      <c r="I80" s="3">
        <v>41988.924247685187</v>
      </c>
      <c r="J80" s="3" t="s">
        <v>103</v>
      </c>
      <c r="K80" s="3" t="s">
        <v>105</v>
      </c>
      <c r="L80" s="3" t="s">
        <v>623</v>
      </c>
      <c r="M80" s="3" t="s">
        <v>374</v>
      </c>
      <c r="P80" s="3" t="s">
        <v>595</v>
      </c>
      <c r="Q80" t="str">
        <f t="shared" si="5"/>
        <v>http://roarmap.eprints.org/view/country/076.html</v>
      </c>
      <c r="R80" s="3">
        <v>76</v>
      </c>
      <c r="S80" s="6" t="s">
        <v>93</v>
      </c>
      <c r="T80" s="9" t="s">
        <v>3947</v>
      </c>
      <c r="U80" s="7" t="s">
        <v>2517</v>
      </c>
      <c r="V80" s="6" t="s">
        <v>53</v>
      </c>
      <c r="W80" s="3" t="s">
        <v>158</v>
      </c>
      <c r="X80" s="3" t="s">
        <v>160</v>
      </c>
      <c r="Y80" s="3" t="s">
        <v>623</v>
      </c>
      <c r="Z80" s="8" t="str">
        <f>HYPERLINK("http://www.utfpr.edu.br/londrina","http://www.utfpr.edu.br/londrina")</f>
        <v>http://www.utfpr.edu.br/londrina</v>
      </c>
      <c r="AA80" s="8" t="str">
        <f>HYPERLINK("http://repositorio.utfpr.edu.br/jspui/sobre/politica_repositorio_1.pdf","http://repositorio.utfpr.edu.br/jspui/sobre/politica_repositorio_1.pdf")</f>
        <v>http://repositorio.utfpr.edu.br/jspui/sobre/politica_repositorio_1.pdf</v>
      </c>
      <c r="AB80" s="8" t="str">
        <f>HYPERLINK("http://repositorio.utfpr.edu.br/jspui/","http://repositorio.utfpr.edu.br/jspui/")</f>
        <v>http://repositorio.utfpr.edu.br/jspui/</v>
      </c>
      <c r="AD80" s="3">
        <v>40151</v>
      </c>
      <c r="AF80" s="3" t="s">
        <v>177</v>
      </c>
      <c r="AG80" s="3" t="s">
        <v>178</v>
      </c>
      <c r="AH80" s="3" t="s">
        <v>180</v>
      </c>
      <c r="AI80" s="3" t="s">
        <v>392</v>
      </c>
      <c r="AJ80" s="3" t="s">
        <v>182</v>
      </c>
      <c r="AK80" s="3" t="s">
        <v>183</v>
      </c>
      <c r="AL80" s="3" t="s">
        <v>189</v>
      </c>
      <c r="AM80" s="3" t="s">
        <v>479</v>
      </c>
      <c r="AN80" s="3" t="s">
        <v>189</v>
      </c>
      <c r="AO80" s="3" t="s">
        <v>181</v>
      </c>
      <c r="AP80" s="3" t="s">
        <v>185</v>
      </c>
      <c r="AQ80" s="3" t="s">
        <v>394</v>
      </c>
      <c r="AR80" s="3" t="s">
        <v>288</v>
      </c>
      <c r="AS80" s="3" t="s">
        <v>288</v>
      </c>
      <c r="AT80" s="3" t="s">
        <v>379</v>
      </c>
      <c r="AU80" s="3" t="s">
        <v>379</v>
      </c>
      <c r="AV80" s="3" t="s">
        <v>288</v>
      </c>
      <c r="AW80" s="3" t="s">
        <v>195</v>
      </c>
      <c r="AX80" s="3" t="s">
        <v>341</v>
      </c>
      <c r="AY80" s="3" t="s">
        <v>247</v>
      </c>
    </row>
    <row r="81" spans="1:52" ht="15.75" customHeight="1">
      <c r="A81" s="3">
        <v>613</v>
      </c>
      <c r="B81" s="5" t="str">
        <f t="shared" si="0"/>
        <v>http://roarmap.eprints.org/613/</v>
      </c>
      <c r="C81" s="3">
        <v>4</v>
      </c>
      <c r="D81" s="3" t="s">
        <v>98</v>
      </c>
      <c r="E81" s="3">
        <v>357</v>
      </c>
      <c r="F81" s="3" t="s">
        <v>624</v>
      </c>
      <c r="G81" s="3">
        <v>41988.92423611111</v>
      </c>
      <c r="H81" s="3">
        <v>42046.981759259259</v>
      </c>
      <c r="I81" s="3">
        <v>41988.92423611111</v>
      </c>
      <c r="J81" s="3" t="s">
        <v>103</v>
      </c>
      <c r="K81" s="3" t="s">
        <v>105</v>
      </c>
      <c r="L81" s="3" t="s">
        <v>625</v>
      </c>
      <c r="M81" s="3" t="s">
        <v>374</v>
      </c>
      <c r="N81" s="3" t="s">
        <v>398</v>
      </c>
      <c r="O81" s="3" t="s">
        <v>626</v>
      </c>
      <c r="P81" s="3" t="s">
        <v>215</v>
      </c>
      <c r="Q81" t="str">
        <f t="shared" si="5"/>
        <v>http://roarmap.eprints.org/view/country/076.html</v>
      </c>
      <c r="R81" s="3">
        <v>76</v>
      </c>
      <c r="S81" s="6" t="s">
        <v>93</v>
      </c>
      <c r="T81" s="9" t="s">
        <v>3947</v>
      </c>
      <c r="U81" s="7" t="s">
        <v>2517</v>
      </c>
      <c r="V81" s="6" t="s">
        <v>53</v>
      </c>
      <c r="W81" s="3" t="s">
        <v>158</v>
      </c>
      <c r="X81" s="3" t="s">
        <v>160</v>
      </c>
      <c r="Y81" s="3" t="s">
        <v>625</v>
      </c>
      <c r="Z81" s="8" t="str">
        <f>HYPERLINK("http://www.unb.br/","http://www.unb.br/")</f>
        <v>http://www.unb.br/</v>
      </c>
      <c r="AA81" s="8" t="str">
        <f>HYPERLINK("http://repositorio.unb.br/termo/resolucao.pdf","http://repositorio.unb.br/termo/resolucao.pdf")</f>
        <v>http://repositorio.unb.br/termo/resolucao.pdf</v>
      </c>
      <c r="AB81" s="8" t="str">
        <f>HYPERLINK("http://repositorio.unb.br/","http://repositorio.unb.br/")</f>
        <v>http://repositorio.unb.br/</v>
      </c>
      <c r="AC81" s="3">
        <v>41550</v>
      </c>
      <c r="AF81" s="3" t="s">
        <v>177</v>
      </c>
      <c r="AG81" s="3" t="s">
        <v>178</v>
      </c>
      <c r="AH81" s="3" t="s">
        <v>180</v>
      </c>
      <c r="AI81" s="3" t="s">
        <v>377</v>
      </c>
      <c r="AJ81" s="3" t="s">
        <v>182</v>
      </c>
      <c r="AK81" s="3" t="s">
        <v>393</v>
      </c>
      <c r="AL81" s="3" t="s">
        <v>189</v>
      </c>
      <c r="AM81" s="3" t="s">
        <v>479</v>
      </c>
      <c r="AN81" s="3" t="s">
        <v>189</v>
      </c>
      <c r="AO81" s="3" t="s">
        <v>378</v>
      </c>
      <c r="AP81" s="3" t="s">
        <v>244</v>
      </c>
      <c r="AQ81" s="3" t="s">
        <v>394</v>
      </c>
      <c r="AR81" s="3" t="s">
        <v>288</v>
      </c>
      <c r="AS81" s="3" t="s">
        <v>189</v>
      </c>
      <c r="AT81" s="3" t="s">
        <v>379</v>
      </c>
      <c r="AU81" s="3" t="s">
        <v>379</v>
      </c>
      <c r="AV81" s="3" t="s">
        <v>288</v>
      </c>
      <c r="AW81" s="3" t="s">
        <v>339</v>
      </c>
      <c r="AX81" s="3" t="s">
        <v>341</v>
      </c>
      <c r="AY81" s="3" t="s">
        <v>247</v>
      </c>
    </row>
    <row r="82" spans="1:52" ht="15.75" customHeight="1">
      <c r="A82" s="3">
        <v>614</v>
      </c>
      <c r="B82" s="5" t="str">
        <f t="shared" si="0"/>
        <v>http://roarmap.eprints.org/614/</v>
      </c>
      <c r="C82" s="3">
        <v>8</v>
      </c>
      <c r="D82" s="3" t="s">
        <v>98</v>
      </c>
      <c r="E82" s="3">
        <v>358</v>
      </c>
      <c r="F82" s="3" t="s">
        <v>627</v>
      </c>
      <c r="G82" s="3">
        <v>41988.92423611111</v>
      </c>
      <c r="H82" s="3">
        <v>42046.981759259259</v>
      </c>
      <c r="I82" s="3">
        <v>41988.92423611111</v>
      </c>
      <c r="J82" s="3" t="s">
        <v>103</v>
      </c>
      <c r="K82" s="3" t="s">
        <v>105</v>
      </c>
      <c r="L82" s="3" t="s">
        <v>628</v>
      </c>
      <c r="M82" s="3" t="s">
        <v>374</v>
      </c>
      <c r="O82" s="3" t="s">
        <v>629</v>
      </c>
      <c r="P82" s="3" t="s">
        <v>215</v>
      </c>
      <c r="Q82" t="str">
        <f t="shared" si="5"/>
        <v>http://roarmap.eprints.org/view/country/076.html</v>
      </c>
      <c r="R82" s="3">
        <v>76</v>
      </c>
      <c r="S82" s="6" t="s">
        <v>93</v>
      </c>
      <c r="T82" s="9" t="s">
        <v>3947</v>
      </c>
      <c r="U82" s="7" t="s">
        <v>2517</v>
      </c>
      <c r="V82" s="6" t="s">
        <v>53</v>
      </c>
      <c r="W82" s="3" t="s">
        <v>158</v>
      </c>
      <c r="X82" s="3" t="s">
        <v>160</v>
      </c>
      <c r="Y82" s="3" t="s">
        <v>628</v>
      </c>
      <c r="Z82" s="8" t="str">
        <f>HYPERLINK("http://www5.usp.br/","http://www5.usp.br/")</f>
        <v>http://www5.usp.br/</v>
      </c>
      <c r="AA82" s="8" t="str">
        <f>HYPERLINK("http://www.producao.usp.br/page/politicaAcessoEnUS","http://www.producao.usp.br/page/politicaAcessoEnUS")</f>
        <v>http://www.producao.usp.br/page/politicaAcessoEnUS</v>
      </c>
      <c r="AB82" s="8" t="str">
        <f>HYPERLINK("http://www.producao.usp.br","http://www.producao.usp.br")</f>
        <v>http://www.producao.usp.br</v>
      </c>
      <c r="AC82" s="3">
        <v>41204</v>
      </c>
      <c r="AD82" s="3">
        <v>41204</v>
      </c>
      <c r="AF82" s="3" t="s">
        <v>177</v>
      </c>
      <c r="AG82" s="3" t="s">
        <v>178</v>
      </c>
      <c r="AH82" s="3" t="s">
        <v>180</v>
      </c>
      <c r="AI82" s="3" t="s">
        <v>244</v>
      </c>
      <c r="AJ82" s="3" t="s">
        <v>182</v>
      </c>
      <c r="AK82" s="3" t="s">
        <v>183</v>
      </c>
      <c r="AL82" s="3" t="s">
        <v>244</v>
      </c>
      <c r="AM82" s="3" t="s">
        <v>479</v>
      </c>
      <c r="AN82" s="3" t="s">
        <v>189</v>
      </c>
      <c r="AP82" s="3" t="s">
        <v>244</v>
      </c>
      <c r="AQ82" s="3" t="s">
        <v>394</v>
      </c>
      <c r="AR82" s="3" t="s">
        <v>185</v>
      </c>
      <c r="AS82" s="3" t="s">
        <v>244</v>
      </c>
      <c r="AT82" s="3" t="s">
        <v>244</v>
      </c>
      <c r="AU82" s="3" t="s">
        <v>244</v>
      </c>
      <c r="AV82" s="3" t="s">
        <v>244</v>
      </c>
      <c r="AW82" s="3" t="s">
        <v>630</v>
      </c>
      <c r="AX82" s="3" t="s">
        <v>341</v>
      </c>
      <c r="AY82" s="3" t="s">
        <v>247</v>
      </c>
    </row>
    <row r="83" spans="1:52" ht="15.75" customHeight="1">
      <c r="A83" s="3">
        <v>81</v>
      </c>
      <c r="B83" s="5" t="str">
        <f t="shared" si="0"/>
        <v>http://roarmap.eprints.org/81/</v>
      </c>
      <c r="C83" s="3">
        <v>4</v>
      </c>
      <c r="D83" s="3" t="s">
        <v>98</v>
      </c>
      <c r="E83" s="3">
        <v>243</v>
      </c>
      <c r="F83" s="3" t="s">
        <v>631</v>
      </c>
      <c r="G83" s="3">
        <v>41988.923206018517</v>
      </c>
      <c r="H83" s="3">
        <v>42046.98164351852</v>
      </c>
      <c r="I83" s="3">
        <v>41988.923206018517</v>
      </c>
      <c r="J83" s="3" t="s">
        <v>103</v>
      </c>
      <c r="K83" s="3" t="s">
        <v>105</v>
      </c>
      <c r="L83" s="3" t="s">
        <v>632</v>
      </c>
      <c r="M83" s="3" t="s">
        <v>352</v>
      </c>
      <c r="N83" s="3" t="s">
        <v>633</v>
      </c>
      <c r="O83" s="3" t="s">
        <v>634</v>
      </c>
      <c r="P83" s="3" t="s">
        <v>215</v>
      </c>
      <c r="Q83" t="str">
        <f t="shared" si="5"/>
        <v>http://roarmap.eprints.org/view/country/112.html</v>
      </c>
      <c r="R83" s="3">
        <v>112</v>
      </c>
      <c r="S83" s="6" t="s">
        <v>110</v>
      </c>
      <c r="T83" s="9">
        <v>112</v>
      </c>
      <c r="U83" s="11" t="s">
        <v>123</v>
      </c>
      <c r="V83" s="7" t="s">
        <v>102</v>
      </c>
      <c r="W83" s="3" t="s">
        <v>158</v>
      </c>
      <c r="X83" s="3" t="s">
        <v>160</v>
      </c>
      <c r="Y83" s="3" t="s">
        <v>632</v>
      </c>
      <c r="Z83" s="8" t="str">
        <f>HYPERLINK("http://www.bntu.by/sclibrary.html","http://www.bntu.by/sclibrary.html")</f>
        <v>http://www.bntu.by/sclibrary.html</v>
      </c>
      <c r="AB83" s="8" t="str">
        <f>HYPERLINK("http://rep.bntu.by/","http://rep.bntu.by/")</f>
        <v>http://rep.bntu.by/</v>
      </c>
      <c r="AC83" s="3">
        <v>40909</v>
      </c>
      <c r="AD83" s="3">
        <v>40909</v>
      </c>
      <c r="AF83" s="3" t="s">
        <v>244</v>
      </c>
      <c r="AG83" s="3" t="s">
        <v>178</v>
      </c>
      <c r="AH83" s="3" t="s">
        <v>180</v>
      </c>
      <c r="AI83" s="3" t="s">
        <v>244</v>
      </c>
      <c r="AJ83" s="3" t="s">
        <v>182</v>
      </c>
      <c r="AK83" s="3" t="s">
        <v>244</v>
      </c>
      <c r="AL83" s="3" t="s">
        <v>244</v>
      </c>
      <c r="AM83" s="3" t="s">
        <v>247</v>
      </c>
      <c r="AN83" s="3" t="s">
        <v>244</v>
      </c>
      <c r="AO83" s="3" t="s">
        <v>247</v>
      </c>
      <c r="AP83" s="3" t="s">
        <v>244</v>
      </c>
      <c r="AQ83" s="3" t="s">
        <v>386</v>
      </c>
      <c r="AR83" s="3" t="s">
        <v>288</v>
      </c>
      <c r="AS83" s="3" t="s">
        <v>288</v>
      </c>
      <c r="AT83" s="3" t="s">
        <v>244</v>
      </c>
      <c r="AU83" s="3" t="s">
        <v>244</v>
      </c>
      <c r="AV83" s="3" t="s">
        <v>288</v>
      </c>
      <c r="AW83" s="3" t="s">
        <v>339</v>
      </c>
      <c r="AX83" s="3" t="s">
        <v>244</v>
      </c>
      <c r="AY83" s="3" t="s">
        <v>247</v>
      </c>
    </row>
    <row r="84" spans="1:52" ht="15.75" customHeight="1">
      <c r="A84" s="3">
        <v>82</v>
      </c>
      <c r="B84" s="5" t="str">
        <f t="shared" si="0"/>
        <v>http://roarmap.eprints.org/82/</v>
      </c>
      <c r="C84" s="3">
        <v>4</v>
      </c>
      <c r="D84" s="3" t="s">
        <v>98</v>
      </c>
      <c r="E84" s="3">
        <v>244</v>
      </c>
      <c r="F84" s="3" t="s">
        <v>635</v>
      </c>
      <c r="G84" s="3">
        <v>41988.923206018517</v>
      </c>
      <c r="H84" s="3">
        <v>42046.98164351852</v>
      </c>
      <c r="I84" s="3">
        <v>41988.923206018517</v>
      </c>
      <c r="J84" s="3" t="s">
        <v>103</v>
      </c>
      <c r="K84" s="3" t="s">
        <v>105</v>
      </c>
      <c r="L84" s="3" t="s">
        <v>636</v>
      </c>
      <c r="M84" s="3" t="s">
        <v>637</v>
      </c>
      <c r="N84" s="3" t="s">
        <v>638</v>
      </c>
      <c r="O84" s="3" t="s">
        <v>639</v>
      </c>
      <c r="P84" s="3" t="s">
        <v>215</v>
      </c>
      <c r="Q84" t="str">
        <f t="shared" si="5"/>
        <v>http://roarmap.eprints.org/view/country/112.html</v>
      </c>
      <c r="R84" s="3">
        <v>112</v>
      </c>
      <c r="S84" s="6" t="s">
        <v>110</v>
      </c>
      <c r="T84" s="9">
        <v>112</v>
      </c>
      <c r="U84" s="7" t="s">
        <v>123</v>
      </c>
      <c r="V84" s="11" t="s">
        <v>102</v>
      </c>
      <c r="W84" s="3" t="s">
        <v>158</v>
      </c>
      <c r="X84" s="3" t="s">
        <v>160</v>
      </c>
      <c r="Y84" s="3" t="s">
        <v>636</v>
      </c>
      <c r="Z84" s="8" t="str">
        <f>HYPERLINK("http://www.bsu.by/","http://www.bsu.by/")</f>
        <v>http://www.bsu.by/</v>
      </c>
      <c r="AA84" s="8" t="str">
        <f>HYPERLINK("http://roarmap.eprints.org/1001/1/%D0%9F%D0%BE%D0%BB%D0%BE%D0%B6%D0%B5%D0%BD%D0%B8%D0%B5%20%D0%BE%D0%B1%20%D0%AD%D0%91%20%D0%91%D0%93%D0%A3.pdf","http://roarmap.eprints.org/1001/1/%D0%9F%D0%BE%D0%BB%D0%BE%D0%B6%D0%B5%D0%BD%D0%B8%D0%B5%20%D0%BE%D0%B1%20%D0%AD%D0%91%20%D0%91%D0%93%D0%A3.pdf")</f>
        <v>http://roarmap.eprints.org/1001/1/%D0%9F%D0%BE%D0%BB%D0%BE%D0%B6%D0%B5%D0%BD%D0%B8%D0%B5%20%D0%BE%D0%B1%20%D0%AD%D0%91%20%D0%91%D0%93%D0%A3.pdf</v>
      </c>
      <c r="AB84" s="8" t="str">
        <f>HYPERLINK("http://elib.bsu.by/","http://elib.bsu.by/")</f>
        <v>http://elib.bsu.by/</v>
      </c>
      <c r="AC84" s="3">
        <v>40253</v>
      </c>
      <c r="AD84" s="3">
        <v>40253</v>
      </c>
      <c r="AF84" s="3" t="s">
        <v>177</v>
      </c>
      <c r="AG84" s="3" t="s">
        <v>178</v>
      </c>
      <c r="AH84" s="3" t="s">
        <v>180</v>
      </c>
      <c r="AI84" s="3" t="s">
        <v>244</v>
      </c>
      <c r="AJ84" s="3" t="s">
        <v>182</v>
      </c>
      <c r="AK84" s="3" t="s">
        <v>393</v>
      </c>
      <c r="AL84" s="3" t="s">
        <v>244</v>
      </c>
      <c r="AM84" s="3" t="s">
        <v>247</v>
      </c>
      <c r="AN84" s="3" t="s">
        <v>244</v>
      </c>
      <c r="AO84" s="3" t="s">
        <v>247</v>
      </c>
      <c r="AP84" s="3" t="s">
        <v>244</v>
      </c>
      <c r="AQ84" s="3" t="s">
        <v>394</v>
      </c>
      <c r="AR84" s="3" t="s">
        <v>288</v>
      </c>
      <c r="AS84" s="3" t="s">
        <v>185</v>
      </c>
      <c r="AT84" s="3" t="s">
        <v>244</v>
      </c>
      <c r="AU84" s="3" t="s">
        <v>244</v>
      </c>
      <c r="AV84" s="3" t="s">
        <v>288</v>
      </c>
      <c r="AW84" s="3" t="s">
        <v>195</v>
      </c>
      <c r="AX84" s="3" t="s">
        <v>244</v>
      </c>
      <c r="AY84" s="3" t="s">
        <v>247</v>
      </c>
    </row>
    <row r="85" spans="1:52" ht="15.75" customHeight="1">
      <c r="A85" s="3">
        <v>414</v>
      </c>
      <c r="B85" s="5" t="str">
        <f t="shared" si="0"/>
        <v>http://roarmap.eprints.org/414/</v>
      </c>
      <c r="C85" s="3">
        <v>4</v>
      </c>
      <c r="D85" s="3" t="s">
        <v>98</v>
      </c>
      <c r="E85" s="3">
        <v>310</v>
      </c>
      <c r="F85" s="3" t="s">
        <v>640</v>
      </c>
      <c r="G85" s="3">
        <v>41988.923935185187</v>
      </c>
      <c r="H85" s="3">
        <v>42046.981712962966</v>
      </c>
      <c r="I85" s="3">
        <v>41988.923935185187</v>
      </c>
      <c r="J85" s="3" t="s">
        <v>103</v>
      </c>
      <c r="K85" s="3" t="s">
        <v>105</v>
      </c>
      <c r="L85" s="3" t="s">
        <v>641</v>
      </c>
      <c r="M85" s="3" t="s">
        <v>374</v>
      </c>
      <c r="N85" s="3" t="s">
        <v>642</v>
      </c>
      <c r="P85" s="3" t="s">
        <v>215</v>
      </c>
      <c r="Q85" t="str">
        <f t="shared" si="5"/>
        <v>http://roarmap.eprints.org/view/country/124.html</v>
      </c>
      <c r="R85" s="3">
        <v>124</v>
      </c>
      <c r="S85" s="6" t="s">
        <v>114</v>
      </c>
      <c r="T85" s="9">
        <v>124</v>
      </c>
      <c r="U85" s="7" t="s">
        <v>2518</v>
      </c>
      <c r="V85" s="6" t="s">
        <v>66</v>
      </c>
      <c r="W85" s="3" t="s">
        <v>158</v>
      </c>
      <c r="X85" s="3" t="s">
        <v>160</v>
      </c>
      <c r="Y85" s="3" t="s">
        <v>641</v>
      </c>
      <c r="Z85" s="8" t="str">
        <f>HYPERLINK("http://www.athabascau.ca/","http://www.athabascau.ca/")</f>
        <v>http://www.athabascau.ca/</v>
      </c>
      <c r="AA85" s="3" t="s">
        <v>643</v>
      </c>
      <c r="AB85" s="8" t="str">
        <f>HYPERLINK("http://auspace.athabascau.ca/","http://auspace.athabascau.ca/")</f>
        <v>http://auspace.athabascau.ca/</v>
      </c>
      <c r="AD85" s="3">
        <v>39036</v>
      </c>
      <c r="AE85" s="3">
        <v>39142</v>
      </c>
      <c r="AF85" s="3" t="s">
        <v>478</v>
      </c>
      <c r="AG85" s="3" t="s">
        <v>333</v>
      </c>
      <c r="AH85" s="3" t="s">
        <v>180</v>
      </c>
      <c r="AI85" s="3" t="s">
        <v>244</v>
      </c>
      <c r="AJ85" s="3" t="s">
        <v>182</v>
      </c>
      <c r="AK85" s="3" t="s">
        <v>244</v>
      </c>
      <c r="AL85" s="3" t="s">
        <v>288</v>
      </c>
      <c r="AM85" s="3" t="s">
        <v>479</v>
      </c>
      <c r="AN85" s="3" t="s">
        <v>244</v>
      </c>
      <c r="AO85" s="3" t="s">
        <v>181</v>
      </c>
      <c r="AP85" s="3" t="s">
        <v>244</v>
      </c>
      <c r="AQ85" s="3" t="s">
        <v>247</v>
      </c>
      <c r="AR85" s="3" t="s">
        <v>288</v>
      </c>
      <c r="AS85" s="3" t="s">
        <v>288</v>
      </c>
      <c r="AT85" s="3" t="s">
        <v>244</v>
      </c>
      <c r="AU85" s="3" t="s">
        <v>244</v>
      </c>
      <c r="AV85" s="3" t="s">
        <v>288</v>
      </c>
      <c r="AW85" s="3" t="s">
        <v>339</v>
      </c>
      <c r="AX85" s="3" t="s">
        <v>244</v>
      </c>
      <c r="AY85" s="3" t="s">
        <v>247</v>
      </c>
    </row>
    <row r="86" spans="1:52" ht="15.75" customHeight="1">
      <c r="A86" s="3">
        <v>415</v>
      </c>
      <c r="B86" s="5" t="str">
        <f t="shared" si="0"/>
        <v>http://roarmap.eprints.org/415/</v>
      </c>
      <c r="C86" s="3">
        <v>5</v>
      </c>
      <c r="D86" s="3" t="s">
        <v>98</v>
      </c>
      <c r="E86" s="3">
        <v>311</v>
      </c>
      <c r="F86" s="3" t="s">
        <v>644</v>
      </c>
      <c r="G86" s="3">
        <v>41988.923935185187</v>
      </c>
      <c r="H86" s="3">
        <v>42046.981712962966</v>
      </c>
      <c r="I86" s="3">
        <v>41988.923935185187</v>
      </c>
      <c r="J86" s="3" t="s">
        <v>103</v>
      </c>
      <c r="K86" s="3" t="s">
        <v>105</v>
      </c>
      <c r="L86" s="3" t="s">
        <v>645</v>
      </c>
      <c r="M86" s="3" t="s">
        <v>352</v>
      </c>
      <c r="N86" s="3" t="s">
        <v>646</v>
      </c>
      <c r="O86" s="3" t="s">
        <v>647</v>
      </c>
      <c r="P86" s="3" t="s">
        <v>215</v>
      </c>
      <c r="Q86" t="str">
        <f t="shared" si="5"/>
        <v>http://roarmap.eprints.org/view/country/124.html</v>
      </c>
      <c r="R86" s="3">
        <v>124</v>
      </c>
      <c r="S86" s="6" t="s">
        <v>114</v>
      </c>
      <c r="T86" s="9">
        <v>124</v>
      </c>
      <c r="U86" s="7" t="s">
        <v>2518</v>
      </c>
      <c r="V86" s="6" t="s">
        <v>66</v>
      </c>
      <c r="W86" s="3" t="s">
        <v>158</v>
      </c>
      <c r="X86" s="3" t="s">
        <v>160</v>
      </c>
      <c r="Y86" s="3" t="s">
        <v>645</v>
      </c>
      <c r="Z86" s="8" t="str">
        <f>HYPERLINK("http://www.brocku.ca/","http://www.brocku.ca/")</f>
        <v>http://www.brocku.ca/</v>
      </c>
      <c r="AA86" s="8" t="str">
        <f>HYPERLINK("http://brocku.ca/graduate-studies/current-students/thesis/e-thesis-submission","http://brocku.ca/graduate-studies/current-students/thesis/e-thesis-submission")</f>
        <v>http://brocku.ca/graduate-studies/current-students/thesis/e-thesis-submission</v>
      </c>
      <c r="AB86" s="8" t="str">
        <f>HYPERLINK("https://dr.library.brocku.ca/","https://dr.library.brocku.ca/")</f>
        <v>https://dr.library.brocku.ca/</v>
      </c>
      <c r="AF86" s="3" t="s">
        <v>244</v>
      </c>
      <c r="AG86" s="3" t="s">
        <v>178</v>
      </c>
      <c r="AH86" s="3" t="s">
        <v>180</v>
      </c>
      <c r="AI86" s="3" t="s">
        <v>187</v>
      </c>
      <c r="AJ86" s="3" t="s">
        <v>385</v>
      </c>
      <c r="AK86" s="3" t="s">
        <v>244</v>
      </c>
      <c r="AL86" s="3" t="s">
        <v>185</v>
      </c>
      <c r="AM86" s="3" t="s">
        <v>178</v>
      </c>
      <c r="AN86" s="3" t="s">
        <v>189</v>
      </c>
      <c r="AO86" s="3" t="s">
        <v>621</v>
      </c>
      <c r="AP86" s="3" t="s">
        <v>185</v>
      </c>
      <c r="AQ86" s="3" t="s">
        <v>648</v>
      </c>
      <c r="AR86" s="3" t="s">
        <v>185</v>
      </c>
      <c r="AS86" s="3" t="s">
        <v>288</v>
      </c>
      <c r="AT86" s="3" t="s">
        <v>244</v>
      </c>
      <c r="AU86" s="3" t="s">
        <v>244</v>
      </c>
      <c r="AV86" s="3" t="s">
        <v>288</v>
      </c>
      <c r="AW86" s="3" t="s">
        <v>195</v>
      </c>
      <c r="AX86" s="3" t="s">
        <v>244</v>
      </c>
      <c r="AY86" s="3" t="s">
        <v>428</v>
      </c>
      <c r="AZ86" s="8" t="str">
        <f>HYPERLINK("http://www.brocku.ca/library/about-us-lib/openaccess/open-access-publishing-fund","http://www.brocku.ca/library/about-us-lib/openaccess/open-access-publishing-fund")</f>
        <v>http://www.brocku.ca/library/about-us-lib/openaccess/open-access-publishing-fund</v>
      </c>
    </row>
    <row r="87" spans="1:52" ht="15.75" customHeight="1">
      <c r="A87" s="3">
        <v>417</v>
      </c>
      <c r="B87" s="5" t="str">
        <f t="shared" si="0"/>
        <v>http://roarmap.eprints.org/417/</v>
      </c>
      <c r="C87" s="3">
        <v>3</v>
      </c>
      <c r="D87" s="3" t="s">
        <v>98</v>
      </c>
      <c r="E87" s="3">
        <v>1</v>
      </c>
      <c r="F87" s="3" t="s">
        <v>649</v>
      </c>
      <c r="G87" s="3">
        <v>41988.923935185187</v>
      </c>
      <c r="H87" s="3">
        <v>41988.923935185187</v>
      </c>
      <c r="I87" s="3">
        <v>41988.923935185187</v>
      </c>
      <c r="J87" s="3" t="s">
        <v>103</v>
      </c>
      <c r="K87" s="3" t="s">
        <v>105</v>
      </c>
      <c r="L87" s="3" t="s">
        <v>650</v>
      </c>
      <c r="M87" s="3" t="s">
        <v>374</v>
      </c>
      <c r="N87" s="3" t="s">
        <v>651</v>
      </c>
      <c r="P87" s="3" t="s">
        <v>215</v>
      </c>
      <c r="Q87" t="str">
        <f t="shared" si="5"/>
        <v>http://roarmap.eprints.org/view/country/124.html</v>
      </c>
      <c r="R87" s="3">
        <v>124</v>
      </c>
      <c r="S87" s="6" t="s">
        <v>114</v>
      </c>
      <c r="T87" s="9">
        <v>124</v>
      </c>
      <c r="U87" s="7" t="s">
        <v>2518</v>
      </c>
      <c r="V87" s="6" t="s">
        <v>66</v>
      </c>
      <c r="W87" s="3" t="s">
        <v>158</v>
      </c>
      <c r="X87" s="3" t="s">
        <v>364</v>
      </c>
      <c r="Y87" s="3" t="s">
        <v>650</v>
      </c>
      <c r="Z87" s="8" t="str">
        <f>HYPERLINK("http://www.cancer.ca/","http://www.cancer.ca/")</f>
        <v>http://www.cancer.ca/</v>
      </c>
      <c r="AA87" s="8" t="str">
        <f>HYPERLINK("http://www.cancer.ca/en/research/policies-and-administration/policies/open-access-policy/","http://www.cancer.ca/en/research/policies-and-administration/policies/open-access-policy/")</f>
        <v>http://www.cancer.ca/en/research/policies-and-administration/policies/open-access-policy/</v>
      </c>
      <c r="AB87" s="8" t="str">
        <f t="shared" ref="AB87:AB89" si="6">HYPERLINK("http://opendepot.org/","http://opendepot.org/")</f>
        <v>http://opendepot.org/</v>
      </c>
      <c r="AD87" s="3">
        <v>41456</v>
      </c>
      <c r="AF87" s="3" t="s">
        <v>244</v>
      </c>
      <c r="AG87" s="3" t="s">
        <v>178</v>
      </c>
      <c r="AH87" s="3" t="s">
        <v>370</v>
      </c>
      <c r="AI87" s="3" t="s">
        <v>377</v>
      </c>
      <c r="AJ87" s="3" t="s">
        <v>371</v>
      </c>
      <c r="AK87" s="3" t="s">
        <v>183</v>
      </c>
      <c r="AL87" s="3" t="s">
        <v>185</v>
      </c>
      <c r="AM87" s="3" t="s">
        <v>178</v>
      </c>
      <c r="AN87" s="3" t="s">
        <v>185</v>
      </c>
      <c r="AO87" s="3" t="s">
        <v>378</v>
      </c>
      <c r="AP87" s="3" t="s">
        <v>185</v>
      </c>
      <c r="AQ87" s="3" t="s">
        <v>247</v>
      </c>
      <c r="AR87" s="3" t="s">
        <v>288</v>
      </c>
      <c r="AS87" s="3" t="s">
        <v>288</v>
      </c>
      <c r="AT87" s="3" t="s">
        <v>395</v>
      </c>
      <c r="AU87" s="3" t="s">
        <v>244</v>
      </c>
      <c r="AV87" s="3" t="s">
        <v>189</v>
      </c>
      <c r="AW87" s="3" t="s">
        <v>339</v>
      </c>
      <c r="AX87" s="3" t="s">
        <v>442</v>
      </c>
      <c r="AY87" s="3" t="s">
        <v>198</v>
      </c>
    </row>
    <row r="88" spans="1:52" ht="15.75" customHeight="1">
      <c r="A88" s="3">
        <v>418</v>
      </c>
      <c r="B88" s="5" t="str">
        <f t="shared" si="0"/>
        <v>http://roarmap.eprints.org/418/</v>
      </c>
      <c r="C88" s="3">
        <v>3</v>
      </c>
      <c r="D88" s="3" t="s">
        <v>98</v>
      </c>
      <c r="E88" s="3">
        <v>1</v>
      </c>
      <c r="F88" s="3" t="s">
        <v>652</v>
      </c>
      <c r="G88" s="3">
        <v>41988.923935185187</v>
      </c>
      <c r="H88" s="3">
        <v>41988.923935185187</v>
      </c>
      <c r="I88" s="3">
        <v>41988.923935185187</v>
      </c>
      <c r="J88" s="3" t="s">
        <v>103</v>
      </c>
      <c r="K88" s="3" t="s">
        <v>105</v>
      </c>
      <c r="L88" s="3" t="s">
        <v>653</v>
      </c>
      <c r="M88" s="3" t="s">
        <v>374</v>
      </c>
      <c r="N88" s="3" t="s">
        <v>654</v>
      </c>
      <c r="O88" s="3" t="s">
        <v>655</v>
      </c>
      <c r="P88" s="3" t="s">
        <v>215</v>
      </c>
      <c r="Q88" t="str">
        <f t="shared" si="5"/>
        <v>http://roarmap.eprints.org/view/country/124.html</v>
      </c>
      <c r="R88" s="3">
        <v>124</v>
      </c>
      <c r="S88" s="6" t="s">
        <v>114</v>
      </c>
      <c r="T88" s="9">
        <v>124</v>
      </c>
      <c r="U88" s="7" t="s">
        <v>2518</v>
      </c>
      <c r="V88" s="6" t="s">
        <v>66</v>
      </c>
      <c r="W88" s="3" t="s">
        <v>158</v>
      </c>
      <c r="X88" s="3" t="s">
        <v>364</v>
      </c>
      <c r="Y88" s="3" t="s">
        <v>653</v>
      </c>
      <c r="Z88" s="8" t="str">
        <f>HYPERLINK("http://www.cfhi-fcass.ca/","http://www.cfhi-fcass.ca/")</f>
        <v>http://www.cfhi-fcass.ca/</v>
      </c>
      <c r="AA88" s="8" t="str">
        <f>HYPERLINK("http://www.cfhi-fcass.ca/Migrated/PDF/OpenAccesstoResearchOutputs.pdf","http://www.cfhi-fcass.ca/Migrated/PDF/OpenAccesstoResearchOutputs.pdf")</f>
        <v>http://www.cfhi-fcass.ca/Migrated/PDF/OpenAccesstoResearchOutputs.pdf</v>
      </c>
      <c r="AB88" s="8" t="str">
        <f t="shared" si="6"/>
        <v>http://opendepot.org/</v>
      </c>
      <c r="AD88" s="3">
        <v>39722</v>
      </c>
      <c r="AF88" s="3" t="s">
        <v>244</v>
      </c>
      <c r="AG88" s="3" t="s">
        <v>178</v>
      </c>
      <c r="AH88" s="3" t="s">
        <v>370</v>
      </c>
      <c r="AI88" s="3" t="s">
        <v>377</v>
      </c>
      <c r="AJ88" s="3" t="s">
        <v>182</v>
      </c>
      <c r="AK88" s="3" t="s">
        <v>393</v>
      </c>
      <c r="AL88" s="3" t="s">
        <v>185</v>
      </c>
      <c r="AM88" s="3" t="s">
        <v>178</v>
      </c>
      <c r="AN88" s="3" t="s">
        <v>185</v>
      </c>
      <c r="AO88" s="3" t="s">
        <v>181</v>
      </c>
      <c r="AP88" s="3" t="s">
        <v>185</v>
      </c>
      <c r="AQ88" s="3" t="s">
        <v>394</v>
      </c>
      <c r="AR88" s="3" t="s">
        <v>288</v>
      </c>
      <c r="AS88" s="3" t="s">
        <v>288</v>
      </c>
      <c r="AT88" s="3" t="s">
        <v>379</v>
      </c>
      <c r="AU88" s="3" t="s">
        <v>244</v>
      </c>
      <c r="AV88" s="3" t="s">
        <v>185</v>
      </c>
      <c r="AW88" s="3" t="s">
        <v>339</v>
      </c>
      <c r="AX88" s="3" t="s">
        <v>244</v>
      </c>
      <c r="AY88" s="3" t="s">
        <v>247</v>
      </c>
    </row>
    <row r="89" spans="1:52" ht="15.75" customHeight="1">
      <c r="A89" s="3">
        <v>419</v>
      </c>
      <c r="B89" s="5" t="str">
        <f t="shared" si="0"/>
        <v>http://roarmap.eprints.org/419/</v>
      </c>
      <c r="C89" s="3">
        <v>4</v>
      </c>
      <c r="D89" s="3" t="s">
        <v>98</v>
      </c>
      <c r="E89" s="3">
        <v>1</v>
      </c>
      <c r="F89" s="3" t="s">
        <v>656</v>
      </c>
      <c r="G89" s="3">
        <v>41988.923935185187</v>
      </c>
      <c r="H89" s="3">
        <v>42066.733067129629</v>
      </c>
      <c r="I89" s="3">
        <v>41988.923935185187</v>
      </c>
      <c r="J89" s="3" t="s">
        <v>103</v>
      </c>
      <c r="K89" s="3" t="s">
        <v>105</v>
      </c>
      <c r="L89" s="3" t="s">
        <v>657</v>
      </c>
      <c r="M89" s="3" t="s">
        <v>374</v>
      </c>
      <c r="N89" s="3" t="s">
        <v>658</v>
      </c>
      <c r="Q89" t="str">
        <f t="shared" si="5"/>
        <v>http://roarmap.eprints.org/view/country/124.html</v>
      </c>
      <c r="R89" s="3">
        <v>124</v>
      </c>
      <c r="S89" s="6" t="s">
        <v>114</v>
      </c>
      <c r="T89" s="9">
        <v>124</v>
      </c>
      <c r="U89" s="7" t="s">
        <v>2518</v>
      </c>
      <c r="V89" s="6" t="s">
        <v>66</v>
      </c>
      <c r="W89" s="3" t="s">
        <v>158</v>
      </c>
      <c r="X89" s="3" t="s">
        <v>364</v>
      </c>
      <c r="Y89" s="3" t="s">
        <v>657</v>
      </c>
      <c r="Z89" s="8" t="str">
        <f>HYPERLINK("http://www.cihr-irsc.gc.ca/","http://www.cihr-irsc.gc.ca/")</f>
        <v>http://www.cihr-irsc.gc.ca/</v>
      </c>
      <c r="AA89" s="8" t="str">
        <f>HYPERLINK("http://www.cihr-irsc.gc.ca/e/46068.html","http://www.cihr-irsc.gc.ca/e/46068.html")</f>
        <v>http://www.cihr-irsc.gc.ca/e/46068.html</v>
      </c>
      <c r="AB89" s="8" t="str">
        <f t="shared" si="6"/>
        <v>http://opendepot.org/</v>
      </c>
      <c r="AD89" s="3">
        <v>39448</v>
      </c>
      <c r="AE89" s="3">
        <v>41275</v>
      </c>
      <c r="AF89" s="3" t="s">
        <v>244</v>
      </c>
      <c r="AG89" s="3" t="s">
        <v>178</v>
      </c>
      <c r="AH89" s="3" t="s">
        <v>370</v>
      </c>
      <c r="AI89" s="3" t="s">
        <v>392</v>
      </c>
      <c r="AJ89" s="3" t="s">
        <v>371</v>
      </c>
      <c r="AK89" s="3" t="s">
        <v>393</v>
      </c>
      <c r="AL89" s="3" t="s">
        <v>244</v>
      </c>
      <c r="AM89" s="3" t="s">
        <v>178</v>
      </c>
      <c r="AN89" s="3" t="s">
        <v>244</v>
      </c>
      <c r="AO89" s="3" t="s">
        <v>378</v>
      </c>
      <c r="AP89" s="3" t="s">
        <v>189</v>
      </c>
      <c r="AQ89" s="3" t="s">
        <v>394</v>
      </c>
      <c r="AR89" s="3" t="s">
        <v>288</v>
      </c>
      <c r="AS89" s="3" t="s">
        <v>288</v>
      </c>
      <c r="AT89" s="3" t="s">
        <v>395</v>
      </c>
      <c r="AU89" s="3" t="s">
        <v>244</v>
      </c>
      <c r="AV89" s="3" t="s">
        <v>244</v>
      </c>
      <c r="AW89" s="3" t="s">
        <v>339</v>
      </c>
      <c r="AX89" s="3" t="s">
        <v>442</v>
      </c>
      <c r="AY89" s="3" t="s">
        <v>198</v>
      </c>
    </row>
    <row r="90" spans="1:52" ht="15.75" customHeight="1">
      <c r="A90" s="3">
        <v>420</v>
      </c>
      <c r="B90" s="5" t="str">
        <f t="shared" si="0"/>
        <v>http://roarmap.eprints.org/420/</v>
      </c>
      <c r="C90" s="3">
        <v>3</v>
      </c>
      <c r="D90" s="3" t="s">
        <v>98</v>
      </c>
      <c r="E90" s="3">
        <v>1</v>
      </c>
      <c r="F90" s="3" t="s">
        <v>659</v>
      </c>
      <c r="G90" s="3">
        <v>41988.923935185187</v>
      </c>
      <c r="H90" s="3">
        <v>41988.923935185187</v>
      </c>
      <c r="I90" s="3">
        <v>41988.923935185187</v>
      </c>
      <c r="J90" s="3" t="s">
        <v>103</v>
      </c>
      <c r="K90" s="3" t="s">
        <v>105</v>
      </c>
      <c r="L90" s="3" t="s">
        <v>660</v>
      </c>
      <c r="M90" s="3" t="s">
        <v>374</v>
      </c>
      <c r="P90" s="3" t="s">
        <v>215</v>
      </c>
      <c r="Q90" t="str">
        <f t="shared" si="5"/>
        <v>http://roarmap.eprints.org/view/country/124.html</v>
      </c>
      <c r="R90" s="3">
        <v>124</v>
      </c>
      <c r="S90" s="6" t="s">
        <v>114</v>
      </c>
      <c r="T90" s="9">
        <v>124</v>
      </c>
      <c r="U90" s="7" t="s">
        <v>2518</v>
      </c>
      <c r="V90" s="6" t="s">
        <v>66</v>
      </c>
      <c r="W90" s="3" t="s">
        <v>158</v>
      </c>
      <c r="X90" s="3" t="s">
        <v>160</v>
      </c>
      <c r="Y90" s="3" t="s">
        <v>660</v>
      </c>
      <c r="Z90" s="8" t="str">
        <f>HYPERLINK("http://www.concordia.ca/","http://www.concordia.ca/")</f>
        <v>http://www.concordia.ca/</v>
      </c>
      <c r="AA90" s="8" t="str">
        <f>HYPERLINK("http://library.concordia.ca/research/openaccess/SenateResolutiononOpenAccess.pdf","http://library.concordia.ca/research/openaccess/SenateResolutiononOpenAccess.pdf")</f>
        <v>http://library.concordia.ca/research/openaccess/SenateResolutiononOpenAccess.pdf</v>
      </c>
      <c r="AB90" s="8" t="str">
        <f>HYPERLINK("http://spectrum.library.concordia.ca/","http://spectrum.library.concordia.ca/")</f>
        <v>http://spectrum.library.concordia.ca/</v>
      </c>
      <c r="AC90" s="3">
        <v>40284</v>
      </c>
      <c r="AD90" s="3">
        <v>40284</v>
      </c>
      <c r="AF90" s="3" t="s">
        <v>478</v>
      </c>
      <c r="AG90" s="3" t="s">
        <v>333</v>
      </c>
      <c r="AH90" s="3" t="s">
        <v>180</v>
      </c>
      <c r="AI90" s="3" t="s">
        <v>244</v>
      </c>
      <c r="AJ90" s="3" t="s">
        <v>182</v>
      </c>
      <c r="AK90" s="3" t="s">
        <v>393</v>
      </c>
      <c r="AL90" s="3" t="s">
        <v>288</v>
      </c>
      <c r="AM90" s="3" t="s">
        <v>479</v>
      </c>
      <c r="AN90" s="3" t="s">
        <v>189</v>
      </c>
      <c r="AO90" s="3" t="s">
        <v>247</v>
      </c>
      <c r="AP90" s="3" t="s">
        <v>244</v>
      </c>
      <c r="AQ90" s="3" t="s">
        <v>394</v>
      </c>
      <c r="AR90" s="3" t="s">
        <v>288</v>
      </c>
      <c r="AS90" s="3" t="s">
        <v>189</v>
      </c>
      <c r="AT90" s="3" t="s">
        <v>244</v>
      </c>
      <c r="AU90" s="3" t="s">
        <v>244</v>
      </c>
      <c r="AV90" s="3" t="s">
        <v>288</v>
      </c>
      <c r="AW90" s="3" t="s">
        <v>339</v>
      </c>
      <c r="AX90" s="3" t="s">
        <v>442</v>
      </c>
      <c r="AY90" s="3" t="s">
        <v>428</v>
      </c>
      <c r="AZ90" s="8" t="str">
        <f>HYPERLINK("http://library.concordia.ca/research/openaccess/OAauthorfund.php","http://library.concordia.ca/research/openaccess/OAauthorfund.php")</f>
        <v>http://library.concordia.ca/research/openaccess/OAauthorfund.php</v>
      </c>
    </row>
    <row r="91" spans="1:52" ht="15.75" customHeight="1">
      <c r="A91" s="3">
        <v>421</v>
      </c>
      <c r="B91" s="5" t="str">
        <f t="shared" si="0"/>
        <v>http://roarmap.eprints.org/421/</v>
      </c>
      <c r="C91" s="3">
        <v>3</v>
      </c>
      <c r="D91" s="3" t="s">
        <v>98</v>
      </c>
      <c r="E91" s="3">
        <v>1</v>
      </c>
      <c r="F91" s="3" t="s">
        <v>661</v>
      </c>
      <c r="G91" s="3">
        <v>41988.923935185187</v>
      </c>
      <c r="H91" s="3">
        <v>41988.923935185187</v>
      </c>
      <c r="I91" s="3">
        <v>41988.923935185187</v>
      </c>
      <c r="J91" s="3" t="s">
        <v>103</v>
      </c>
      <c r="K91" s="3" t="s">
        <v>105</v>
      </c>
      <c r="L91" s="3" t="s">
        <v>662</v>
      </c>
      <c r="M91" s="3" t="s">
        <v>374</v>
      </c>
      <c r="N91" s="3" t="s">
        <v>663</v>
      </c>
      <c r="P91" s="3" t="s">
        <v>215</v>
      </c>
      <c r="Q91" t="str">
        <f t="shared" si="5"/>
        <v>http://roarmap.eprints.org/view/country/124.html</v>
      </c>
      <c r="R91" s="3">
        <v>124</v>
      </c>
      <c r="S91" s="6" t="s">
        <v>114</v>
      </c>
      <c r="T91" s="9">
        <v>124</v>
      </c>
      <c r="U91" s="7" t="s">
        <v>2518</v>
      </c>
      <c r="V91" s="6" t="s">
        <v>66</v>
      </c>
      <c r="W91" s="3" t="s">
        <v>158</v>
      </c>
      <c r="X91" s="3" t="s">
        <v>376</v>
      </c>
      <c r="Y91" s="3" t="s">
        <v>662</v>
      </c>
      <c r="Z91" s="8" t="str">
        <f>HYPERLINK("http://www.frqs.gouv.qc.ca/","http://www.frqs.gouv.qc.ca/")</f>
        <v>http://www.frqs.gouv.qc.ca/</v>
      </c>
      <c r="AA91" s="8" t="str">
        <f>HYPERLINK("http://www.frsq.gouv.qc.ca/en/financement/politiques/libre_acces_resultats_recherche.shtml","http://www.frsq.gouv.qc.ca/en/financement/politiques/libre_acces_resultats_recherche.shtml")</f>
        <v>http://www.frsq.gouv.qc.ca/en/financement/politiques/libre_acces_resultats_recherche.shtml</v>
      </c>
      <c r="AB91" s="8" t="str">
        <f t="shared" ref="AB91:AB93" si="7">HYPERLINK("http://opendepot.org/","http://opendepot.org/")</f>
        <v>http://opendepot.org/</v>
      </c>
      <c r="AC91" s="3">
        <v>39745</v>
      </c>
      <c r="AD91" s="3">
        <v>39814</v>
      </c>
      <c r="AF91" s="3" t="s">
        <v>177</v>
      </c>
      <c r="AG91" s="3" t="s">
        <v>333</v>
      </c>
      <c r="AH91" s="3" t="s">
        <v>370</v>
      </c>
      <c r="AI91" s="3" t="s">
        <v>377</v>
      </c>
      <c r="AJ91" s="3" t="s">
        <v>371</v>
      </c>
      <c r="AK91" s="3" t="s">
        <v>371</v>
      </c>
      <c r="AL91" s="3" t="s">
        <v>288</v>
      </c>
      <c r="AM91" s="3" t="s">
        <v>479</v>
      </c>
      <c r="AN91" s="3" t="s">
        <v>244</v>
      </c>
      <c r="AO91" s="3" t="s">
        <v>378</v>
      </c>
      <c r="AP91" s="3" t="s">
        <v>244</v>
      </c>
      <c r="AQ91" s="3" t="s">
        <v>247</v>
      </c>
      <c r="AR91" s="3" t="s">
        <v>288</v>
      </c>
      <c r="AS91" s="3" t="s">
        <v>288</v>
      </c>
      <c r="AT91" s="3" t="s">
        <v>379</v>
      </c>
      <c r="AU91" s="3" t="s">
        <v>244</v>
      </c>
      <c r="AV91" s="3" t="s">
        <v>288</v>
      </c>
      <c r="AW91" s="3" t="s">
        <v>339</v>
      </c>
      <c r="AX91" s="3" t="s">
        <v>244</v>
      </c>
      <c r="AY91" s="3" t="s">
        <v>247</v>
      </c>
    </row>
    <row r="92" spans="1:52" ht="15.75" customHeight="1">
      <c r="A92" s="3">
        <v>422</v>
      </c>
      <c r="B92" s="5" t="str">
        <f t="shared" si="0"/>
        <v>http://roarmap.eprints.org/422/</v>
      </c>
      <c r="C92" s="3">
        <v>3</v>
      </c>
      <c r="D92" s="3" t="s">
        <v>98</v>
      </c>
      <c r="E92" s="3">
        <v>1</v>
      </c>
      <c r="F92" s="3" t="s">
        <v>664</v>
      </c>
      <c r="G92" s="3">
        <v>41988.923946759256</v>
      </c>
      <c r="H92" s="3">
        <v>41988.923946759256</v>
      </c>
      <c r="I92" s="3">
        <v>41988.923946759256</v>
      </c>
      <c r="J92" s="3" t="s">
        <v>103</v>
      </c>
      <c r="K92" s="3" t="s">
        <v>105</v>
      </c>
      <c r="L92" s="3" t="s">
        <v>665</v>
      </c>
      <c r="M92" s="3" t="s">
        <v>374</v>
      </c>
      <c r="N92" s="3" t="s">
        <v>666</v>
      </c>
      <c r="P92" s="3" t="s">
        <v>215</v>
      </c>
      <c r="Q92" t="str">
        <f t="shared" si="5"/>
        <v>http://roarmap.eprints.org/view/country/124.html</v>
      </c>
      <c r="R92" s="3">
        <v>124</v>
      </c>
      <c r="S92" s="6" t="s">
        <v>114</v>
      </c>
      <c r="T92" s="9">
        <v>124</v>
      </c>
      <c r="U92" s="7" t="s">
        <v>2518</v>
      </c>
      <c r="V92" s="6" t="s">
        <v>66</v>
      </c>
      <c r="W92" s="3" t="s">
        <v>158</v>
      </c>
      <c r="X92" s="3" t="s">
        <v>364</v>
      </c>
      <c r="Y92" s="3" t="s">
        <v>665</v>
      </c>
      <c r="Z92" s="8" t="str">
        <f>HYPERLINK("http://www.genomecanada.ca/en/","http://www.genomecanada.ca/en/")</f>
        <v>http://www.genomecanada.ca/en/</v>
      </c>
      <c r="AA92" s="8" t="str">
        <f>HYPERLINK("http://www.genomecanada.ca/medias/PDF/EN/AccessResearchPublicationsPolicy.pdf","http://www.genomecanada.ca/medias/PDF/EN/AccessResearchPublicationsPolicy.pdf")</f>
        <v>http://www.genomecanada.ca/medias/PDF/EN/AccessResearchPublicationsPolicy.pdf</v>
      </c>
      <c r="AB92" s="8" t="str">
        <f t="shared" si="7"/>
        <v>http://opendepot.org/</v>
      </c>
      <c r="AC92" s="3">
        <v>39709</v>
      </c>
      <c r="AF92" s="3" t="s">
        <v>177</v>
      </c>
      <c r="AG92" s="3" t="s">
        <v>333</v>
      </c>
      <c r="AH92" s="3" t="s">
        <v>370</v>
      </c>
      <c r="AI92" s="3" t="s">
        <v>377</v>
      </c>
      <c r="AJ92" s="3" t="s">
        <v>182</v>
      </c>
      <c r="AK92" s="3" t="s">
        <v>393</v>
      </c>
      <c r="AL92" s="3" t="s">
        <v>288</v>
      </c>
      <c r="AM92" s="3" t="s">
        <v>479</v>
      </c>
      <c r="AN92" s="3" t="s">
        <v>244</v>
      </c>
      <c r="AO92" s="3" t="s">
        <v>378</v>
      </c>
      <c r="AP92" s="3" t="s">
        <v>244</v>
      </c>
      <c r="AQ92" s="3" t="s">
        <v>247</v>
      </c>
      <c r="AR92" s="3" t="s">
        <v>288</v>
      </c>
      <c r="AS92" s="3" t="s">
        <v>288</v>
      </c>
      <c r="AT92" s="3" t="s">
        <v>379</v>
      </c>
      <c r="AU92" s="3" t="s">
        <v>244</v>
      </c>
      <c r="AV92" s="3" t="s">
        <v>288</v>
      </c>
      <c r="AW92" s="3" t="s">
        <v>339</v>
      </c>
      <c r="AX92" s="3" t="s">
        <v>244</v>
      </c>
      <c r="AY92" s="3" t="s">
        <v>247</v>
      </c>
    </row>
    <row r="93" spans="1:52" ht="15.75" customHeight="1">
      <c r="A93" s="3">
        <v>423</v>
      </c>
      <c r="B93" s="5" t="str">
        <f t="shared" si="0"/>
        <v>http://roarmap.eprints.org/423/</v>
      </c>
      <c r="C93" s="3">
        <v>3</v>
      </c>
      <c r="D93" s="3" t="s">
        <v>98</v>
      </c>
      <c r="E93" s="3">
        <v>1</v>
      </c>
      <c r="F93" s="3" t="s">
        <v>667</v>
      </c>
      <c r="G93" s="3">
        <v>41988.923946759256</v>
      </c>
      <c r="H93" s="3">
        <v>41988.923946759256</v>
      </c>
      <c r="I93" s="3">
        <v>41988.923946759256</v>
      </c>
      <c r="J93" s="3" t="s">
        <v>103</v>
      </c>
      <c r="K93" s="3" t="s">
        <v>105</v>
      </c>
      <c r="L93" s="3" t="s">
        <v>668</v>
      </c>
      <c r="M93" s="3" t="s">
        <v>374</v>
      </c>
      <c r="N93" s="3" t="s">
        <v>669</v>
      </c>
      <c r="P93" s="3" t="s">
        <v>215</v>
      </c>
      <c r="Q93" t="str">
        <f t="shared" si="5"/>
        <v>http://roarmap.eprints.org/view/country/124.html</v>
      </c>
      <c r="R93" s="3">
        <v>124</v>
      </c>
      <c r="S93" s="6" t="s">
        <v>114</v>
      </c>
      <c r="T93" s="9">
        <v>124</v>
      </c>
      <c r="U93" s="7" t="s">
        <v>2518</v>
      </c>
      <c r="V93" s="6" t="s">
        <v>66</v>
      </c>
      <c r="W93" s="3" t="s">
        <v>158</v>
      </c>
      <c r="X93" s="3" t="s">
        <v>364</v>
      </c>
      <c r="Y93" s="3" t="s">
        <v>668</v>
      </c>
      <c r="Z93" s="8" t="str">
        <f>HYPERLINK("http://www.heartandstroke.com/","http://www.heartandstroke.com/")</f>
        <v>http://www.heartandstroke.com/</v>
      </c>
      <c r="AA93" s="8" t="str">
        <f>HYPERLINK("http://hsf.ca/research/en/hsf-open-access-research-outputs-policy-guidelines","http://hsf.ca/research/en/hsf-open-access-research-outputs-policy-guidelines")</f>
        <v>http://hsf.ca/research/en/hsf-open-access-research-outputs-policy-guidelines</v>
      </c>
      <c r="AB93" s="8" t="str">
        <f t="shared" si="7"/>
        <v>http://opendepot.org/</v>
      </c>
      <c r="AD93" s="3">
        <v>40330</v>
      </c>
      <c r="AF93" s="3" t="s">
        <v>244</v>
      </c>
      <c r="AG93" s="3" t="s">
        <v>178</v>
      </c>
      <c r="AH93" s="3" t="s">
        <v>370</v>
      </c>
      <c r="AI93" s="3" t="s">
        <v>377</v>
      </c>
      <c r="AJ93" s="3" t="s">
        <v>371</v>
      </c>
      <c r="AK93" s="3" t="s">
        <v>393</v>
      </c>
      <c r="AL93" s="3" t="s">
        <v>244</v>
      </c>
      <c r="AM93" s="3" t="s">
        <v>178</v>
      </c>
      <c r="AN93" s="3" t="s">
        <v>244</v>
      </c>
      <c r="AO93" s="3" t="s">
        <v>378</v>
      </c>
      <c r="AP93" s="3" t="s">
        <v>189</v>
      </c>
      <c r="AQ93" s="3" t="s">
        <v>247</v>
      </c>
      <c r="AR93" s="3" t="s">
        <v>288</v>
      </c>
      <c r="AS93" s="3" t="s">
        <v>288</v>
      </c>
      <c r="AT93" s="3" t="s">
        <v>379</v>
      </c>
      <c r="AU93" s="3" t="s">
        <v>244</v>
      </c>
      <c r="AV93" s="3" t="s">
        <v>244</v>
      </c>
      <c r="AW93" s="3" t="s">
        <v>339</v>
      </c>
      <c r="AX93" s="3" t="s">
        <v>442</v>
      </c>
      <c r="AY93" s="3" t="s">
        <v>198</v>
      </c>
    </row>
    <row r="94" spans="1:52" ht="15.75" customHeight="1">
      <c r="A94" s="3">
        <v>424</v>
      </c>
      <c r="B94" s="5" t="str">
        <f t="shared" si="0"/>
        <v>http://roarmap.eprints.org/424/</v>
      </c>
      <c r="C94" s="3">
        <v>3</v>
      </c>
      <c r="D94" s="3" t="s">
        <v>98</v>
      </c>
      <c r="E94" s="3">
        <v>1</v>
      </c>
      <c r="F94" s="3" t="s">
        <v>670</v>
      </c>
      <c r="G94" s="3">
        <v>41988.923946759256</v>
      </c>
      <c r="H94" s="3">
        <v>41988.923946759256</v>
      </c>
      <c r="I94" s="3">
        <v>41988.923946759256</v>
      </c>
      <c r="J94" s="3" t="s">
        <v>103</v>
      </c>
      <c r="K94" s="3" t="s">
        <v>105</v>
      </c>
      <c r="L94" s="3" t="s">
        <v>671</v>
      </c>
      <c r="M94" s="3" t="s">
        <v>352</v>
      </c>
      <c r="N94" s="3" t="s">
        <v>672</v>
      </c>
      <c r="O94" s="3" t="s">
        <v>673</v>
      </c>
      <c r="P94" s="3" t="s">
        <v>215</v>
      </c>
      <c r="Q94" t="str">
        <f t="shared" si="5"/>
        <v>http://roarmap.eprints.org/view/country/124.html</v>
      </c>
      <c r="R94" s="3">
        <v>124</v>
      </c>
      <c r="S94" s="6" t="s">
        <v>114</v>
      </c>
      <c r="T94" s="9">
        <v>124</v>
      </c>
      <c r="U94" s="7" t="s">
        <v>2518</v>
      </c>
      <c r="V94" s="6" t="s">
        <v>66</v>
      </c>
      <c r="W94" s="3" t="s">
        <v>158</v>
      </c>
      <c r="X94" s="3" t="s">
        <v>376</v>
      </c>
      <c r="Y94" s="3" t="s">
        <v>671</v>
      </c>
      <c r="Z94" s="8" t="str">
        <f>HYPERLINK("http://www.idrc.ca/","http://www.idrc.ca/")</f>
        <v>http://www.idrc.ca/</v>
      </c>
      <c r="AB94" s="8" t="str">
        <f>HYPERLINK("http://idl-bnc.idrc.ca/dspace/","http://idl-bnc.idrc.ca/dspace/")</f>
        <v>http://idl-bnc.idrc.ca/dspace/</v>
      </c>
      <c r="AG94" s="3" t="s">
        <v>244</v>
      </c>
      <c r="AH94" s="3" t="s">
        <v>244</v>
      </c>
      <c r="AI94" s="3" t="s">
        <v>244</v>
      </c>
      <c r="AJ94" s="3" t="s">
        <v>244</v>
      </c>
      <c r="AK94" s="3" t="s">
        <v>244</v>
      </c>
      <c r="AL94" s="3" t="s">
        <v>244</v>
      </c>
      <c r="AM94" s="3" t="s">
        <v>247</v>
      </c>
      <c r="AN94" s="3" t="s">
        <v>244</v>
      </c>
      <c r="AO94" s="3" t="s">
        <v>247</v>
      </c>
      <c r="AP94" s="3" t="s">
        <v>244</v>
      </c>
      <c r="AQ94" s="3" t="s">
        <v>247</v>
      </c>
      <c r="AR94" s="3" t="s">
        <v>288</v>
      </c>
      <c r="AS94" s="3" t="s">
        <v>244</v>
      </c>
      <c r="AT94" s="3" t="s">
        <v>244</v>
      </c>
      <c r="AU94" s="3" t="s">
        <v>244</v>
      </c>
      <c r="AV94" s="3" t="s">
        <v>288</v>
      </c>
      <c r="AW94" s="3" t="s">
        <v>244</v>
      </c>
      <c r="AX94" s="3" t="s">
        <v>244</v>
      </c>
      <c r="AY94" s="3" t="s">
        <v>247</v>
      </c>
    </row>
    <row r="95" spans="1:52" ht="15.75" customHeight="1">
      <c r="A95" s="3">
        <v>425</v>
      </c>
      <c r="B95" s="5" t="str">
        <f t="shared" si="0"/>
        <v>http://roarmap.eprints.org/425/</v>
      </c>
      <c r="C95" s="3">
        <v>4</v>
      </c>
      <c r="D95" s="3" t="s">
        <v>98</v>
      </c>
      <c r="E95" s="3">
        <v>312</v>
      </c>
      <c r="F95" s="3" t="s">
        <v>674</v>
      </c>
      <c r="G95" s="3">
        <v>41988.923946759256</v>
      </c>
      <c r="H95" s="3">
        <v>42046.981712962966</v>
      </c>
      <c r="I95" s="3">
        <v>41988.923946759256</v>
      </c>
      <c r="J95" s="3" t="s">
        <v>103</v>
      </c>
      <c r="K95" s="3" t="s">
        <v>105</v>
      </c>
      <c r="L95" s="3" t="s">
        <v>675</v>
      </c>
      <c r="M95" s="3" t="s">
        <v>352</v>
      </c>
      <c r="O95" s="3" t="s">
        <v>676</v>
      </c>
      <c r="P95" s="3" t="s">
        <v>215</v>
      </c>
      <c r="Q95" t="str">
        <f t="shared" si="5"/>
        <v>http://roarmap.eprints.org/view/country/124.html</v>
      </c>
      <c r="R95" s="3">
        <v>124</v>
      </c>
      <c r="S95" s="6" t="s">
        <v>114</v>
      </c>
      <c r="T95" s="9">
        <v>124</v>
      </c>
      <c r="U95" s="7" t="s">
        <v>2518</v>
      </c>
      <c r="V95" s="6" t="s">
        <v>66</v>
      </c>
      <c r="W95" s="3" t="s">
        <v>158</v>
      </c>
      <c r="X95" s="3" t="s">
        <v>160</v>
      </c>
      <c r="Y95" s="3" t="s">
        <v>675</v>
      </c>
      <c r="Z95" s="8" t="str">
        <f>HYPERLINK("http://www.mcgill.ca/library/","http://www.mcgill.ca/library/")</f>
        <v>http://www.mcgill.ca/library/</v>
      </c>
      <c r="AA95" s="8" t="str">
        <f>HYPERLINK("http://roarmap.eprints.org/806/1/McGillLibraryOAStatement.pdf","http://roarmap.eprints.org/806/1/McGillLibraryOAStatement.pdf")</f>
        <v>http://roarmap.eprints.org/806/1/McGillLibraryOAStatement.pdf</v>
      </c>
      <c r="AB95" s="8" t="str">
        <f>HYPERLINK("http://digitool.library.mcgill.ca/R/","http://digitool.library.mcgill.ca/R/")</f>
        <v>http://digitool.library.mcgill.ca/R/</v>
      </c>
      <c r="AC95" s="3">
        <v>41179</v>
      </c>
      <c r="AF95" s="3" t="s">
        <v>177</v>
      </c>
      <c r="AG95" s="3" t="s">
        <v>178</v>
      </c>
      <c r="AH95" s="3" t="s">
        <v>180</v>
      </c>
      <c r="AI95" s="3" t="s">
        <v>244</v>
      </c>
      <c r="AJ95" s="3" t="s">
        <v>182</v>
      </c>
      <c r="AK95" s="3" t="s">
        <v>393</v>
      </c>
      <c r="AL95" s="3" t="s">
        <v>189</v>
      </c>
      <c r="AM95" s="3" t="s">
        <v>178</v>
      </c>
      <c r="AN95" s="3" t="s">
        <v>244</v>
      </c>
      <c r="AO95" s="3" t="s">
        <v>247</v>
      </c>
      <c r="AP95" s="3" t="s">
        <v>185</v>
      </c>
      <c r="AQ95" s="3" t="s">
        <v>190</v>
      </c>
      <c r="AR95" s="3" t="s">
        <v>288</v>
      </c>
      <c r="AS95" s="3" t="s">
        <v>288</v>
      </c>
      <c r="AT95" s="3" t="s">
        <v>244</v>
      </c>
      <c r="AU95" s="3" t="s">
        <v>244</v>
      </c>
      <c r="AV95" s="3" t="s">
        <v>288</v>
      </c>
      <c r="AW95" s="3" t="s">
        <v>520</v>
      </c>
      <c r="AX95" s="3" t="s">
        <v>244</v>
      </c>
      <c r="AY95" s="3" t="s">
        <v>247</v>
      </c>
    </row>
    <row r="96" spans="1:52" ht="15.75" customHeight="1">
      <c r="A96" s="3">
        <v>426</v>
      </c>
      <c r="B96" s="5" t="str">
        <f t="shared" si="0"/>
        <v>http://roarmap.eprints.org/426/</v>
      </c>
      <c r="C96" s="3">
        <v>3</v>
      </c>
      <c r="D96" s="3" t="s">
        <v>98</v>
      </c>
      <c r="E96" s="3">
        <v>1</v>
      </c>
      <c r="F96" s="3" t="s">
        <v>677</v>
      </c>
      <c r="G96" s="3">
        <v>41988.923946759256</v>
      </c>
      <c r="H96" s="3">
        <v>41988.923946759256</v>
      </c>
      <c r="I96" s="3">
        <v>41988.923946759256</v>
      </c>
      <c r="J96" s="3" t="s">
        <v>103</v>
      </c>
      <c r="K96" s="3" t="s">
        <v>105</v>
      </c>
      <c r="L96" s="3" t="s">
        <v>678</v>
      </c>
      <c r="M96" s="3" t="s">
        <v>352</v>
      </c>
      <c r="O96" s="3" t="s">
        <v>679</v>
      </c>
      <c r="P96" s="3" t="s">
        <v>215</v>
      </c>
      <c r="Q96" t="str">
        <f t="shared" si="5"/>
        <v>http://roarmap.eprints.org/view/country/124.html</v>
      </c>
      <c r="R96" s="3">
        <v>124</v>
      </c>
      <c r="S96" s="6" t="s">
        <v>114</v>
      </c>
      <c r="T96" s="9">
        <v>124</v>
      </c>
      <c r="U96" s="7" t="s">
        <v>2518</v>
      </c>
      <c r="V96" s="6" t="s">
        <v>66</v>
      </c>
      <c r="W96" s="3" t="s">
        <v>158</v>
      </c>
      <c r="X96" s="3" t="s">
        <v>364</v>
      </c>
      <c r="Y96" s="3" t="s">
        <v>678</v>
      </c>
      <c r="Z96" s="8" t="str">
        <f>HYPERLINK("http://www.msfhr.org/","http://www.msfhr.org/")</f>
        <v>http://www.msfhr.org/</v>
      </c>
      <c r="AG96" s="3" t="s">
        <v>244</v>
      </c>
      <c r="AH96" s="3" t="s">
        <v>244</v>
      </c>
      <c r="AI96" s="3" t="s">
        <v>244</v>
      </c>
      <c r="AJ96" s="3" t="s">
        <v>244</v>
      </c>
      <c r="AK96" s="3" t="s">
        <v>244</v>
      </c>
      <c r="AL96" s="3" t="s">
        <v>244</v>
      </c>
      <c r="AM96" s="3" t="s">
        <v>247</v>
      </c>
      <c r="AN96" s="3" t="s">
        <v>244</v>
      </c>
      <c r="AO96" s="3" t="s">
        <v>247</v>
      </c>
      <c r="AP96" s="3" t="s">
        <v>244</v>
      </c>
      <c r="AQ96" s="3" t="s">
        <v>247</v>
      </c>
      <c r="AR96" s="3" t="s">
        <v>288</v>
      </c>
      <c r="AS96" s="3" t="s">
        <v>244</v>
      </c>
      <c r="AT96" s="3" t="s">
        <v>244</v>
      </c>
      <c r="AU96" s="3" t="s">
        <v>244</v>
      </c>
      <c r="AV96" s="3" t="s">
        <v>288</v>
      </c>
      <c r="AW96" s="3" t="s">
        <v>244</v>
      </c>
      <c r="AX96" s="3" t="s">
        <v>244</v>
      </c>
      <c r="AY96" s="3" t="s">
        <v>247</v>
      </c>
    </row>
    <row r="97" spans="1:52" ht="15.75" customHeight="1">
      <c r="A97" s="3">
        <v>427</v>
      </c>
      <c r="B97" s="5" t="str">
        <f t="shared" si="0"/>
        <v>http://roarmap.eprints.org/427/</v>
      </c>
      <c r="C97" s="3">
        <v>3</v>
      </c>
      <c r="D97" s="3" t="s">
        <v>98</v>
      </c>
      <c r="E97" s="3">
        <v>1</v>
      </c>
      <c r="F97" s="3" t="s">
        <v>680</v>
      </c>
      <c r="G97" s="3">
        <v>41988.923946759256</v>
      </c>
      <c r="H97" s="3">
        <v>41988.923946759256</v>
      </c>
      <c r="I97" s="3">
        <v>41988.923946759256</v>
      </c>
      <c r="J97" s="3" t="s">
        <v>103</v>
      </c>
      <c r="K97" s="3" t="s">
        <v>105</v>
      </c>
      <c r="L97" s="3" t="s">
        <v>681</v>
      </c>
      <c r="M97" s="3" t="s">
        <v>374</v>
      </c>
      <c r="P97" s="3" t="s">
        <v>215</v>
      </c>
      <c r="Q97" t="str">
        <f t="shared" si="5"/>
        <v>http://roarmap.eprints.org/view/country/124.html</v>
      </c>
      <c r="R97" s="3">
        <v>124</v>
      </c>
      <c r="S97" s="6" t="s">
        <v>114</v>
      </c>
      <c r="T97" s="9">
        <v>124</v>
      </c>
      <c r="U97" s="7" t="s">
        <v>2518</v>
      </c>
      <c r="V97" s="6" t="s">
        <v>66</v>
      </c>
      <c r="W97" s="3" t="s">
        <v>158</v>
      </c>
      <c r="X97" s="3" t="s">
        <v>160</v>
      </c>
      <c r="Y97" s="3" t="s">
        <v>681</v>
      </c>
      <c r="Z97" s="8" t="str">
        <f>HYPERLINK("http://www.msvu.ca/","http://www.msvu.ca/")</f>
        <v>http://www.msvu.ca/</v>
      </c>
      <c r="AA97" s="8" t="str">
        <f>HYPERLINK("http://dc.msvu.ca:8080/xmlui/themes/msvu_ir/static/MSVU-OA-policy.pdf","http://dc.msvu.ca:8080/xmlui/themes/msvu_ir/static/MSVU-OA-policy.pdf")</f>
        <v>http://dc.msvu.ca:8080/xmlui/themes/msvu_ir/static/MSVU-OA-policy.pdf</v>
      </c>
      <c r="AB97" s="8" t="str">
        <f>HYPERLINK("http://ec.msvu.ca:8080/xmlui/","http://ec.msvu.ca:8080/xmlui/")</f>
        <v>http://ec.msvu.ca:8080/xmlui/</v>
      </c>
      <c r="AC97" s="3">
        <v>40476</v>
      </c>
      <c r="AD97" s="3">
        <v>40476</v>
      </c>
      <c r="AF97" s="3" t="s">
        <v>478</v>
      </c>
      <c r="AG97" s="3" t="s">
        <v>333</v>
      </c>
      <c r="AH97" s="3" t="s">
        <v>180</v>
      </c>
      <c r="AI97" s="3" t="s">
        <v>181</v>
      </c>
      <c r="AJ97" s="3" t="s">
        <v>182</v>
      </c>
      <c r="AK97" s="3" t="s">
        <v>393</v>
      </c>
      <c r="AL97" s="3" t="s">
        <v>288</v>
      </c>
      <c r="AM97" s="3" t="s">
        <v>247</v>
      </c>
      <c r="AN97" s="3" t="s">
        <v>244</v>
      </c>
      <c r="AO97" s="3" t="s">
        <v>247</v>
      </c>
      <c r="AP97" s="3" t="s">
        <v>185</v>
      </c>
      <c r="AQ97" s="3" t="s">
        <v>247</v>
      </c>
      <c r="AR97" s="3" t="s">
        <v>288</v>
      </c>
      <c r="AS97" s="3" t="s">
        <v>288</v>
      </c>
      <c r="AT97" s="3" t="s">
        <v>244</v>
      </c>
      <c r="AU97" s="3" t="s">
        <v>244</v>
      </c>
      <c r="AV97" s="3" t="s">
        <v>288</v>
      </c>
      <c r="AW97" s="3" t="s">
        <v>339</v>
      </c>
      <c r="AX97" s="3" t="s">
        <v>244</v>
      </c>
      <c r="AY97" s="3" t="s">
        <v>247</v>
      </c>
    </row>
    <row r="98" spans="1:52" ht="15.75" customHeight="1">
      <c r="A98" s="3">
        <v>428</v>
      </c>
      <c r="B98" s="5" t="str">
        <f t="shared" si="0"/>
        <v>http://roarmap.eprints.org/428/</v>
      </c>
      <c r="C98" s="3">
        <v>8</v>
      </c>
      <c r="D98" s="3" t="s">
        <v>98</v>
      </c>
      <c r="E98" s="3">
        <v>1</v>
      </c>
      <c r="F98" s="3" t="s">
        <v>682</v>
      </c>
      <c r="G98" s="3">
        <v>41988.923946759256</v>
      </c>
      <c r="H98" s="3">
        <v>42029.909155092595</v>
      </c>
      <c r="I98" s="3">
        <v>41988.923946759256</v>
      </c>
      <c r="J98" s="3" t="s">
        <v>103</v>
      </c>
      <c r="K98" s="3" t="s">
        <v>105</v>
      </c>
      <c r="L98" s="3" t="s">
        <v>683</v>
      </c>
      <c r="M98" s="3" t="s">
        <v>637</v>
      </c>
      <c r="Q98" t="str">
        <f t="shared" si="5"/>
        <v>http://roarmap.eprints.org/view/country/124.html</v>
      </c>
      <c r="R98" s="3">
        <v>124</v>
      </c>
      <c r="S98" s="6" t="s">
        <v>114</v>
      </c>
      <c r="T98" s="9">
        <v>124</v>
      </c>
      <c r="U98" s="7" t="s">
        <v>2518</v>
      </c>
      <c r="V98" s="6" t="s">
        <v>66</v>
      </c>
      <c r="W98" s="3" t="s">
        <v>158</v>
      </c>
      <c r="X98" s="3" t="s">
        <v>376</v>
      </c>
      <c r="Y98" s="3" t="s">
        <v>683</v>
      </c>
      <c r="Z98" s="8" t="str">
        <f>HYPERLINK("http://www.nrc-cnrc.gc.ca/eng/","http://www.nrc-cnrc.gc.ca/eng/")</f>
        <v>http://www.nrc-cnrc.gc.ca/eng/</v>
      </c>
      <c r="AA98" s="8" t="str">
        <f>HYPERLINK("http://cisti-icist.nrc-cnrc.gc.ca/obj/cisti-icist/doc/nparc/NPArC-Statement-of-Responsibilities_e.pdf","http://cisti-icist.nrc-cnrc.gc.ca/obj/cisti-icist/doc/nparc/NPArC-Statement-of-Responsibilities_e.pdf")</f>
        <v>http://cisti-icist.nrc-cnrc.gc.ca/obj/cisti-icist/doc/nparc/NPArC-Statement-of-Responsibilities_e.pdf</v>
      </c>
      <c r="AB98" s="8" t="str">
        <f>HYPERLINK("http://nparc.cisti-icist.nrc-cnrc.gc.ca/npsi/ctrl","http://nparc.cisti-icist.nrc-cnrc.gc.ca/npsi/ctrl")</f>
        <v>http://nparc.cisti-icist.nrc-cnrc.gc.ca/npsi/ctrl</v>
      </c>
      <c r="AC98" s="3">
        <v>39814</v>
      </c>
      <c r="AF98" s="3" t="s">
        <v>177</v>
      </c>
      <c r="AG98" s="3" t="s">
        <v>178</v>
      </c>
      <c r="AH98" s="3" t="s">
        <v>370</v>
      </c>
      <c r="AI98" s="3" t="s">
        <v>187</v>
      </c>
      <c r="AJ98" s="3" t="s">
        <v>182</v>
      </c>
      <c r="AK98" s="3" t="s">
        <v>244</v>
      </c>
      <c r="AL98" s="3" t="s">
        <v>244</v>
      </c>
      <c r="AM98" s="3" t="s">
        <v>479</v>
      </c>
      <c r="AN98" s="3" t="s">
        <v>244</v>
      </c>
      <c r="AO98" s="3" t="s">
        <v>247</v>
      </c>
      <c r="AP98" s="3" t="s">
        <v>244</v>
      </c>
      <c r="AQ98" s="3" t="s">
        <v>190</v>
      </c>
      <c r="AR98" s="3" t="s">
        <v>288</v>
      </c>
      <c r="AS98" s="3" t="s">
        <v>244</v>
      </c>
      <c r="AT98" s="3" t="s">
        <v>379</v>
      </c>
      <c r="AU98" s="3" t="s">
        <v>379</v>
      </c>
      <c r="AV98" s="3" t="s">
        <v>189</v>
      </c>
      <c r="AW98" s="3" t="s">
        <v>244</v>
      </c>
      <c r="AX98" s="3" t="s">
        <v>244</v>
      </c>
      <c r="AY98" s="3" t="s">
        <v>247</v>
      </c>
    </row>
    <row r="99" spans="1:52" ht="15.75" customHeight="1">
      <c r="A99" s="3">
        <v>429</v>
      </c>
      <c r="B99" s="5" t="str">
        <f t="shared" si="0"/>
        <v>http://roarmap.eprints.org/429/</v>
      </c>
      <c r="C99" s="3">
        <v>5</v>
      </c>
      <c r="D99" s="3" t="s">
        <v>98</v>
      </c>
      <c r="E99" s="3">
        <v>1</v>
      </c>
      <c r="F99" s="3" t="s">
        <v>684</v>
      </c>
      <c r="G99" s="3">
        <v>41988.923946759256</v>
      </c>
      <c r="H99" s="3">
        <v>42066.736284722225</v>
      </c>
      <c r="I99" s="3">
        <v>41988.923946759256</v>
      </c>
      <c r="J99" s="3" t="s">
        <v>103</v>
      </c>
      <c r="K99" s="3" t="s">
        <v>105</v>
      </c>
      <c r="L99" s="3" t="s">
        <v>685</v>
      </c>
      <c r="M99" s="3" t="s">
        <v>374</v>
      </c>
      <c r="P99" s="3" t="s">
        <v>215</v>
      </c>
      <c r="Q99" t="str">
        <f t="shared" si="5"/>
        <v>http://roarmap.eprints.org/view/country/124.html</v>
      </c>
      <c r="R99" s="3">
        <v>124</v>
      </c>
      <c r="S99" s="6" t="s">
        <v>114</v>
      </c>
      <c r="T99" s="9">
        <v>124</v>
      </c>
      <c r="U99" s="7" t="s">
        <v>2518</v>
      </c>
      <c r="V99" s="6" t="s">
        <v>66</v>
      </c>
      <c r="W99" s="3" t="s">
        <v>158</v>
      </c>
      <c r="X99" s="3" t="s">
        <v>376</v>
      </c>
      <c r="Y99" s="3" t="s">
        <v>685</v>
      </c>
      <c r="Z99" s="8" t="str">
        <f>HYPERLINK("http://www.nserc-crsng.gc.ca/","http://www.nserc-crsng.gc.ca/")</f>
        <v>http://www.nserc-crsng.gc.ca/</v>
      </c>
      <c r="AA99" s="8" t="str">
        <f>HYPERLINK("http://www.science.gc.ca/default.asp?lang=En&amp;n=F6765465-1","http://www.science.gc.ca/default.asp?lang=En&amp;n=F6765465-1")</f>
        <v>http://www.science.gc.ca/default.asp?lang=En&amp;n=F6765465-1</v>
      </c>
      <c r="AB99" s="8" t="str">
        <f t="shared" ref="AB99:AB100" si="8">HYPERLINK("http://opendepot.org/","http://opendepot.org/")</f>
        <v>http://opendepot.org/</v>
      </c>
      <c r="AC99" s="3">
        <v>42062</v>
      </c>
      <c r="AD99" s="3">
        <v>42125</v>
      </c>
      <c r="AF99" s="3" t="s">
        <v>177</v>
      </c>
      <c r="AG99" s="3" t="s">
        <v>178</v>
      </c>
      <c r="AH99" s="3" t="s">
        <v>370</v>
      </c>
      <c r="AI99" s="3" t="s">
        <v>377</v>
      </c>
      <c r="AJ99" s="3" t="s">
        <v>182</v>
      </c>
      <c r="AK99" s="3" t="s">
        <v>393</v>
      </c>
      <c r="AL99" s="3" t="s">
        <v>244</v>
      </c>
      <c r="AM99" s="3" t="s">
        <v>178</v>
      </c>
      <c r="AN99" s="3" t="s">
        <v>244</v>
      </c>
      <c r="AO99" s="3" t="s">
        <v>378</v>
      </c>
      <c r="AP99" s="3" t="s">
        <v>189</v>
      </c>
      <c r="AQ99" s="3" t="s">
        <v>394</v>
      </c>
      <c r="AR99" s="3" t="s">
        <v>288</v>
      </c>
      <c r="AS99" s="3" t="s">
        <v>288</v>
      </c>
      <c r="AT99" s="3" t="s">
        <v>395</v>
      </c>
      <c r="AU99" s="3" t="s">
        <v>244</v>
      </c>
      <c r="AV99" s="3" t="s">
        <v>244</v>
      </c>
      <c r="AW99" s="3" t="s">
        <v>339</v>
      </c>
      <c r="AX99" s="3" t="s">
        <v>442</v>
      </c>
      <c r="AY99" s="3" t="s">
        <v>198</v>
      </c>
    </row>
    <row r="100" spans="1:52" ht="15.75" customHeight="1">
      <c r="A100" s="3">
        <v>430</v>
      </c>
      <c r="B100" s="5" t="str">
        <f t="shared" si="0"/>
        <v>http://roarmap.eprints.org/430/</v>
      </c>
      <c r="C100" s="3">
        <v>3</v>
      </c>
      <c r="D100" s="3" t="s">
        <v>98</v>
      </c>
      <c r="E100" s="3">
        <v>1</v>
      </c>
      <c r="F100" s="3" t="s">
        <v>686</v>
      </c>
      <c r="G100" s="3">
        <v>41988.923946759256</v>
      </c>
      <c r="H100" s="3">
        <v>41988.923946759256</v>
      </c>
      <c r="I100" s="3">
        <v>41988.923946759256</v>
      </c>
      <c r="J100" s="3" t="s">
        <v>103</v>
      </c>
      <c r="K100" s="3" t="s">
        <v>105</v>
      </c>
      <c r="L100" s="3" t="s">
        <v>687</v>
      </c>
      <c r="M100" s="3" t="s">
        <v>374</v>
      </c>
      <c r="N100" s="3" t="s">
        <v>688</v>
      </c>
      <c r="O100" s="3" t="s">
        <v>689</v>
      </c>
      <c r="P100" s="3" t="s">
        <v>215</v>
      </c>
      <c r="Q100" t="str">
        <f t="shared" si="5"/>
        <v>http://roarmap.eprints.org/view/country/124.html</v>
      </c>
      <c r="R100" s="3">
        <v>124</v>
      </c>
      <c r="S100" s="6" t="s">
        <v>114</v>
      </c>
      <c r="T100" s="9">
        <v>124</v>
      </c>
      <c r="U100" s="7" t="s">
        <v>2518</v>
      </c>
      <c r="V100" s="6" t="s">
        <v>66</v>
      </c>
      <c r="W100" s="3" t="s">
        <v>158</v>
      </c>
      <c r="X100" s="3" t="s">
        <v>364</v>
      </c>
      <c r="Y100" s="3" t="s">
        <v>687</v>
      </c>
      <c r="Z100" s="8" t="str">
        <f>HYPERLINK("http://oicr.on.ca/","http://oicr.on.ca/")</f>
        <v>http://oicr.on.ca/</v>
      </c>
      <c r="AA100" s="8" t="str">
        <f>HYPERLINK("http://oicr.on.ca/files/public/november2009cancerresearchfundpolicies.pdf","http://oicr.on.ca//files/public/november2009cancerresearchfundpolicies.pdf")</f>
        <v>http://oicr.on.ca//files/public/november2009cancerresearchfundpolicies.pdf</v>
      </c>
      <c r="AB100" s="8" t="str">
        <f t="shared" si="8"/>
        <v>http://opendepot.org/</v>
      </c>
      <c r="AC100" s="3">
        <v>39630</v>
      </c>
      <c r="AD100" s="3">
        <v>39995</v>
      </c>
      <c r="AF100" s="3" t="s">
        <v>244</v>
      </c>
      <c r="AG100" s="3" t="s">
        <v>178</v>
      </c>
      <c r="AH100" s="3" t="s">
        <v>180</v>
      </c>
      <c r="AI100" s="3" t="s">
        <v>187</v>
      </c>
      <c r="AJ100" s="3" t="s">
        <v>371</v>
      </c>
      <c r="AK100" s="3" t="s">
        <v>393</v>
      </c>
      <c r="AL100" s="3" t="s">
        <v>244</v>
      </c>
      <c r="AM100" s="3" t="s">
        <v>178</v>
      </c>
      <c r="AN100" s="3" t="s">
        <v>244</v>
      </c>
      <c r="AO100" s="3" t="s">
        <v>378</v>
      </c>
      <c r="AP100" s="3" t="s">
        <v>185</v>
      </c>
      <c r="AQ100" s="3" t="s">
        <v>247</v>
      </c>
      <c r="AR100" s="3" t="s">
        <v>288</v>
      </c>
      <c r="AS100" s="3" t="s">
        <v>288</v>
      </c>
      <c r="AT100" s="3" t="s">
        <v>379</v>
      </c>
      <c r="AU100" s="3" t="s">
        <v>244</v>
      </c>
      <c r="AV100" s="3" t="s">
        <v>244</v>
      </c>
      <c r="AW100" s="3" t="s">
        <v>339</v>
      </c>
      <c r="AX100" s="3" t="s">
        <v>442</v>
      </c>
      <c r="AY100" s="3" t="s">
        <v>521</v>
      </c>
    </row>
    <row r="101" spans="1:52" ht="15.75" customHeight="1">
      <c r="A101" s="3">
        <v>431</v>
      </c>
      <c r="B101" s="5" t="str">
        <f t="shared" si="0"/>
        <v>http://roarmap.eprints.org/431/</v>
      </c>
      <c r="C101" s="3">
        <v>3</v>
      </c>
      <c r="D101" s="3" t="s">
        <v>98</v>
      </c>
      <c r="E101" s="3">
        <v>1</v>
      </c>
      <c r="F101" s="3" t="s">
        <v>690</v>
      </c>
      <c r="G101" s="3">
        <v>41988.923958333333</v>
      </c>
      <c r="H101" s="3">
        <v>41988.923958333333</v>
      </c>
      <c r="I101" s="3">
        <v>41988.923958333333</v>
      </c>
      <c r="J101" s="3" t="s">
        <v>103</v>
      </c>
      <c r="K101" s="3" t="s">
        <v>105</v>
      </c>
      <c r="L101" s="3" t="s">
        <v>691</v>
      </c>
      <c r="M101" s="3" t="s">
        <v>352</v>
      </c>
      <c r="O101" s="3" t="s">
        <v>692</v>
      </c>
      <c r="P101" s="3" t="s">
        <v>215</v>
      </c>
      <c r="Q101" t="str">
        <f t="shared" si="5"/>
        <v>http://roarmap.eprints.org/view/country/124.html</v>
      </c>
      <c r="R101" s="3">
        <v>124</v>
      </c>
      <c r="S101" s="6" t="s">
        <v>114</v>
      </c>
      <c r="T101" s="9">
        <v>124</v>
      </c>
      <c r="U101" s="7" t="s">
        <v>2518</v>
      </c>
      <c r="V101" s="6" t="s">
        <v>66</v>
      </c>
      <c r="W101" s="3" t="s">
        <v>158</v>
      </c>
      <c r="X101" s="3" t="s">
        <v>160</v>
      </c>
      <c r="Y101" s="3" t="s">
        <v>691</v>
      </c>
      <c r="Z101" s="8" t="str">
        <f>HYPERLINK("http://library.queensu.ca/","http://library.queensu.ca/")</f>
        <v>http://library.queensu.ca/</v>
      </c>
      <c r="AA101" s="8" t="str">
        <f>HYPERLINK("http://post.queensu.ca/~qula/documents/QULA-OpenAccessPolicy.docx","http://post.queensu.ca/~qula/documents/QULA-OpenAccessPolicy.docx")</f>
        <v>http://post.queensu.ca/~qula/documents/QULA-OpenAccessPolicy.docx</v>
      </c>
      <c r="AB101" s="8" t="str">
        <f>HYPERLINK("https://qspace.library.queensu.ca/","https://qspace.library.queensu.ca/")</f>
        <v>https://qspace.library.queensu.ca/</v>
      </c>
      <c r="AD101" s="3">
        <v>40179</v>
      </c>
      <c r="AF101" s="3" t="s">
        <v>244</v>
      </c>
      <c r="AG101" s="3" t="s">
        <v>333</v>
      </c>
      <c r="AH101" s="3" t="s">
        <v>180</v>
      </c>
      <c r="AI101" s="3" t="s">
        <v>181</v>
      </c>
      <c r="AJ101" s="3" t="s">
        <v>182</v>
      </c>
      <c r="AK101" s="3" t="s">
        <v>244</v>
      </c>
      <c r="AL101" s="3" t="s">
        <v>288</v>
      </c>
      <c r="AM101" s="3" t="s">
        <v>479</v>
      </c>
      <c r="AN101" s="3" t="s">
        <v>244</v>
      </c>
      <c r="AO101" s="3" t="s">
        <v>181</v>
      </c>
      <c r="AP101" s="3" t="s">
        <v>244</v>
      </c>
      <c r="AQ101" s="3" t="s">
        <v>190</v>
      </c>
      <c r="AR101" s="3" t="s">
        <v>288</v>
      </c>
      <c r="AS101" s="3" t="s">
        <v>288</v>
      </c>
      <c r="AT101" s="3" t="s">
        <v>244</v>
      </c>
      <c r="AU101" s="3" t="s">
        <v>244</v>
      </c>
      <c r="AV101" s="3" t="s">
        <v>288</v>
      </c>
      <c r="AW101" s="3" t="s">
        <v>339</v>
      </c>
      <c r="AX101" s="3" t="s">
        <v>244</v>
      </c>
      <c r="AY101" s="3" t="s">
        <v>247</v>
      </c>
    </row>
    <row r="102" spans="1:52" ht="15.75" customHeight="1">
      <c r="A102" s="3">
        <v>682</v>
      </c>
      <c r="B102" s="5" t="str">
        <f t="shared" si="0"/>
        <v>http://roarmap.eprints.org/682/</v>
      </c>
      <c r="C102" s="3">
        <v>5</v>
      </c>
      <c r="D102" s="3" t="s">
        <v>98</v>
      </c>
      <c r="E102" s="3">
        <v>65</v>
      </c>
      <c r="F102" s="3" t="s">
        <v>693</v>
      </c>
      <c r="G102" s="3">
        <v>42066.737488425926</v>
      </c>
      <c r="H102" s="3">
        <v>42066.737488425926</v>
      </c>
      <c r="I102" s="3">
        <v>42066.737488425926</v>
      </c>
      <c r="J102" s="3" t="s">
        <v>103</v>
      </c>
      <c r="K102" s="3" t="s">
        <v>105</v>
      </c>
      <c r="L102" s="3" t="s">
        <v>694</v>
      </c>
      <c r="M102" s="3" t="s">
        <v>374</v>
      </c>
      <c r="P102" s="3" t="s">
        <v>215</v>
      </c>
      <c r="Q102" t="str">
        <f t="shared" si="5"/>
        <v>http://roarmap.eprints.org/view/country/124.html</v>
      </c>
      <c r="R102" s="3">
        <v>124</v>
      </c>
      <c r="S102" s="6" t="s">
        <v>114</v>
      </c>
      <c r="T102" s="9">
        <v>124</v>
      </c>
      <c r="U102" s="7" t="s">
        <v>2518</v>
      </c>
      <c r="V102" s="6" t="s">
        <v>66</v>
      </c>
      <c r="W102" s="3" t="s">
        <v>158</v>
      </c>
      <c r="X102" s="3" t="s">
        <v>376</v>
      </c>
      <c r="Y102" s="3" t="s">
        <v>694</v>
      </c>
      <c r="Z102" s="8" t="str">
        <f>HYPERLINK("http://www.sshrc-crsh.gc.ca/","http://www.sshrc-crsh.gc.ca/")</f>
        <v>http://www.sshrc-crsh.gc.ca/</v>
      </c>
      <c r="AA102" s="8" t="str">
        <f>HYPERLINK("http://www.science.gc.ca/default.asp?lang=En&amp;n=F6765465-1","http://www.science.gc.ca/default.asp?lang=En&amp;n=F6765465-1")</f>
        <v>http://www.science.gc.ca/default.asp?lang=En&amp;n=F6765465-1</v>
      </c>
      <c r="AB102" s="8" t="str">
        <f>HYPERLINK("http://opendepot.org/","http://opendepot.org/")</f>
        <v>http://opendepot.org/</v>
      </c>
      <c r="AC102" s="3">
        <v>42062</v>
      </c>
      <c r="AD102" s="3">
        <v>42125</v>
      </c>
      <c r="AF102" s="3" t="s">
        <v>177</v>
      </c>
      <c r="AG102" s="3" t="s">
        <v>178</v>
      </c>
      <c r="AH102" s="3" t="s">
        <v>370</v>
      </c>
      <c r="AI102" s="3" t="s">
        <v>377</v>
      </c>
      <c r="AJ102" s="3" t="s">
        <v>182</v>
      </c>
      <c r="AK102" s="3" t="s">
        <v>393</v>
      </c>
      <c r="AL102" s="3" t="s">
        <v>244</v>
      </c>
      <c r="AM102" s="3" t="s">
        <v>178</v>
      </c>
      <c r="AN102" s="3" t="s">
        <v>244</v>
      </c>
      <c r="AO102" s="3" t="s">
        <v>378</v>
      </c>
      <c r="AP102" s="3" t="s">
        <v>189</v>
      </c>
      <c r="AQ102" s="3" t="s">
        <v>394</v>
      </c>
      <c r="AR102" s="3" t="s">
        <v>288</v>
      </c>
      <c r="AS102" s="3" t="s">
        <v>288</v>
      </c>
      <c r="AT102" s="3" t="s">
        <v>395</v>
      </c>
      <c r="AU102" s="3" t="s">
        <v>244</v>
      </c>
      <c r="AV102" s="3" t="s">
        <v>244</v>
      </c>
      <c r="AW102" s="3" t="s">
        <v>339</v>
      </c>
      <c r="AX102" s="3" t="s">
        <v>442</v>
      </c>
      <c r="AY102" s="3" t="s">
        <v>198</v>
      </c>
    </row>
    <row r="103" spans="1:52" ht="15.75" customHeight="1">
      <c r="A103" s="3">
        <v>432</v>
      </c>
      <c r="B103" s="5" t="str">
        <f t="shared" si="0"/>
        <v>http://roarmap.eprints.org/432/</v>
      </c>
      <c r="C103" s="3">
        <v>4</v>
      </c>
      <c r="D103" s="3" t="s">
        <v>98</v>
      </c>
      <c r="E103" s="3">
        <v>313</v>
      </c>
      <c r="F103" s="3" t="s">
        <v>695</v>
      </c>
      <c r="G103" s="3">
        <v>41988.923958333333</v>
      </c>
      <c r="H103" s="3">
        <v>42046.981724537036</v>
      </c>
      <c r="I103" s="3">
        <v>41988.923958333333</v>
      </c>
      <c r="J103" s="3" t="s">
        <v>103</v>
      </c>
      <c r="K103" s="3" t="s">
        <v>105</v>
      </c>
      <c r="L103" s="3" t="s">
        <v>696</v>
      </c>
      <c r="M103" s="3" t="s">
        <v>374</v>
      </c>
      <c r="N103" s="3" t="s">
        <v>697</v>
      </c>
      <c r="O103" s="3" t="s">
        <v>698</v>
      </c>
      <c r="P103" s="3" t="s">
        <v>215</v>
      </c>
      <c r="Q103" t="str">
        <f t="shared" si="5"/>
        <v>http://roarmap.eprints.org/view/country/124.html</v>
      </c>
      <c r="R103" s="3">
        <v>124</v>
      </c>
      <c r="S103" s="6" t="s">
        <v>114</v>
      </c>
      <c r="T103" s="9">
        <v>124</v>
      </c>
      <c r="U103" s="7" t="s">
        <v>2518</v>
      </c>
      <c r="V103" s="6" t="s">
        <v>66</v>
      </c>
      <c r="W103" s="3" t="s">
        <v>158</v>
      </c>
      <c r="X103" s="3" t="s">
        <v>160</v>
      </c>
      <c r="Y103" s="3" t="s">
        <v>696</v>
      </c>
      <c r="Z103" s="8" t="str">
        <f>HYPERLINK("http://www.teluq.ca/","http://www.teluq.ca/")</f>
        <v>http://www.teluq.ca/</v>
      </c>
      <c r="AA103" s="8" t="str">
        <f>HYPERLINK("http://benhur.teluq.uquebec.ca/~mcouture/oa/accesLibreResol-UERST.htm","http://benhur.teluq.uquebec.ca/~mcouture/oa/accesLibreResol-UERST.htm")</f>
        <v>http://benhur.teluq.uquebec.ca/~mcouture/oa/accesLibreResol-UERST.htm</v>
      </c>
      <c r="AC103" s="3">
        <v>41562</v>
      </c>
      <c r="AD103" s="3">
        <v>41275</v>
      </c>
      <c r="AF103" s="3" t="s">
        <v>478</v>
      </c>
      <c r="AG103" s="3" t="s">
        <v>178</v>
      </c>
      <c r="AH103" s="3" t="s">
        <v>180</v>
      </c>
      <c r="AI103" s="3" t="s">
        <v>244</v>
      </c>
      <c r="AJ103" s="3" t="s">
        <v>371</v>
      </c>
      <c r="AK103" s="3" t="s">
        <v>393</v>
      </c>
      <c r="AL103" s="3" t="s">
        <v>244</v>
      </c>
      <c r="AM103" s="3" t="s">
        <v>247</v>
      </c>
      <c r="AN103" s="3" t="s">
        <v>244</v>
      </c>
      <c r="AO103" s="3" t="s">
        <v>247</v>
      </c>
      <c r="AP103" s="3" t="s">
        <v>244</v>
      </c>
      <c r="AQ103" s="3" t="s">
        <v>247</v>
      </c>
      <c r="AR103" s="3" t="s">
        <v>288</v>
      </c>
      <c r="AS103" s="3" t="s">
        <v>288</v>
      </c>
      <c r="AT103" s="3" t="s">
        <v>244</v>
      </c>
      <c r="AU103" s="3" t="s">
        <v>244</v>
      </c>
      <c r="AV103" s="3" t="s">
        <v>288</v>
      </c>
      <c r="AW103" s="3" t="s">
        <v>339</v>
      </c>
      <c r="AX103" s="3" t="s">
        <v>244</v>
      </c>
      <c r="AY103" s="3" t="s">
        <v>247</v>
      </c>
    </row>
    <row r="104" spans="1:52" ht="15.75" customHeight="1">
      <c r="A104" s="3">
        <v>433</v>
      </c>
      <c r="B104" s="5" t="str">
        <f t="shared" si="0"/>
        <v>http://roarmap.eprints.org/433/</v>
      </c>
      <c r="C104" s="3">
        <v>3</v>
      </c>
      <c r="D104" s="3" t="s">
        <v>98</v>
      </c>
      <c r="E104" s="3">
        <v>1</v>
      </c>
      <c r="F104" s="3" t="s">
        <v>699</v>
      </c>
      <c r="G104" s="3">
        <v>41988.923958333333</v>
      </c>
      <c r="H104" s="3">
        <v>41988.923958333333</v>
      </c>
      <c r="I104" s="3">
        <v>41988.923958333333</v>
      </c>
      <c r="J104" s="3" t="s">
        <v>103</v>
      </c>
      <c r="K104" s="3" t="s">
        <v>105</v>
      </c>
      <c r="L104" s="3" t="s">
        <v>700</v>
      </c>
      <c r="M104" s="3" t="s">
        <v>352</v>
      </c>
      <c r="N104" s="3" t="s">
        <v>701</v>
      </c>
      <c r="P104" s="3" t="s">
        <v>215</v>
      </c>
      <c r="Q104" t="str">
        <f t="shared" si="5"/>
        <v>http://roarmap.eprints.org/view/country/124.html</v>
      </c>
      <c r="R104" s="3">
        <v>124</v>
      </c>
      <c r="S104" s="6" t="s">
        <v>114</v>
      </c>
      <c r="T104" s="9">
        <v>124</v>
      </c>
      <c r="U104" s="7" t="s">
        <v>2518</v>
      </c>
      <c r="V104" s="6" t="s">
        <v>66</v>
      </c>
      <c r="W104" s="3" t="s">
        <v>158</v>
      </c>
      <c r="X104" s="3" t="s">
        <v>160</v>
      </c>
      <c r="Y104" s="3" t="s">
        <v>700</v>
      </c>
      <c r="Z104" s="8" t="str">
        <f>HYPERLINK("http://lcr.ucalgary.ca/","http://lcr.ucalgary.ca/")</f>
        <v>http://lcr.ucalgary.ca/</v>
      </c>
      <c r="AA104" s="8" t="str">
        <f>HYPERLINK("http://library.ucalgary.ca/oa-mandate","http://library.ucalgary.ca/oa-mandate")</f>
        <v>http://library.ucalgary.ca/oa-mandate</v>
      </c>
      <c r="AB104" s="8" t="str">
        <f>HYPERLINK("http://dspace.ucalgary.ca/","http://dspace.ucalgary.ca/")</f>
        <v>http://dspace.ucalgary.ca/</v>
      </c>
      <c r="AD104" s="3">
        <v>40073</v>
      </c>
      <c r="AF104" s="3" t="s">
        <v>244</v>
      </c>
      <c r="AG104" s="3" t="s">
        <v>244</v>
      </c>
      <c r="AH104" s="3" t="s">
        <v>180</v>
      </c>
      <c r="AI104" s="3" t="s">
        <v>244</v>
      </c>
      <c r="AJ104" s="3" t="s">
        <v>182</v>
      </c>
      <c r="AK104" s="3" t="s">
        <v>244</v>
      </c>
      <c r="AL104" s="3" t="s">
        <v>244</v>
      </c>
      <c r="AM104" s="3" t="s">
        <v>247</v>
      </c>
      <c r="AN104" s="3" t="s">
        <v>244</v>
      </c>
      <c r="AO104" s="3" t="s">
        <v>247</v>
      </c>
      <c r="AP104" s="3" t="s">
        <v>244</v>
      </c>
      <c r="AQ104" s="3" t="s">
        <v>247</v>
      </c>
      <c r="AR104" s="3" t="s">
        <v>288</v>
      </c>
      <c r="AS104" s="3" t="s">
        <v>288</v>
      </c>
      <c r="AT104" s="3" t="s">
        <v>244</v>
      </c>
      <c r="AU104" s="3" t="s">
        <v>244</v>
      </c>
      <c r="AV104" s="3" t="s">
        <v>288</v>
      </c>
      <c r="AW104" s="3" t="s">
        <v>339</v>
      </c>
      <c r="AX104" s="3" t="s">
        <v>442</v>
      </c>
      <c r="AY104" s="3" t="s">
        <v>428</v>
      </c>
      <c r="AZ104" s="8" t="str">
        <f>HYPERLINK("http://library.ucalgary.ca/open-access-authors-fund","http://library.ucalgary.ca/open-access-authors-fund")</f>
        <v>http://library.ucalgary.ca/open-access-authors-fund</v>
      </c>
    </row>
    <row r="105" spans="1:52" ht="15.75" customHeight="1">
      <c r="A105" s="3">
        <v>434</v>
      </c>
      <c r="B105" s="5" t="str">
        <f t="shared" si="0"/>
        <v>http://roarmap.eprints.org/434/</v>
      </c>
      <c r="C105" s="3">
        <v>4</v>
      </c>
      <c r="D105" s="3" t="s">
        <v>98</v>
      </c>
      <c r="E105" s="3">
        <v>314</v>
      </c>
      <c r="F105" s="3" t="s">
        <v>702</v>
      </c>
      <c r="G105" s="3">
        <v>41988.923958333333</v>
      </c>
      <c r="H105" s="3">
        <v>42046.981724537036</v>
      </c>
      <c r="I105" s="3">
        <v>41988.923958333333</v>
      </c>
      <c r="J105" s="3" t="s">
        <v>103</v>
      </c>
      <c r="K105" s="3" t="s">
        <v>105</v>
      </c>
      <c r="L105" s="3" t="s">
        <v>703</v>
      </c>
      <c r="M105" s="3" t="s">
        <v>352</v>
      </c>
      <c r="O105" s="3" t="s">
        <v>704</v>
      </c>
      <c r="P105" s="3" t="s">
        <v>215</v>
      </c>
      <c r="Q105" t="str">
        <f t="shared" si="5"/>
        <v>http://roarmap.eprints.org/view/country/124.html</v>
      </c>
      <c r="R105" s="3">
        <v>124</v>
      </c>
      <c r="S105" s="6" t="s">
        <v>114</v>
      </c>
      <c r="T105" s="9">
        <v>124</v>
      </c>
      <c r="U105" s="7" t="s">
        <v>2518</v>
      </c>
      <c r="V105" s="6" t="s">
        <v>66</v>
      </c>
      <c r="W105" s="3" t="s">
        <v>158</v>
      </c>
      <c r="X105" s="3" t="s">
        <v>160</v>
      </c>
      <c r="Y105" s="3" t="s">
        <v>703</v>
      </c>
      <c r="Z105" s="8" t="str">
        <f>HYPERLINK("http://www.uoguelph.ca/","http://www.uoguelph.ca/")</f>
        <v>http://www.uoguelph.ca/</v>
      </c>
      <c r="AB105" s="8" t="str">
        <f t="shared" ref="AB105:AB106" si="9">HYPERLINK("http://atrium.lib.uoguelph.ca/","http://atrium.lib.uoguelph.ca/")</f>
        <v>http://atrium.lib.uoguelph.ca/</v>
      </c>
      <c r="AG105" s="3" t="s">
        <v>244</v>
      </c>
      <c r="AH105" s="3" t="s">
        <v>244</v>
      </c>
      <c r="AI105" s="3" t="s">
        <v>244</v>
      </c>
      <c r="AJ105" s="3" t="s">
        <v>244</v>
      </c>
      <c r="AK105" s="3" t="s">
        <v>244</v>
      </c>
      <c r="AL105" s="3" t="s">
        <v>244</v>
      </c>
      <c r="AM105" s="3" t="s">
        <v>247</v>
      </c>
      <c r="AN105" s="3" t="s">
        <v>244</v>
      </c>
      <c r="AO105" s="3" t="s">
        <v>247</v>
      </c>
      <c r="AP105" s="3" t="s">
        <v>244</v>
      </c>
      <c r="AQ105" s="3" t="s">
        <v>247</v>
      </c>
      <c r="AR105" s="3" t="s">
        <v>288</v>
      </c>
      <c r="AS105" s="3" t="s">
        <v>244</v>
      </c>
      <c r="AT105" s="3" t="s">
        <v>244</v>
      </c>
      <c r="AU105" s="3" t="s">
        <v>244</v>
      </c>
      <c r="AV105" s="3" t="s">
        <v>288</v>
      </c>
      <c r="AW105" s="3" t="s">
        <v>244</v>
      </c>
      <c r="AX105" s="3" t="s">
        <v>244</v>
      </c>
      <c r="AY105" s="3" t="s">
        <v>247</v>
      </c>
    </row>
    <row r="106" spans="1:52" ht="15.75" customHeight="1">
      <c r="A106" s="3">
        <v>435</v>
      </c>
      <c r="B106" s="5" t="str">
        <f t="shared" si="0"/>
        <v>http://roarmap.eprints.org/435/</v>
      </c>
      <c r="C106" s="3">
        <v>4</v>
      </c>
      <c r="D106" s="3" t="s">
        <v>98</v>
      </c>
      <c r="E106" s="3">
        <v>314</v>
      </c>
      <c r="F106" s="3" t="s">
        <v>705</v>
      </c>
      <c r="G106" s="3">
        <v>41988.923958333333</v>
      </c>
      <c r="H106" s="3">
        <v>42046.981724537036</v>
      </c>
      <c r="I106" s="3">
        <v>41988.923958333333</v>
      </c>
      <c r="J106" s="3" t="s">
        <v>103</v>
      </c>
      <c r="K106" s="3" t="s">
        <v>105</v>
      </c>
      <c r="L106" s="3" t="s">
        <v>706</v>
      </c>
      <c r="M106" s="3" t="s">
        <v>374</v>
      </c>
      <c r="N106" s="3" t="s">
        <v>707</v>
      </c>
      <c r="P106" s="3" t="s">
        <v>215</v>
      </c>
      <c r="Q106" t="str">
        <f t="shared" si="5"/>
        <v>http://roarmap.eprints.org/view/country/124.html</v>
      </c>
      <c r="R106" s="3">
        <v>124</v>
      </c>
      <c r="S106" s="6" t="s">
        <v>114</v>
      </c>
      <c r="T106" s="9">
        <v>124</v>
      </c>
      <c r="U106" s="7" t="s">
        <v>2518</v>
      </c>
      <c r="V106" s="6" t="s">
        <v>66</v>
      </c>
      <c r="W106" s="3" t="s">
        <v>158</v>
      </c>
      <c r="X106" s="3" t="s">
        <v>160</v>
      </c>
      <c r="Y106" s="3" t="s">
        <v>706</v>
      </c>
      <c r="Z106" s="8" t="str">
        <f>HYPERLINK("http://www.uoguelph.ca/ses/","http://www.uoguelph.ca/ses/")</f>
        <v>http://www.uoguelph.ca/ses/</v>
      </c>
      <c r="AA106" s="8" t="str">
        <f>HYPERLINK("https://atrium.lib.uoguelph.ca/xmlui/handle/10214/1995","https://atrium.lib.uoguelph.ca/xmlui/handle/10214/1995")</f>
        <v>https://atrium.lib.uoguelph.ca/xmlui/handle/10214/1995</v>
      </c>
      <c r="AB106" s="8" t="str">
        <f t="shared" si="9"/>
        <v>http://atrium.lib.uoguelph.ca/</v>
      </c>
      <c r="AD106" s="3">
        <v>39944</v>
      </c>
      <c r="AF106" s="3" t="s">
        <v>244</v>
      </c>
      <c r="AG106" s="3" t="s">
        <v>333</v>
      </c>
      <c r="AH106" s="3" t="s">
        <v>180</v>
      </c>
      <c r="AI106" s="3" t="s">
        <v>181</v>
      </c>
      <c r="AJ106" s="3" t="s">
        <v>182</v>
      </c>
      <c r="AK106" s="3" t="s">
        <v>244</v>
      </c>
      <c r="AL106" s="3" t="s">
        <v>288</v>
      </c>
      <c r="AM106" s="3" t="s">
        <v>247</v>
      </c>
      <c r="AN106" s="3" t="s">
        <v>244</v>
      </c>
      <c r="AO106" s="3" t="s">
        <v>181</v>
      </c>
      <c r="AP106" s="3" t="s">
        <v>244</v>
      </c>
      <c r="AQ106" s="3" t="s">
        <v>394</v>
      </c>
      <c r="AR106" s="3" t="s">
        <v>288</v>
      </c>
      <c r="AS106" s="3" t="s">
        <v>288</v>
      </c>
      <c r="AT106" s="3" t="s">
        <v>244</v>
      </c>
      <c r="AU106" s="3" t="s">
        <v>244</v>
      </c>
      <c r="AV106" s="3" t="s">
        <v>288</v>
      </c>
      <c r="AW106" s="3" t="s">
        <v>339</v>
      </c>
      <c r="AX106" s="3" t="s">
        <v>244</v>
      </c>
      <c r="AY106" s="3" t="s">
        <v>247</v>
      </c>
    </row>
    <row r="107" spans="1:52" ht="15.75" customHeight="1">
      <c r="A107" s="3">
        <v>436</v>
      </c>
      <c r="B107" s="5" t="str">
        <f t="shared" si="0"/>
        <v>http://roarmap.eprints.org/436/</v>
      </c>
      <c r="C107" s="3">
        <v>5</v>
      </c>
      <c r="D107" s="3" t="s">
        <v>98</v>
      </c>
      <c r="E107" s="3">
        <v>315</v>
      </c>
      <c r="F107" s="3" t="s">
        <v>708</v>
      </c>
      <c r="G107" s="3">
        <v>41988.923958333333</v>
      </c>
      <c r="H107" s="3">
        <v>42046.981724537036</v>
      </c>
      <c r="I107" s="3">
        <v>41988.923958333333</v>
      </c>
      <c r="J107" s="3" t="s">
        <v>103</v>
      </c>
      <c r="K107" s="3" t="s">
        <v>105</v>
      </c>
      <c r="L107" s="3" t="s">
        <v>709</v>
      </c>
      <c r="M107" s="3" t="s">
        <v>352</v>
      </c>
      <c r="N107" s="3" t="s">
        <v>710</v>
      </c>
      <c r="O107" s="3" t="s">
        <v>711</v>
      </c>
      <c r="P107" s="3" t="s">
        <v>215</v>
      </c>
      <c r="Q107" t="str">
        <f t="shared" si="5"/>
        <v>http://roarmap.eprints.org/view/country/124.html</v>
      </c>
      <c r="R107" s="3">
        <v>124</v>
      </c>
      <c r="S107" s="6" t="s">
        <v>114</v>
      </c>
      <c r="T107" s="9">
        <v>124</v>
      </c>
      <c r="U107" s="7" t="s">
        <v>2518</v>
      </c>
      <c r="V107" s="6" t="s">
        <v>66</v>
      </c>
      <c r="W107" s="3" t="s">
        <v>158</v>
      </c>
      <c r="X107" s="3" t="s">
        <v>160</v>
      </c>
      <c r="Y107" s="3" t="s">
        <v>709</v>
      </c>
      <c r="Z107" s="8" t="str">
        <f>HYPERLINK("http://www.uottawa.ca/en","http://www.uottawa.ca/en")</f>
        <v>http://www.uottawa.ca/en</v>
      </c>
      <c r="AA107" s="8" t="str">
        <f>HYPERLINK("http://www.ruor.uottawa.ca/en/static/help-thesis-submission.htm","http://www.ruor.uottawa.ca/en/static/help-thesis-submission.htm")</f>
        <v>http://www.ruor.uottawa.ca/en/static/help-thesis-submission.htm</v>
      </c>
      <c r="AB107" s="8" t="str">
        <f>HYPERLINK("http://www.ruor.uottawa.ca/en/","http://www.ruor.uottawa.ca/en/")</f>
        <v>http://www.ruor.uottawa.ca/en/</v>
      </c>
      <c r="AD107" s="3">
        <v>2011</v>
      </c>
      <c r="AG107" s="3" t="s">
        <v>178</v>
      </c>
      <c r="AH107" s="3" t="s">
        <v>180</v>
      </c>
      <c r="AI107" s="3" t="s">
        <v>392</v>
      </c>
      <c r="AJ107" s="3" t="s">
        <v>385</v>
      </c>
      <c r="AK107" s="3" t="s">
        <v>244</v>
      </c>
      <c r="AL107" s="3" t="s">
        <v>185</v>
      </c>
      <c r="AM107" s="3" t="s">
        <v>178</v>
      </c>
      <c r="AN107" s="3" t="s">
        <v>185</v>
      </c>
      <c r="AO107" s="3" t="s">
        <v>621</v>
      </c>
      <c r="AP107" s="3" t="s">
        <v>244</v>
      </c>
      <c r="AQ107" s="3" t="s">
        <v>247</v>
      </c>
      <c r="AR107" s="3" t="s">
        <v>288</v>
      </c>
      <c r="AS107" s="3" t="s">
        <v>189</v>
      </c>
      <c r="AT107" s="3" t="s">
        <v>193</v>
      </c>
      <c r="AU107" s="3" t="s">
        <v>193</v>
      </c>
      <c r="AV107" s="3" t="s">
        <v>244</v>
      </c>
      <c r="AW107" s="3" t="s">
        <v>244</v>
      </c>
      <c r="AX107" s="3" t="s">
        <v>442</v>
      </c>
      <c r="AY107" s="3" t="s">
        <v>428</v>
      </c>
      <c r="AZ107" s="8" t="str">
        <f>HYPERLINK("http://scholarlycommunication.uottawa.ca/uottawa-initiatives/author-fund","http://scholarlycommunication.uottawa.ca/uottawa-initiatives/author-fund")</f>
        <v>http://scholarlycommunication.uottawa.ca/uottawa-initiatives/author-fund</v>
      </c>
    </row>
    <row r="108" spans="1:52" ht="15.75" customHeight="1">
      <c r="A108" s="3">
        <v>437</v>
      </c>
      <c r="B108" s="5" t="str">
        <f t="shared" si="0"/>
        <v>http://roarmap.eprints.org/437/</v>
      </c>
      <c r="C108" s="3">
        <v>3</v>
      </c>
      <c r="D108" s="3" t="s">
        <v>98</v>
      </c>
      <c r="E108" s="3">
        <v>1</v>
      </c>
      <c r="F108" s="3" t="s">
        <v>712</v>
      </c>
      <c r="G108" s="3">
        <v>41988.923958333333</v>
      </c>
      <c r="H108" s="3">
        <v>41988.923958333333</v>
      </c>
      <c r="I108" s="3">
        <v>41988.923958333333</v>
      </c>
      <c r="J108" s="3" t="s">
        <v>103</v>
      </c>
      <c r="K108" s="3" t="s">
        <v>105</v>
      </c>
      <c r="L108" s="3" t="s">
        <v>713</v>
      </c>
      <c r="M108" s="3" t="s">
        <v>352</v>
      </c>
      <c r="N108" s="3" t="s">
        <v>714</v>
      </c>
      <c r="O108" s="3" t="s">
        <v>715</v>
      </c>
      <c r="P108" s="3" t="s">
        <v>215</v>
      </c>
      <c r="Q108" t="str">
        <f t="shared" si="5"/>
        <v>http://roarmap.eprints.org/view/country/124.html</v>
      </c>
      <c r="R108" s="3">
        <v>124</v>
      </c>
      <c r="S108" s="6" t="s">
        <v>114</v>
      </c>
      <c r="T108" s="9">
        <v>124</v>
      </c>
      <c r="U108" s="7" t="s">
        <v>2518</v>
      </c>
      <c r="V108" s="6" t="s">
        <v>66</v>
      </c>
      <c r="W108" s="3" t="s">
        <v>158</v>
      </c>
      <c r="X108" s="3" t="s">
        <v>160</v>
      </c>
      <c r="Y108" s="3" t="s">
        <v>713</v>
      </c>
      <c r="Z108" s="8" t="str">
        <f>HYPERLINK("http://www.utoronto.com/","http://www.utoronto.com/")</f>
        <v>http://www.utoronto.com/</v>
      </c>
      <c r="AA108" s="8" t="str">
        <f>HYPERLINK("http://www.oise.utoronto.ca/research/UserFiles/File/OA_Policy.pdf","http://www.oise.utoronto.ca/research/UserFiles/File/OA_Policy.pdf")</f>
        <v>http://www.oise.utoronto.ca/research/UserFiles/File/OA_Policy.pdf</v>
      </c>
      <c r="AB108" s="8" t="str">
        <f>HYPERLINK("https://tspace.library.utoronto.ca/","https://tspace.library.utoronto.ca/")</f>
        <v>https://tspace.library.utoronto.ca/</v>
      </c>
      <c r="AF108" s="3" t="s">
        <v>244</v>
      </c>
      <c r="AG108" s="3" t="s">
        <v>333</v>
      </c>
      <c r="AH108" s="3" t="s">
        <v>180</v>
      </c>
      <c r="AI108" s="3" t="s">
        <v>244</v>
      </c>
      <c r="AJ108" s="3" t="s">
        <v>182</v>
      </c>
      <c r="AK108" s="3" t="s">
        <v>393</v>
      </c>
      <c r="AL108" s="3" t="s">
        <v>288</v>
      </c>
      <c r="AM108" s="3" t="s">
        <v>479</v>
      </c>
      <c r="AN108" s="3" t="s">
        <v>244</v>
      </c>
      <c r="AO108" s="3" t="s">
        <v>247</v>
      </c>
      <c r="AP108" s="3" t="s">
        <v>244</v>
      </c>
      <c r="AQ108" s="3" t="s">
        <v>394</v>
      </c>
      <c r="AR108" s="3" t="s">
        <v>288</v>
      </c>
      <c r="AS108" s="3" t="s">
        <v>288</v>
      </c>
      <c r="AT108" s="3" t="s">
        <v>244</v>
      </c>
      <c r="AU108" s="3" t="s">
        <v>244</v>
      </c>
      <c r="AV108" s="3" t="s">
        <v>288</v>
      </c>
      <c r="AW108" s="3" t="s">
        <v>339</v>
      </c>
      <c r="AX108" s="3" t="s">
        <v>442</v>
      </c>
      <c r="AY108" s="3" t="s">
        <v>428</v>
      </c>
      <c r="AZ108" s="8" t="str">
        <f>HYPERLINK("http://onesearch.library.utoronto.ca/university-toronto-libraries-open-access-author-fund","http://onesearch.library.utoronto.ca/university-toronto-libraries-open-access-author-fund")</f>
        <v>http://onesearch.library.utoronto.ca/university-toronto-libraries-open-access-author-fund</v>
      </c>
    </row>
    <row r="109" spans="1:52" ht="15.75" customHeight="1">
      <c r="A109" s="3">
        <v>438</v>
      </c>
      <c r="B109" s="5" t="str">
        <f t="shared" si="0"/>
        <v>http://roarmap.eprints.org/438/</v>
      </c>
      <c r="C109" s="3">
        <v>3</v>
      </c>
      <c r="D109" s="3" t="s">
        <v>98</v>
      </c>
      <c r="E109" s="3">
        <v>1</v>
      </c>
      <c r="F109" s="3" t="s">
        <v>716</v>
      </c>
      <c r="G109" s="3">
        <v>41988.923958333333</v>
      </c>
      <c r="H109" s="3">
        <v>41988.923958333333</v>
      </c>
      <c r="I109" s="3">
        <v>41988.923958333333</v>
      </c>
      <c r="J109" s="3" t="s">
        <v>103</v>
      </c>
      <c r="K109" s="3" t="s">
        <v>105</v>
      </c>
      <c r="L109" s="3" t="s">
        <v>717</v>
      </c>
      <c r="M109" s="3" t="s">
        <v>352</v>
      </c>
      <c r="N109" s="3" t="s">
        <v>718</v>
      </c>
      <c r="P109" s="3" t="s">
        <v>215</v>
      </c>
      <c r="Q109" t="str">
        <f t="shared" si="5"/>
        <v>http://roarmap.eprints.org/view/country/124.html</v>
      </c>
      <c r="R109" s="3">
        <v>124</v>
      </c>
      <c r="S109" s="6" t="s">
        <v>114</v>
      </c>
      <c r="T109" s="9">
        <v>124</v>
      </c>
      <c r="U109" s="7" t="s">
        <v>2518</v>
      </c>
      <c r="V109" s="6" t="s">
        <v>66</v>
      </c>
      <c r="W109" s="3" t="s">
        <v>158</v>
      </c>
      <c r="X109" s="3" t="s">
        <v>160</v>
      </c>
      <c r="Y109" s="3" t="s">
        <v>717</v>
      </c>
      <c r="Z109" s="8" t="str">
        <f>HYPERLINK("http://www.library.yorku.ca","http://www.library.yorku.ca")</f>
        <v>http://www.library.yorku.ca</v>
      </c>
      <c r="AA109" s="8" t="str">
        <f>HYPERLINK("http://www.library.yorku.ca/cms/open-access/","http://www.library.yorku.ca/cms/open-access/")</f>
        <v>http://www.library.yorku.ca/cms/open-access/</v>
      </c>
      <c r="AB109" s="8" t="str">
        <f>HYPERLINK("http://yorkspace.library.yorku.ca/","http://yorkspace.library.yorku.ca/")</f>
        <v>http://yorkspace.library.yorku.ca/</v>
      </c>
      <c r="AD109" s="3">
        <v>40087</v>
      </c>
      <c r="AF109" s="3" t="s">
        <v>478</v>
      </c>
      <c r="AG109" s="3" t="s">
        <v>178</v>
      </c>
      <c r="AH109" s="3" t="s">
        <v>180</v>
      </c>
      <c r="AI109" s="3" t="s">
        <v>181</v>
      </c>
      <c r="AJ109" s="3" t="s">
        <v>182</v>
      </c>
      <c r="AK109" s="3" t="s">
        <v>244</v>
      </c>
      <c r="AL109" s="3" t="s">
        <v>244</v>
      </c>
      <c r="AM109" s="3" t="s">
        <v>247</v>
      </c>
      <c r="AN109" s="3" t="s">
        <v>244</v>
      </c>
      <c r="AO109" s="3" t="s">
        <v>181</v>
      </c>
      <c r="AP109" s="3" t="s">
        <v>244</v>
      </c>
      <c r="AQ109" s="3" t="s">
        <v>648</v>
      </c>
      <c r="AR109" s="3" t="s">
        <v>244</v>
      </c>
      <c r="AS109" s="3" t="s">
        <v>288</v>
      </c>
      <c r="AT109" s="3" t="s">
        <v>244</v>
      </c>
      <c r="AU109" s="3" t="s">
        <v>244</v>
      </c>
      <c r="AV109" s="3" t="s">
        <v>288</v>
      </c>
      <c r="AW109" s="3" t="s">
        <v>339</v>
      </c>
      <c r="AX109" s="3" t="s">
        <v>442</v>
      </c>
      <c r="AY109" s="3" t="s">
        <v>428</v>
      </c>
      <c r="AZ109" s="8" t="str">
        <f>HYPERLINK("http://researchguides.library.yorku.ca/content.php?pid=258206","http://researchguides.library.yorku.ca/content.php?pid=258206")</f>
        <v>http://researchguides.library.yorku.ca/content.php?pid=258206</v>
      </c>
    </row>
    <row r="110" spans="1:52" ht="15.75" customHeight="1">
      <c r="A110" s="3">
        <v>439</v>
      </c>
      <c r="B110" s="5" t="str">
        <f t="shared" si="0"/>
        <v>http://roarmap.eprints.org/439/</v>
      </c>
      <c r="C110" s="3">
        <v>4</v>
      </c>
      <c r="D110" s="3" t="s">
        <v>98</v>
      </c>
      <c r="E110" s="3">
        <v>316</v>
      </c>
      <c r="F110" s="3" t="s">
        <v>719</v>
      </c>
      <c r="G110" s="3">
        <v>41988.923958333333</v>
      </c>
      <c r="H110" s="3">
        <v>42046.981724537036</v>
      </c>
      <c r="I110" s="3">
        <v>41988.923958333333</v>
      </c>
      <c r="J110" s="3" t="s">
        <v>103</v>
      </c>
      <c r="K110" s="3" t="s">
        <v>105</v>
      </c>
      <c r="L110" s="3" t="s">
        <v>720</v>
      </c>
      <c r="M110" s="3" t="s">
        <v>352</v>
      </c>
      <c r="N110" s="3" t="s">
        <v>721</v>
      </c>
      <c r="O110" s="3" t="s">
        <v>722</v>
      </c>
      <c r="P110" s="3" t="s">
        <v>215</v>
      </c>
      <c r="Q110" t="str">
        <f t="shared" si="5"/>
        <v>http://roarmap.eprints.org/view/country/124.html</v>
      </c>
      <c r="R110" s="3">
        <v>124</v>
      </c>
      <c r="S110" s="6" t="s">
        <v>114</v>
      </c>
      <c r="T110" s="9">
        <v>124</v>
      </c>
      <c r="U110" s="7" t="s">
        <v>2518</v>
      </c>
      <c r="V110" s="6" t="s">
        <v>66</v>
      </c>
      <c r="W110" s="3" t="s">
        <v>158</v>
      </c>
      <c r="X110" s="3" t="s">
        <v>160</v>
      </c>
      <c r="Y110" s="3" t="s">
        <v>720</v>
      </c>
      <c r="Z110" s="8" t="str">
        <f>HYPERLINK("http://www.etsmtl.ca/","http://www.etsmtl.ca/")</f>
        <v>http://www.etsmtl.ca/</v>
      </c>
      <c r="AB110" s="8" t="str">
        <f>HYPERLINK("http://espace.etsmtl.ca/","http://espace.etsmtl.ca/")</f>
        <v>http://espace.etsmtl.ca/</v>
      </c>
      <c r="AC110" s="3">
        <v>40148</v>
      </c>
      <c r="AD110" s="3">
        <v>40422</v>
      </c>
      <c r="AF110" s="3" t="s">
        <v>478</v>
      </c>
      <c r="AG110" s="3" t="s">
        <v>178</v>
      </c>
      <c r="AH110" s="3" t="s">
        <v>180</v>
      </c>
      <c r="AI110" s="3" t="s">
        <v>371</v>
      </c>
      <c r="AJ110" s="3" t="s">
        <v>385</v>
      </c>
      <c r="AK110" s="3" t="s">
        <v>244</v>
      </c>
      <c r="AL110" s="3" t="s">
        <v>185</v>
      </c>
      <c r="AM110" s="3" t="s">
        <v>371</v>
      </c>
      <c r="AN110" s="3" t="s">
        <v>244</v>
      </c>
      <c r="AO110" s="3" t="s">
        <v>247</v>
      </c>
      <c r="AP110" s="3" t="s">
        <v>244</v>
      </c>
      <c r="AQ110" s="3" t="s">
        <v>247</v>
      </c>
      <c r="AR110" s="3" t="s">
        <v>288</v>
      </c>
      <c r="AS110" s="3" t="s">
        <v>244</v>
      </c>
      <c r="AT110" s="3" t="s">
        <v>244</v>
      </c>
      <c r="AU110" s="3" t="s">
        <v>244</v>
      </c>
      <c r="AV110" s="3" t="s">
        <v>288</v>
      </c>
      <c r="AW110" s="3" t="s">
        <v>244</v>
      </c>
      <c r="AX110" s="3" t="s">
        <v>244</v>
      </c>
      <c r="AY110" s="3" t="s">
        <v>247</v>
      </c>
    </row>
    <row r="111" spans="1:52" ht="15.75" customHeight="1">
      <c r="A111" s="3">
        <v>13</v>
      </c>
      <c r="B111" s="5" t="str">
        <f t="shared" si="0"/>
        <v>http://roarmap.eprints.org/13/</v>
      </c>
      <c r="C111" s="3">
        <v>3</v>
      </c>
      <c r="D111" s="3" t="s">
        <v>98</v>
      </c>
      <c r="E111" s="3">
        <v>1</v>
      </c>
      <c r="F111" s="3" t="s">
        <v>723</v>
      </c>
      <c r="G111" s="3">
        <v>41988.923078703701</v>
      </c>
      <c r="H111" s="3">
        <v>41988.923078703701</v>
      </c>
      <c r="I111" s="3">
        <v>41988.923078703701</v>
      </c>
      <c r="J111" s="3" t="s">
        <v>103</v>
      </c>
      <c r="K111" s="3" t="s">
        <v>105</v>
      </c>
      <c r="L111" s="3" t="s">
        <v>724</v>
      </c>
      <c r="M111" s="3" t="s">
        <v>374</v>
      </c>
      <c r="N111" s="3" t="s">
        <v>725</v>
      </c>
      <c r="O111" s="3" t="s">
        <v>726</v>
      </c>
      <c r="P111" s="3" t="s">
        <v>501</v>
      </c>
      <c r="Q111" t="str">
        <f t="shared" si="5"/>
        <v>http://roarmap.eprints.org/view/country/156.html</v>
      </c>
      <c r="R111" s="3">
        <v>156</v>
      </c>
      <c r="S111" s="6" t="s">
        <v>126</v>
      </c>
      <c r="T111" s="9">
        <v>156</v>
      </c>
      <c r="U111" s="7" t="s">
        <v>118</v>
      </c>
      <c r="V111" s="6" t="s">
        <v>70</v>
      </c>
      <c r="W111" s="3" t="s">
        <v>158</v>
      </c>
      <c r="X111" s="3" t="s">
        <v>160</v>
      </c>
      <c r="Y111" s="3" t="s">
        <v>724</v>
      </c>
      <c r="Z111" s="8" t="str">
        <f>HYPERLINK("http://english.cas.cn","http://english.cas.cn")</f>
        <v>http://english.cas.cn</v>
      </c>
      <c r="AA111" s="8" t="str">
        <f>HYPERLINK("http://english.cas.cn/Ne/CASE/201405/t20140516_121037.shtml","http://english.cas.cn/Ne/CASE/201405/t20140516_121037.shtml")</f>
        <v>http://english.cas.cn/Ne/CASE/201405/t20140516_121037.shtml</v>
      </c>
      <c r="AC111" s="3">
        <v>41774</v>
      </c>
      <c r="AF111" s="3" t="s">
        <v>244</v>
      </c>
      <c r="AG111" s="3" t="s">
        <v>178</v>
      </c>
      <c r="AH111" s="3" t="s">
        <v>180</v>
      </c>
      <c r="AI111" s="3" t="s">
        <v>392</v>
      </c>
      <c r="AJ111" s="3" t="s">
        <v>182</v>
      </c>
      <c r="AK111" s="3" t="s">
        <v>183</v>
      </c>
      <c r="AL111" s="3" t="s">
        <v>244</v>
      </c>
      <c r="AM111" s="3" t="s">
        <v>178</v>
      </c>
      <c r="AN111" s="3" t="s">
        <v>244</v>
      </c>
      <c r="AO111" s="3" t="s">
        <v>371</v>
      </c>
      <c r="AP111" s="3" t="s">
        <v>244</v>
      </c>
      <c r="AQ111" s="3" t="s">
        <v>247</v>
      </c>
      <c r="AR111" s="3" t="s">
        <v>288</v>
      </c>
      <c r="AS111" s="3" t="s">
        <v>288</v>
      </c>
      <c r="AT111" s="3" t="s">
        <v>244</v>
      </c>
      <c r="AU111" s="3" t="s">
        <v>244</v>
      </c>
      <c r="AV111" s="3" t="s">
        <v>288</v>
      </c>
      <c r="AW111" s="3" t="s">
        <v>339</v>
      </c>
      <c r="AX111" s="3" t="s">
        <v>442</v>
      </c>
      <c r="AY111" s="3" t="s">
        <v>371</v>
      </c>
    </row>
    <row r="112" spans="1:52" ht="15.75" customHeight="1">
      <c r="A112" s="3">
        <v>14</v>
      </c>
      <c r="B112" s="5" t="str">
        <f t="shared" si="0"/>
        <v>http://roarmap.eprints.org/14/</v>
      </c>
      <c r="C112" s="3">
        <v>3</v>
      </c>
      <c r="D112" s="3" t="s">
        <v>98</v>
      </c>
      <c r="E112" s="3">
        <v>1</v>
      </c>
      <c r="F112" s="3" t="s">
        <v>727</v>
      </c>
      <c r="G112" s="3">
        <v>41988.923078703701</v>
      </c>
      <c r="H112" s="3">
        <v>41988.923078703701</v>
      </c>
      <c r="I112" s="3">
        <v>41988.923078703701</v>
      </c>
      <c r="J112" s="3" t="s">
        <v>103</v>
      </c>
      <c r="K112" s="3" t="s">
        <v>105</v>
      </c>
      <c r="L112" s="3" t="s">
        <v>728</v>
      </c>
      <c r="M112" s="3" t="s">
        <v>307</v>
      </c>
      <c r="N112" s="3" t="s">
        <v>729</v>
      </c>
      <c r="P112" s="3" t="s">
        <v>215</v>
      </c>
      <c r="Q112" t="str">
        <f t="shared" si="5"/>
        <v>http://roarmap.eprints.org/view/country/156.html</v>
      </c>
      <c r="R112" s="3">
        <v>156</v>
      </c>
      <c r="S112" s="6" t="s">
        <v>126</v>
      </c>
      <c r="T112" s="9">
        <v>156</v>
      </c>
      <c r="U112" s="7" t="s">
        <v>118</v>
      </c>
      <c r="V112" s="6" t="s">
        <v>70</v>
      </c>
      <c r="W112" s="3" t="s">
        <v>158</v>
      </c>
      <c r="X112" s="3" t="s">
        <v>364</v>
      </c>
      <c r="Y112" s="3" t="s">
        <v>728</v>
      </c>
      <c r="Z112" s="8" t="str">
        <f>HYPERLINK("http://www.most.gov.cn/eng/","http://www.most.gov.cn/eng/")</f>
        <v>http://www.most.gov.cn/eng/</v>
      </c>
      <c r="AA112" s="8" t="str">
        <f>HYPERLINK("http://www.codata.org/06conf/presentations/Keynotes/GuanhuaXU-OpenAccesstotheScientificData.pdf","http://www.codata.org/06conf/presentations/Keynotes/GuanhuaXU-OpenAccesstotheScientificData.pdf")</f>
        <v>http://www.codata.org/06conf/presentations/Keynotes/GuanhuaXU-OpenAccesstotheScientificData.pdf</v>
      </c>
      <c r="AD112" s="3" t="s">
        <v>730</v>
      </c>
      <c r="AF112" s="3" t="s">
        <v>371</v>
      </c>
      <c r="AG112" s="3" t="s">
        <v>244</v>
      </c>
      <c r="AH112" s="3" t="s">
        <v>180</v>
      </c>
      <c r="AI112" s="3" t="s">
        <v>244</v>
      </c>
      <c r="AJ112" s="3" t="s">
        <v>731</v>
      </c>
      <c r="AK112" s="3" t="s">
        <v>244</v>
      </c>
      <c r="AL112" s="3" t="s">
        <v>244</v>
      </c>
      <c r="AM112" s="3" t="s">
        <v>247</v>
      </c>
      <c r="AN112" s="3" t="s">
        <v>244</v>
      </c>
      <c r="AO112" s="3" t="s">
        <v>247</v>
      </c>
      <c r="AP112" s="3" t="s">
        <v>244</v>
      </c>
      <c r="AQ112" s="3" t="s">
        <v>386</v>
      </c>
      <c r="AR112" s="3" t="s">
        <v>288</v>
      </c>
      <c r="AS112" s="3" t="s">
        <v>288</v>
      </c>
      <c r="AT112" s="3" t="s">
        <v>244</v>
      </c>
      <c r="AU112" s="3" t="s">
        <v>244</v>
      </c>
      <c r="AV112" s="3" t="s">
        <v>288</v>
      </c>
      <c r="AW112" s="3" t="s">
        <v>371</v>
      </c>
      <c r="AX112" s="3" t="s">
        <v>341</v>
      </c>
      <c r="AY112" s="3" t="s">
        <v>198</v>
      </c>
    </row>
    <row r="113" spans="1:51" ht="15.75" customHeight="1">
      <c r="A113" s="3">
        <v>15</v>
      </c>
      <c r="B113" s="5" t="str">
        <f t="shared" si="0"/>
        <v>http://roarmap.eprints.org/15/</v>
      </c>
      <c r="C113" s="3">
        <v>3</v>
      </c>
      <c r="D113" s="3" t="s">
        <v>98</v>
      </c>
      <c r="E113" s="3">
        <v>1</v>
      </c>
      <c r="F113" s="3" t="s">
        <v>732</v>
      </c>
      <c r="G113" s="3">
        <v>41988.923078703701</v>
      </c>
      <c r="H113" s="3">
        <v>41988.923078703701</v>
      </c>
      <c r="I113" s="3">
        <v>41988.923078703701</v>
      </c>
      <c r="J113" s="3" t="s">
        <v>103</v>
      </c>
      <c r="K113" s="3" t="s">
        <v>105</v>
      </c>
      <c r="L113" s="3" t="s">
        <v>733</v>
      </c>
      <c r="M113" s="3" t="s">
        <v>637</v>
      </c>
      <c r="N113" s="3" t="s">
        <v>734</v>
      </c>
      <c r="O113" s="3" t="s">
        <v>735</v>
      </c>
      <c r="P113" s="3" t="s">
        <v>501</v>
      </c>
      <c r="Q113" t="str">
        <f t="shared" si="5"/>
        <v>http://roarmap.eprints.org/view/country/156.html</v>
      </c>
      <c r="R113" s="3">
        <v>156</v>
      </c>
      <c r="S113" s="6" t="s">
        <v>126</v>
      </c>
      <c r="T113" s="9">
        <v>156</v>
      </c>
      <c r="U113" s="7" t="s">
        <v>118</v>
      </c>
      <c r="V113" s="6" t="s">
        <v>70</v>
      </c>
      <c r="W113" s="3" t="s">
        <v>158</v>
      </c>
      <c r="X113" s="3" t="s">
        <v>376</v>
      </c>
      <c r="Y113" s="3" t="s">
        <v>733</v>
      </c>
      <c r="Z113" s="8" t="str">
        <f>HYPERLINK("http://www.nsfc.gov.cn/publish/portal1/","http://www.nsfc.gov.cn/publish/portal1/")</f>
        <v>http://www.nsfc.gov.cn/publish/portal1/</v>
      </c>
      <c r="AC113" s="3">
        <v>41774</v>
      </c>
      <c r="AD113" s="3">
        <v>41774</v>
      </c>
      <c r="AF113" s="3" t="s">
        <v>244</v>
      </c>
      <c r="AG113" s="3" t="s">
        <v>178</v>
      </c>
      <c r="AH113" s="3" t="s">
        <v>180</v>
      </c>
      <c r="AI113" s="3" t="s">
        <v>371</v>
      </c>
      <c r="AJ113" s="3" t="s">
        <v>182</v>
      </c>
      <c r="AK113" s="3" t="s">
        <v>393</v>
      </c>
      <c r="AL113" s="3" t="s">
        <v>244</v>
      </c>
      <c r="AM113" s="3" t="s">
        <v>178</v>
      </c>
      <c r="AN113" s="3" t="s">
        <v>244</v>
      </c>
      <c r="AO113" s="3" t="s">
        <v>371</v>
      </c>
      <c r="AP113" s="3" t="s">
        <v>244</v>
      </c>
      <c r="AQ113" s="3" t="s">
        <v>247</v>
      </c>
      <c r="AR113" s="3" t="s">
        <v>288</v>
      </c>
      <c r="AS113" s="3" t="s">
        <v>288</v>
      </c>
      <c r="AT113" s="3" t="s">
        <v>244</v>
      </c>
      <c r="AU113" s="3" t="s">
        <v>244</v>
      </c>
      <c r="AV113" s="3" t="s">
        <v>288</v>
      </c>
      <c r="AW113" s="3" t="s">
        <v>339</v>
      </c>
      <c r="AX113" s="3" t="s">
        <v>244</v>
      </c>
      <c r="AY113" s="3" t="s">
        <v>247</v>
      </c>
    </row>
    <row r="114" spans="1:51" ht="15.75" customHeight="1">
      <c r="A114" s="3">
        <v>16</v>
      </c>
      <c r="B114" s="5" t="str">
        <f t="shared" si="0"/>
        <v>http://roarmap.eprints.org/16/</v>
      </c>
      <c r="C114" s="3">
        <v>3</v>
      </c>
      <c r="D114" s="3" t="s">
        <v>98</v>
      </c>
      <c r="E114" s="3">
        <v>1</v>
      </c>
      <c r="F114" s="3" t="s">
        <v>736</v>
      </c>
      <c r="G114" s="3">
        <v>41988.923090277778</v>
      </c>
      <c r="H114" s="3">
        <v>41988.923090277778</v>
      </c>
      <c r="I114" s="3">
        <v>41988.923090277778</v>
      </c>
      <c r="J114" s="3" t="s">
        <v>103</v>
      </c>
      <c r="K114" s="3" t="s">
        <v>105</v>
      </c>
      <c r="L114" s="3" t="s">
        <v>737</v>
      </c>
      <c r="M114" s="3" t="s">
        <v>469</v>
      </c>
      <c r="N114" s="3" t="s">
        <v>738</v>
      </c>
      <c r="O114" s="3" t="s">
        <v>739</v>
      </c>
      <c r="P114" s="3" t="s">
        <v>215</v>
      </c>
      <c r="Q114" t="str">
        <f t="shared" si="5"/>
        <v>http://roarmap.eprints.org/view/country/156.html</v>
      </c>
      <c r="R114" s="3">
        <v>156</v>
      </c>
      <c r="S114" s="6" t="s">
        <v>126</v>
      </c>
      <c r="T114" s="9">
        <v>156</v>
      </c>
      <c r="U114" s="7" t="s">
        <v>118</v>
      </c>
      <c r="V114" s="6" t="s">
        <v>70</v>
      </c>
      <c r="W114" s="3" t="s">
        <v>158</v>
      </c>
      <c r="X114" s="3" t="s">
        <v>384</v>
      </c>
      <c r="Y114" s="3" t="s">
        <v>737</v>
      </c>
      <c r="Z114" s="8" t="str">
        <f>HYPERLINK("http://english.las.cas.cn/","http://english.las.cas.cn/")</f>
        <v>http://english.las.cas.cn/</v>
      </c>
      <c r="AA114" s="8" t="str">
        <f>HYPERLINK("http://old.nlb.by/eifl/store/file/open_access_en/142-lin-en.pdf","http://old.nlb.by/eifl/store/file/open_access_en/142-lin-en.pdf")</f>
        <v>http://old.nlb.by/eifl/store/file/open_access_en/142-lin-en.pdf</v>
      </c>
      <c r="AB114" s="8" t="str">
        <f>HYPERLINK("http://ir.las.ac.cn/","http://ir.las.ac.cn/")</f>
        <v>http://ir.las.ac.cn/</v>
      </c>
      <c r="AC114" s="3">
        <v>39845</v>
      </c>
      <c r="AD114" s="3" t="s">
        <v>740</v>
      </c>
      <c r="AF114" s="3" t="s">
        <v>177</v>
      </c>
      <c r="AG114" s="3" t="s">
        <v>178</v>
      </c>
      <c r="AH114" s="3" t="s">
        <v>180</v>
      </c>
      <c r="AI114" s="3" t="s">
        <v>392</v>
      </c>
      <c r="AJ114" s="3" t="s">
        <v>182</v>
      </c>
      <c r="AK114" s="3" t="s">
        <v>244</v>
      </c>
      <c r="AL114" s="3" t="s">
        <v>244</v>
      </c>
      <c r="AM114" s="3" t="s">
        <v>178</v>
      </c>
      <c r="AN114" s="3" t="s">
        <v>244</v>
      </c>
      <c r="AO114" s="3" t="s">
        <v>247</v>
      </c>
      <c r="AP114" s="3" t="s">
        <v>189</v>
      </c>
      <c r="AQ114" s="3" t="s">
        <v>386</v>
      </c>
      <c r="AR114" s="3" t="s">
        <v>288</v>
      </c>
      <c r="AS114" s="3" t="s">
        <v>185</v>
      </c>
      <c r="AT114" s="3" t="s">
        <v>244</v>
      </c>
      <c r="AU114" s="3" t="s">
        <v>244</v>
      </c>
      <c r="AV114" s="3" t="s">
        <v>288</v>
      </c>
      <c r="AW114" s="3" t="s">
        <v>371</v>
      </c>
      <c r="AX114" s="3" t="s">
        <v>341</v>
      </c>
      <c r="AY114" s="3" t="s">
        <v>198</v>
      </c>
    </row>
    <row r="115" spans="1:51" ht="15.75" customHeight="1">
      <c r="A115" s="3">
        <v>624</v>
      </c>
      <c r="B115" s="5" t="str">
        <f t="shared" si="0"/>
        <v>http://roarmap.eprints.org/624/</v>
      </c>
      <c r="C115" s="3">
        <v>3</v>
      </c>
      <c r="D115" s="3" t="s">
        <v>98</v>
      </c>
      <c r="E115" s="3">
        <v>1</v>
      </c>
      <c r="F115" s="3" t="s">
        <v>741</v>
      </c>
      <c r="G115" s="3">
        <v>41988.924247685187</v>
      </c>
      <c r="H115" s="3">
        <v>41988.924247685187</v>
      </c>
      <c r="I115" s="3">
        <v>41988.924247685187</v>
      </c>
      <c r="J115" s="3" t="s">
        <v>103</v>
      </c>
      <c r="K115" s="3" t="s">
        <v>105</v>
      </c>
      <c r="L115" s="3" t="s">
        <v>742</v>
      </c>
      <c r="M115" s="3" t="s">
        <v>352</v>
      </c>
      <c r="N115" s="3" t="s">
        <v>743</v>
      </c>
      <c r="O115" s="3" t="s">
        <v>383</v>
      </c>
      <c r="P115" s="3" t="s">
        <v>215</v>
      </c>
      <c r="Q115" t="str">
        <f t="shared" si="5"/>
        <v>http://roarmap.eprints.org/view/country/170.html</v>
      </c>
      <c r="R115" s="3">
        <v>170</v>
      </c>
      <c r="S115" s="6" t="s">
        <v>127</v>
      </c>
      <c r="T115" s="9">
        <v>170</v>
      </c>
      <c r="U115" s="7" t="s">
        <v>2517</v>
      </c>
      <c r="V115" s="6" t="s">
        <v>53</v>
      </c>
      <c r="W115" s="3" t="s">
        <v>158</v>
      </c>
      <c r="X115" s="3" t="s">
        <v>160</v>
      </c>
      <c r="Y115" s="3" t="s">
        <v>742</v>
      </c>
      <c r="Z115" s="8" t="str">
        <f>HYPERLINK("http://www.icesi.edu.co/","http://www.icesi.edu.co/")</f>
        <v>http://www.icesi.edu.co/</v>
      </c>
      <c r="AB115" s="8" t="str">
        <f>HYPERLINK("http://bibliotecadigital.icesi.edu.co/biblioteca_digital/","http://bibliotecadigital.icesi.edu.co/biblioteca_digital/")</f>
        <v>http://bibliotecadigital.icesi.edu.co/biblioteca_digital/</v>
      </c>
      <c r="AF115" s="3" t="s">
        <v>244</v>
      </c>
      <c r="AG115" s="3" t="s">
        <v>244</v>
      </c>
      <c r="AH115" s="3" t="s">
        <v>180</v>
      </c>
      <c r="AI115" s="3" t="s">
        <v>244</v>
      </c>
      <c r="AJ115" s="3" t="s">
        <v>371</v>
      </c>
      <c r="AK115" s="3" t="s">
        <v>244</v>
      </c>
      <c r="AL115" s="3" t="s">
        <v>244</v>
      </c>
      <c r="AM115" s="3" t="s">
        <v>247</v>
      </c>
      <c r="AN115" s="3" t="s">
        <v>244</v>
      </c>
      <c r="AO115" s="3" t="s">
        <v>247</v>
      </c>
      <c r="AP115" s="3" t="s">
        <v>244</v>
      </c>
      <c r="AQ115" s="3" t="s">
        <v>247</v>
      </c>
      <c r="AR115" s="3" t="s">
        <v>288</v>
      </c>
      <c r="AS115" s="3" t="s">
        <v>288</v>
      </c>
      <c r="AT115" s="3" t="s">
        <v>244</v>
      </c>
      <c r="AU115" s="3" t="s">
        <v>244</v>
      </c>
      <c r="AV115" s="3" t="s">
        <v>288</v>
      </c>
      <c r="AW115" s="3" t="s">
        <v>630</v>
      </c>
      <c r="AX115" s="3" t="s">
        <v>244</v>
      </c>
      <c r="AY115" s="3" t="s">
        <v>247</v>
      </c>
    </row>
    <row r="116" spans="1:51" ht="15.75" customHeight="1">
      <c r="A116" s="3">
        <v>625</v>
      </c>
      <c r="B116" s="5" t="str">
        <f t="shared" si="0"/>
        <v>http://roarmap.eprints.org/625/</v>
      </c>
      <c r="C116" s="3">
        <v>4</v>
      </c>
      <c r="D116" s="3" t="s">
        <v>98</v>
      </c>
      <c r="E116" s="3">
        <v>362</v>
      </c>
      <c r="F116" s="3" t="s">
        <v>744</v>
      </c>
      <c r="G116" s="3">
        <v>41988.924247685187</v>
      </c>
      <c r="H116" s="3">
        <v>42046.981759259259</v>
      </c>
      <c r="I116" s="3">
        <v>41988.924247685187</v>
      </c>
      <c r="J116" s="3" t="s">
        <v>103</v>
      </c>
      <c r="K116" s="3" t="s">
        <v>105</v>
      </c>
      <c r="L116" s="3" t="s">
        <v>745</v>
      </c>
      <c r="M116" s="3" t="s">
        <v>352</v>
      </c>
      <c r="N116" s="3" t="s">
        <v>620</v>
      </c>
      <c r="O116" s="3" t="s">
        <v>390</v>
      </c>
      <c r="P116" s="3" t="s">
        <v>215</v>
      </c>
      <c r="Q116" t="str">
        <f t="shared" si="5"/>
        <v>http://roarmap.eprints.org/view/country/170.html</v>
      </c>
      <c r="R116" s="3">
        <v>170</v>
      </c>
      <c r="S116" s="6" t="s">
        <v>127</v>
      </c>
      <c r="T116" s="9">
        <v>170</v>
      </c>
      <c r="U116" s="7" t="s">
        <v>2517</v>
      </c>
      <c r="V116" s="6" t="s">
        <v>53</v>
      </c>
      <c r="W116" s="3" t="s">
        <v>158</v>
      </c>
      <c r="X116" s="3" t="s">
        <v>160</v>
      </c>
      <c r="Y116" s="3" t="s">
        <v>745</v>
      </c>
      <c r="Z116" s="8" t="str">
        <f>HYPERLINK("http://unal.edu.co/","http://unal.edu.co/")</f>
        <v>http://unal.edu.co/</v>
      </c>
      <c r="AA116" s="8" t="str">
        <f>HYPERLINK("http://roarmap.eprints.org/403/1/ResolucionTesis.pdf","http://roarmap.eprints.org/403/1/ResolucionTesis.pdf")</f>
        <v>http://roarmap.eprints.org/403/1/ResolucionTesis.pdf</v>
      </c>
      <c r="AB116" s="8" t="str">
        <f>HYPERLINK("http://www.bdigital.unal.edu.co/","http://www.bdigital.unal.edu.co/")</f>
        <v>http://www.bdigital.unal.edu.co/</v>
      </c>
      <c r="AC116" s="3">
        <v>40563</v>
      </c>
      <c r="AF116" s="3" t="s">
        <v>177</v>
      </c>
      <c r="AG116" s="3" t="s">
        <v>178</v>
      </c>
      <c r="AH116" s="3" t="s">
        <v>180</v>
      </c>
      <c r="AI116" s="3" t="s">
        <v>244</v>
      </c>
      <c r="AJ116" s="3" t="s">
        <v>385</v>
      </c>
      <c r="AK116" s="3" t="s">
        <v>244</v>
      </c>
      <c r="AL116" s="3" t="s">
        <v>189</v>
      </c>
      <c r="AM116" s="3" t="s">
        <v>479</v>
      </c>
      <c r="AN116" s="3" t="s">
        <v>189</v>
      </c>
      <c r="AO116" s="3" t="s">
        <v>621</v>
      </c>
      <c r="AP116" s="3" t="s">
        <v>185</v>
      </c>
      <c r="AQ116" s="3" t="s">
        <v>394</v>
      </c>
      <c r="AR116" s="3" t="s">
        <v>288</v>
      </c>
      <c r="AS116" s="3" t="s">
        <v>189</v>
      </c>
      <c r="AT116" s="3" t="s">
        <v>244</v>
      </c>
      <c r="AU116" s="3" t="s">
        <v>244</v>
      </c>
      <c r="AV116" s="3" t="s">
        <v>288</v>
      </c>
      <c r="AW116" s="3" t="s">
        <v>339</v>
      </c>
      <c r="AX116" s="3" t="s">
        <v>244</v>
      </c>
      <c r="AY116" s="3" t="s">
        <v>247</v>
      </c>
    </row>
    <row r="117" spans="1:51" ht="15.75" customHeight="1">
      <c r="A117" s="3">
        <v>626</v>
      </c>
      <c r="B117" s="5" t="str">
        <f t="shared" si="0"/>
        <v>http://roarmap.eprints.org/626/</v>
      </c>
      <c r="C117" s="3">
        <v>3</v>
      </c>
      <c r="D117" s="3" t="s">
        <v>98</v>
      </c>
      <c r="E117" s="3">
        <v>1</v>
      </c>
      <c r="F117" s="3" t="s">
        <v>746</v>
      </c>
      <c r="G117" s="3">
        <v>41988.924247685187</v>
      </c>
      <c r="H117" s="3">
        <v>41988.924259259256</v>
      </c>
      <c r="I117" s="3">
        <v>41988.924247685187</v>
      </c>
      <c r="J117" s="3" t="s">
        <v>103</v>
      </c>
      <c r="K117" s="3" t="s">
        <v>105</v>
      </c>
      <c r="L117" s="3" t="s">
        <v>747</v>
      </c>
      <c r="M117" s="3" t="s">
        <v>352</v>
      </c>
      <c r="N117" s="3" t="s">
        <v>398</v>
      </c>
      <c r="P117" s="3" t="s">
        <v>215</v>
      </c>
      <c r="Q117" t="str">
        <f t="shared" si="5"/>
        <v>http://roarmap.eprints.org/view/country/170.html</v>
      </c>
      <c r="R117" s="3">
        <v>170</v>
      </c>
      <c r="S117" s="6" t="s">
        <v>127</v>
      </c>
      <c r="T117" s="9">
        <v>170</v>
      </c>
      <c r="U117" s="7" t="s">
        <v>2517</v>
      </c>
      <c r="V117" s="6" t="s">
        <v>53</v>
      </c>
      <c r="W117" s="3" t="s">
        <v>158</v>
      </c>
      <c r="X117" s="3" t="s">
        <v>160</v>
      </c>
      <c r="Y117" s="3" t="s">
        <v>747</v>
      </c>
      <c r="Z117" s="8" t="str">
        <f>HYPERLINK("http://www.urosario.edu.co/","http://www.urosario.edu.co/")</f>
        <v>http://www.urosario.edu.co/</v>
      </c>
      <c r="AB117" s="8" t="str">
        <f>HYPERLINK("http://repository.urosario.edu.co/","http://repository.urosario.edu.co/")</f>
        <v>http://repository.urosario.edu.co/</v>
      </c>
      <c r="AG117" s="3" t="s">
        <v>244</v>
      </c>
      <c r="AH117" s="3" t="s">
        <v>244</v>
      </c>
      <c r="AI117" s="3" t="s">
        <v>244</v>
      </c>
      <c r="AJ117" s="3" t="s">
        <v>244</v>
      </c>
      <c r="AK117" s="3" t="s">
        <v>244</v>
      </c>
      <c r="AL117" s="3" t="s">
        <v>244</v>
      </c>
      <c r="AM117" s="3" t="s">
        <v>247</v>
      </c>
      <c r="AN117" s="3" t="s">
        <v>244</v>
      </c>
      <c r="AO117" s="3" t="s">
        <v>247</v>
      </c>
      <c r="AP117" s="3" t="s">
        <v>244</v>
      </c>
      <c r="AQ117" s="3" t="s">
        <v>247</v>
      </c>
      <c r="AR117" s="3" t="s">
        <v>288</v>
      </c>
      <c r="AS117" s="3" t="s">
        <v>244</v>
      </c>
      <c r="AT117" s="3" t="s">
        <v>244</v>
      </c>
      <c r="AU117" s="3" t="s">
        <v>244</v>
      </c>
      <c r="AV117" s="3" t="s">
        <v>288</v>
      </c>
      <c r="AW117" s="3" t="s">
        <v>244</v>
      </c>
      <c r="AX117" s="3" t="s">
        <v>244</v>
      </c>
      <c r="AY117" s="3" t="s">
        <v>247</v>
      </c>
    </row>
    <row r="118" spans="1:51" ht="15.75" customHeight="1">
      <c r="A118" s="3">
        <v>745</v>
      </c>
      <c r="B118" s="5" t="str">
        <f t="shared" si="0"/>
        <v>http://roarmap.eprints.org/745/</v>
      </c>
      <c r="C118" s="3">
        <v>8</v>
      </c>
      <c r="D118" s="3" t="s">
        <v>98</v>
      </c>
      <c r="E118" s="3">
        <v>646</v>
      </c>
      <c r="F118" s="3" t="s">
        <v>748</v>
      </c>
      <c r="G118" s="3">
        <v>42123.433321759258</v>
      </c>
      <c r="H118" s="3">
        <v>42123.433321759258</v>
      </c>
      <c r="I118" s="3">
        <v>42123.433321759258</v>
      </c>
      <c r="J118" s="3" t="s">
        <v>103</v>
      </c>
      <c r="K118" s="3" t="s">
        <v>105</v>
      </c>
      <c r="L118" s="3" t="s">
        <v>749</v>
      </c>
      <c r="Q118" t="str">
        <f t="shared" si="5"/>
        <v>http://roarmap.eprints.org/view/country/191.html</v>
      </c>
      <c r="R118" s="3">
        <v>191</v>
      </c>
      <c r="S118" s="6" t="s">
        <v>134</v>
      </c>
      <c r="T118" s="9">
        <v>191</v>
      </c>
      <c r="U118" s="7" t="s">
        <v>123</v>
      </c>
      <c r="V118" s="6" t="s">
        <v>76</v>
      </c>
      <c r="W118" s="3" t="s">
        <v>158</v>
      </c>
      <c r="X118" s="3" t="s">
        <v>160</v>
      </c>
      <c r="Y118" s="3" t="s">
        <v>749</v>
      </c>
      <c r="Z118" s="8" t="str">
        <f>HYPERLINK("http://www.irb.hr/","http://www.irb.hr/")</f>
        <v>http://www.irb.hr/</v>
      </c>
      <c r="AA118" s="8" t="str">
        <f>HYPERLINK("http://lib.irb.hr/web/hr/projekti/fulir/item/1897-rudjer_boskovic_institute-self_archiving_mandate.html","http://lib.irb.hr/web/hr/projekti/fulir/item/1897-rudjer_boskovic_institute-self_archiving_mandate.html")</f>
        <v>http://lib.irb.hr/web/hr/projekti/fulir/item/1897-rudjer_boskovic_institute-self_archiving_mandate.html</v>
      </c>
      <c r="AB118" s="8" t="str">
        <f>HYPERLINK("http://fulir.irb.hr/","http://fulir.irb.hr/")</f>
        <v>http://fulir.irb.hr/</v>
      </c>
      <c r="AC118" s="3">
        <v>42108</v>
      </c>
      <c r="AD118" s="3">
        <v>42108</v>
      </c>
      <c r="AF118" s="3" t="s">
        <v>177</v>
      </c>
      <c r="AG118" s="3" t="s">
        <v>178</v>
      </c>
      <c r="AH118" s="3" t="s">
        <v>180</v>
      </c>
      <c r="AI118" s="3" t="s">
        <v>392</v>
      </c>
      <c r="AJ118" s="3" t="s">
        <v>182</v>
      </c>
      <c r="AK118" s="3" t="s">
        <v>393</v>
      </c>
      <c r="AL118" s="3" t="s">
        <v>189</v>
      </c>
      <c r="AM118" s="3" t="s">
        <v>479</v>
      </c>
      <c r="AN118" s="3" t="s">
        <v>189</v>
      </c>
      <c r="AO118" s="3" t="s">
        <v>181</v>
      </c>
      <c r="AP118" s="3" t="s">
        <v>185</v>
      </c>
      <c r="AQ118" s="3" t="s">
        <v>247</v>
      </c>
      <c r="AR118" s="3" t="s">
        <v>244</v>
      </c>
      <c r="AS118" s="3" t="s">
        <v>189</v>
      </c>
      <c r="AT118" s="3" t="s">
        <v>244</v>
      </c>
      <c r="AU118" s="3" t="s">
        <v>244</v>
      </c>
      <c r="AV118" s="3" t="s">
        <v>288</v>
      </c>
      <c r="AW118" s="3" t="s">
        <v>339</v>
      </c>
      <c r="AX118" s="3" t="s">
        <v>244</v>
      </c>
      <c r="AY118" s="3" t="s">
        <v>247</v>
      </c>
    </row>
    <row r="119" spans="1:51" ht="15.75" customHeight="1">
      <c r="A119" s="3">
        <v>98</v>
      </c>
      <c r="B119" s="5" t="str">
        <f t="shared" si="0"/>
        <v>http://roarmap.eprints.org/98/</v>
      </c>
      <c r="C119" s="3">
        <v>3</v>
      </c>
      <c r="D119" s="3" t="s">
        <v>98</v>
      </c>
      <c r="E119" s="3">
        <v>1</v>
      </c>
      <c r="F119" s="3" t="s">
        <v>750</v>
      </c>
      <c r="G119" s="3">
        <v>41988.923229166663</v>
      </c>
      <c r="H119" s="3">
        <v>41988.923229166663</v>
      </c>
      <c r="I119" s="3">
        <v>41988.923229166663</v>
      </c>
      <c r="J119" s="3" t="s">
        <v>103</v>
      </c>
      <c r="K119" s="3" t="s">
        <v>105</v>
      </c>
      <c r="L119" s="3" t="s">
        <v>751</v>
      </c>
      <c r="M119" s="3" t="s">
        <v>352</v>
      </c>
      <c r="N119" s="3" t="s">
        <v>752</v>
      </c>
      <c r="O119" s="3" t="s">
        <v>753</v>
      </c>
      <c r="Q119" t="str">
        <f t="shared" si="5"/>
        <v>http://roarmap.eprints.org/view/country/191.html</v>
      </c>
      <c r="R119" s="3">
        <v>191</v>
      </c>
      <c r="S119" s="6" t="s">
        <v>134</v>
      </c>
      <c r="T119" s="9">
        <v>191</v>
      </c>
      <c r="U119" s="7" t="s">
        <v>123</v>
      </c>
      <c r="V119" s="6" t="s">
        <v>76</v>
      </c>
      <c r="W119" s="3" t="s">
        <v>158</v>
      </c>
      <c r="X119" s="3" t="s">
        <v>384</v>
      </c>
      <c r="Y119" s="3" t="s">
        <v>751</v>
      </c>
      <c r="Z119" s="8" t="str">
        <f>HYPERLINK("http://www.fer.unizg.hr/en","http://www.fer.unizg.hr/en")</f>
        <v>http://www.fer.unizg.hr/en</v>
      </c>
      <c r="AA119" s="8" t="str">
        <f>HYPERLINK("http://www.fer.unizg.hr/oa2012/declaration","http://www.fer.unizg.hr/oa2012/declaration")</f>
        <v>http://www.fer.unizg.hr/oa2012/declaration</v>
      </c>
      <c r="AG119" s="3" t="s">
        <v>244</v>
      </c>
      <c r="AH119" s="3" t="s">
        <v>244</v>
      </c>
      <c r="AI119" s="3" t="s">
        <v>244</v>
      </c>
      <c r="AJ119" s="3" t="s">
        <v>244</v>
      </c>
      <c r="AK119" s="3" t="s">
        <v>244</v>
      </c>
      <c r="AL119" s="3" t="s">
        <v>244</v>
      </c>
      <c r="AM119" s="3" t="s">
        <v>247</v>
      </c>
      <c r="AN119" s="3" t="s">
        <v>244</v>
      </c>
      <c r="AO119" s="3" t="s">
        <v>247</v>
      </c>
      <c r="AP119" s="3" t="s">
        <v>244</v>
      </c>
      <c r="AQ119" s="3" t="s">
        <v>247</v>
      </c>
      <c r="AR119" s="3" t="s">
        <v>288</v>
      </c>
      <c r="AS119" s="3" t="s">
        <v>244</v>
      </c>
      <c r="AT119" s="3" t="s">
        <v>244</v>
      </c>
      <c r="AU119" s="3" t="s">
        <v>244</v>
      </c>
      <c r="AV119" s="3" t="s">
        <v>288</v>
      </c>
      <c r="AW119" s="3" t="s">
        <v>244</v>
      </c>
      <c r="AX119" s="3" t="s">
        <v>244</v>
      </c>
      <c r="AY119" s="3" t="s">
        <v>247</v>
      </c>
    </row>
    <row r="120" spans="1:51" ht="15.75" customHeight="1">
      <c r="A120" s="3">
        <v>99</v>
      </c>
      <c r="B120" s="5" t="str">
        <f t="shared" si="0"/>
        <v>http://roarmap.eprints.org/99/</v>
      </c>
      <c r="C120" s="3">
        <v>4</v>
      </c>
      <c r="D120" s="3" t="s">
        <v>98</v>
      </c>
      <c r="E120" s="3">
        <v>246</v>
      </c>
      <c r="F120" s="3" t="s">
        <v>754</v>
      </c>
      <c r="G120" s="3">
        <v>41988.923229166663</v>
      </c>
      <c r="H120" s="3">
        <v>42046.98165509259</v>
      </c>
      <c r="I120" s="3">
        <v>41988.923229166663</v>
      </c>
      <c r="J120" s="3" t="s">
        <v>103</v>
      </c>
      <c r="K120" s="3" t="s">
        <v>105</v>
      </c>
      <c r="L120" s="3" t="s">
        <v>755</v>
      </c>
      <c r="M120" s="3" t="s">
        <v>374</v>
      </c>
      <c r="P120" s="3" t="s">
        <v>756</v>
      </c>
      <c r="Q120" t="str">
        <f t="shared" si="5"/>
        <v>http://roarmap.eprints.org/view/country/203.html</v>
      </c>
      <c r="R120" s="3">
        <v>203</v>
      </c>
      <c r="S120" s="6" t="s">
        <v>137</v>
      </c>
      <c r="T120" s="9">
        <v>203</v>
      </c>
      <c r="U120" s="7" t="s">
        <v>123</v>
      </c>
      <c r="V120" s="6" t="s">
        <v>102</v>
      </c>
      <c r="W120" s="3" t="s">
        <v>158</v>
      </c>
      <c r="X120" s="3" t="s">
        <v>757</v>
      </c>
      <c r="Y120" s="3" t="s">
        <v>755</v>
      </c>
      <c r="Z120" s="8" t="str">
        <f>HYPERLINK("http://www.cas.cz/","http://www.cas.cz/")</f>
        <v>http://www.cas.cz/</v>
      </c>
      <c r="AA120" s="8" t="str">
        <f>HYPERLINK("http://www.cas.cz/o_avcr/zakladni_informace/dokumenty/politika-otevreneho-pristupu.html","http://www.cas.cz/o_avcr/zakladni_informace/dokumenty/politika-otevreneho-pristupu.html")</f>
        <v>http://www.cas.cz/o_avcr/zakladni_informace/dokumenty/politika-otevreneho-pristupu.html</v>
      </c>
      <c r="AB120" s="8" t="str">
        <f>HYPERLINK("http://www.cas.cz/veda_a_vyzkum/","http://www.cas.cz/veda_a_vyzkum/")</f>
        <v>http://www.cas.cz/veda_a_vyzkum/</v>
      </c>
      <c r="AC120" s="3">
        <v>40465</v>
      </c>
      <c r="AD120" s="3">
        <v>40924</v>
      </c>
      <c r="AF120" s="3" t="s">
        <v>244</v>
      </c>
      <c r="AG120" s="3" t="s">
        <v>178</v>
      </c>
      <c r="AH120" s="3" t="s">
        <v>180</v>
      </c>
      <c r="AI120" s="3" t="s">
        <v>181</v>
      </c>
      <c r="AJ120" s="3" t="s">
        <v>182</v>
      </c>
      <c r="AK120" s="3" t="s">
        <v>244</v>
      </c>
      <c r="AL120" s="3" t="s">
        <v>244</v>
      </c>
      <c r="AM120" s="3" t="s">
        <v>479</v>
      </c>
      <c r="AN120" s="3" t="s">
        <v>244</v>
      </c>
      <c r="AO120" s="3" t="s">
        <v>181</v>
      </c>
      <c r="AP120" s="3" t="s">
        <v>185</v>
      </c>
      <c r="AQ120" s="3" t="s">
        <v>247</v>
      </c>
      <c r="AR120" s="3" t="s">
        <v>288</v>
      </c>
      <c r="AS120" s="3" t="s">
        <v>185</v>
      </c>
      <c r="AT120" s="3" t="s">
        <v>244</v>
      </c>
      <c r="AU120" s="3" t="s">
        <v>244</v>
      </c>
      <c r="AV120" s="3" t="s">
        <v>288</v>
      </c>
      <c r="AW120" s="3" t="s">
        <v>339</v>
      </c>
      <c r="AX120" s="3" t="s">
        <v>244</v>
      </c>
      <c r="AY120" s="3" t="s">
        <v>247</v>
      </c>
    </row>
    <row r="121" spans="1:51" ht="15.75" customHeight="1">
      <c r="A121" s="3">
        <v>655</v>
      </c>
      <c r="B121" s="5" t="str">
        <f t="shared" si="0"/>
        <v>http://roarmap.eprints.org/655/</v>
      </c>
      <c r="C121" s="3">
        <v>6</v>
      </c>
      <c r="D121" s="3" t="s">
        <v>98</v>
      </c>
      <c r="E121" s="3">
        <v>65</v>
      </c>
      <c r="F121" s="3" t="s">
        <v>758</v>
      </c>
      <c r="G121" s="3">
        <v>42066.872847222221</v>
      </c>
      <c r="H121" s="3">
        <v>42066.903032407405</v>
      </c>
      <c r="I121" s="3">
        <v>42066.872847222221</v>
      </c>
      <c r="J121" s="3" t="s">
        <v>103</v>
      </c>
      <c r="K121" s="3" t="s">
        <v>105</v>
      </c>
      <c r="L121" s="3" t="s">
        <v>759</v>
      </c>
      <c r="P121" s="3" t="s">
        <v>215</v>
      </c>
      <c r="Q121" t="str">
        <f t="shared" si="5"/>
        <v>http://roarmap.eprints.org/view/country/203.html</v>
      </c>
      <c r="R121" s="3">
        <v>203</v>
      </c>
      <c r="S121" s="6" t="s">
        <v>137</v>
      </c>
      <c r="T121" s="9">
        <v>203</v>
      </c>
      <c r="U121" s="7" t="s">
        <v>123</v>
      </c>
      <c r="V121" s="6" t="s">
        <v>102</v>
      </c>
      <c r="W121" s="3" t="s">
        <v>158</v>
      </c>
      <c r="X121" s="3" t="s">
        <v>160</v>
      </c>
      <c r="Y121" s="3" t="s">
        <v>759</v>
      </c>
      <c r="Z121" s="8" t="str">
        <f>HYPERLINK("http://www.vutbr.cz/en/","http://www.vutbr.cz/en/")</f>
        <v>http://www.vutbr.cz/en/</v>
      </c>
      <c r="AA121" s="8" t="str">
        <f>HYPERLINK("http://www.vutbr.cz/en/libraries/openaccess/rectors-degree-21-2013-pdf-p84774","http://www.vutbr.cz/en/libraries/openaccess/rectors-degree-21-2013-pdf-p84774")</f>
        <v>http://www.vutbr.cz/en/libraries/openaccess/rectors-degree-21-2013-pdf-p84774</v>
      </c>
      <c r="AB121" s="8" t="str">
        <f>HYPERLINK("https://dspace.vutbr.cz/","https://dspace.vutbr.cz/")</f>
        <v>https://dspace.vutbr.cz/</v>
      </c>
      <c r="AC121" s="3">
        <v>41855</v>
      </c>
      <c r="AD121" s="3">
        <v>41855</v>
      </c>
      <c r="AF121" s="3" t="s">
        <v>478</v>
      </c>
      <c r="AG121" s="3" t="s">
        <v>244</v>
      </c>
      <c r="AH121" s="3" t="s">
        <v>244</v>
      </c>
      <c r="AI121" s="3" t="s">
        <v>244</v>
      </c>
      <c r="AJ121" s="3" t="s">
        <v>244</v>
      </c>
      <c r="AK121" s="3" t="s">
        <v>244</v>
      </c>
      <c r="AL121" s="3" t="s">
        <v>244</v>
      </c>
      <c r="AP121" s="3" t="s">
        <v>244</v>
      </c>
      <c r="AR121" s="3" t="s">
        <v>244</v>
      </c>
      <c r="AS121" s="3" t="s">
        <v>244</v>
      </c>
      <c r="AT121" s="3" t="s">
        <v>244</v>
      </c>
      <c r="AU121" s="3" t="s">
        <v>244</v>
      </c>
      <c r="AV121" s="3" t="s">
        <v>244</v>
      </c>
      <c r="AW121" s="3" t="s">
        <v>244</v>
      </c>
      <c r="AX121" s="3" t="s">
        <v>244</v>
      </c>
    </row>
    <row r="122" spans="1:51" ht="15.75" customHeight="1">
      <c r="A122" s="3">
        <v>674</v>
      </c>
      <c r="B122" s="5" t="str">
        <f t="shared" si="0"/>
        <v>http://roarmap.eprints.org/674/</v>
      </c>
      <c r="C122" s="3">
        <v>4</v>
      </c>
      <c r="D122" s="3" t="s">
        <v>98</v>
      </c>
      <c r="E122" s="3">
        <v>388</v>
      </c>
      <c r="F122" s="3" t="s">
        <v>760</v>
      </c>
      <c r="G122" s="3">
        <v>42055.574675925927</v>
      </c>
      <c r="H122" s="3">
        <v>42055.574675925927</v>
      </c>
      <c r="I122" s="3">
        <v>42055.574675925927</v>
      </c>
      <c r="J122" s="3" t="s">
        <v>103</v>
      </c>
      <c r="K122" s="3" t="s">
        <v>105</v>
      </c>
      <c r="L122" s="3" t="s">
        <v>761</v>
      </c>
      <c r="N122" s="3" t="s">
        <v>762</v>
      </c>
      <c r="O122" s="3" t="s">
        <v>763</v>
      </c>
      <c r="P122" s="3" t="s">
        <v>764</v>
      </c>
      <c r="Q122" t="str">
        <f t="shared" si="5"/>
        <v>http://roarmap.eprints.org/view/country/203.html</v>
      </c>
      <c r="R122" s="3">
        <v>203</v>
      </c>
      <c r="S122" s="6" t="s">
        <v>137</v>
      </c>
      <c r="T122" s="9">
        <v>203</v>
      </c>
      <c r="U122" s="7" t="s">
        <v>123</v>
      </c>
      <c r="V122" s="6" t="s">
        <v>102</v>
      </c>
      <c r="W122" s="3" t="s">
        <v>158</v>
      </c>
      <c r="X122" s="3" t="s">
        <v>160</v>
      </c>
      <c r="Y122" s="3" t="s">
        <v>761</v>
      </c>
      <c r="Z122" s="8" t="str">
        <f>HYPERLINK("http://www.utb.cz/","http://www.utb.cz/")</f>
        <v>http://www.utb.cz/</v>
      </c>
      <c r="AA122" s="8" t="str">
        <f>HYPERLINK("http://www.utb.cz/file/46119/","http://www.utb.cz/file/46119/")</f>
        <v>http://www.utb.cz/file/46119/</v>
      </c>
      <c r="AB122" s="8" t="str">
        <f>HYPERLINK("http://publikace.k.utb.cz","http://publikace.k.utb.cz")</f>
        <v>http://publikace.k.utb.cz</v>
      </c>
      <c r="AC122" s="3">
        <v>40886</v>
      </c>
      <c r="AD122" s="3">
        <v>40886</v>
      </c>
      <c r="AE122" s="3">
        <v>41666</v>
      </c>
      <c r="AF122" s="3" t="s">
        <v>177</v>
      </c>
      <c r="AG122" s="3" t="s">
        <v>178</v>
      </c>
      <c r="AH122" s="3" t="s">
        <v>180</v>
      </c>
      <c r="AI122" s="3" t="s">
        <v>181</v>
      </c>
      <c r="AJ122" s="3" t="s">
        <v>182</v>
      </c>
      <c r="AK122" s="3" t="s">
        <v>393</v>
      </c>
      <c r="AL122" s="3" t="s">
        <v>244</v>
      </c>
      <c r="AM122" s="3" t="s">
        <v>479</v>
      </c>
      <c r="AN122" s="3" t="s">
        <v>244</v>
      </c>
      <c r="AO122" s="3" t="s">
        <v>181</v>
      </c>
      <c r="AP122" s="3" t="s">
        <v>189</v>
      </c>
      <c r="AQ122" s="3" t="s">
        <v>247</v>
      </c>
      <c r="AR122" s="3" t="s">
        <v>244</v>
      </c>
      <c r="AS122" s="3" t="s">
        <v>244</v>
      </c>
      <c r="AT122" s="3" t="s">
        <v>244</v>
      </c>
      <c r="AU122" s="3" t="s">
        <v>244</v>
      </c>
      <c r="AV122" s="3" t="s">
        <v>244</v>
      </c>
      <c r="AW122" s="3" t="s">
        <v>244</v>
      </c>
      <c r="AX122" s="3" t="s">
        <v>244</v>
      </c>
      <c r="AY122" s="3" t="s">
        <v>247</v>
      </c>
    </row>
    <row r="123" spans="1:51" ht="15.75" customHeight="1">
      <c r="A123" s="3">
        <v>100</v>
      </c>
      <c r="B123" s="5" t="str">
        <f t="shared" si="0"/>
        <v>http://roarmap.eprints.org/100/</v>
      </c>
      <c r="C123" s="3">
        <v>4</v>
      </c>
      <c r="D123" s="3" t="s">
        <v>98</v>
      </c>
      <c r="E123" s="3">
        <v>247</v>
      </c>
      <c r="F123" s="3" t="s">
        <v>765</v>
      </c>
      <c r="G123" s="3">
        <v>41988.92324074074</v>
      </c>
      <c r="H123" s="3">
        <v>42046.98165509259</v>
      </c>
      <c r="I123" s="3">
        <v>41988.92324074074</v>
      </c>
      <c r="J123" s="3" t="s">
        <v>103</v>
      </c>
      <c r="K123" s="3" t="s">
        <v>105</v>
      </c>
      <c r="L123" s="3" t="s">
        <v>766</v>
      </c>
      <c r="M123" s="3" t="s">
        <v>374</v>
      </c>
      <c r="Q123" t="str">
        <f t="shared" si="5"/>
        <v>http://roarmap.eprints.org/view/country/208.html</v>
      </c>
      <c r="R123" s="3">
        <v>208</v>
      </c>
      <c r="S123" s="6" t="s">
        <v>139</v>
      </c>
      <c r="T123" s="9">
        <v>208</v>
      </c>
      <c r="U123" s="7" t="s">
        <v>123</v>
      </c>
      <c r="V123" s="6" t="s">
        <v>125</v>
      </c>
      <c r="W123" s="3" t="s">
        <v>158</v>
      </c>
      <c r="X123" s="3" t="s">
        <v>160</v>
      </c>
      <c r="Y123" s="3" t="s">
        <v>766</v>
      </c>
      <c r="Z123" s="8" t="str">
        <f>HYPERLINK("http://www.en.aau.dk/","http://www.en.aau.dk/")</f>
        <v>http://www.en.aau.dk/</v>
      </c>
      <c r="AA123" s="3" t="s">
        <v>767</v>
      </c>
      <c r="AB123" s="8" t="str">
        <f>HYPERLINK("http://vbn.aau.dk/en/","http://vbn.aau.dk/en/")</f>
        <v>http://vbn.aau.dk/en/</v>
      </c>
      <c r="AC123" s="3">
        <v>40786</v>
      </c>
      <c r="AD123" s="3">
        <v>40786</v>
      </c>
      <c r="AF123" s="3" t="s">
        <v>177</v>
      </c>
      <c r="AG123" s="3" t="s">
        <v>333</v>
      </c>
      <c r="AH123" s="3" t="s">
        <v>180</v>
      </c>
      <c r="AI123" s="3" t="s">
        <v>244</v>
      </c>
      <c r="AJ123" s="3" t="s">
        <v>182</v>
      </c>
      <c r="AK123" s="3" t="s">
        <v>244</v>
      </c>
      <c r="AL123" s="3" t="s">
        <v>288</v>
      </c>
      <c r="AM123" s="3" t="s">
        <v>479</v>
      </c>
      <c r="AN123" s="3" t="s">
        <v>244</v>
      </c>
      <c r="AO123" s="3" t="s">
        <v>247</v>
      </c>
      <c r="AP123" s="3" t="s">
        <v>244</v>
      </c>
      <c r="AQ123" s="3" t="s">
        <v>247</v>
      </c>
      <c r="AR123" s="3" t="s">
        <v>288</v>
      </c>
      <c r="AS123" s="3" t="s">
        <v>185</v>
      </c>
      <c r="AT123" s="3" t="s">
        <v>244</v>
      </c>
      <c r="AU123" s="3" t="s">
        <v>244</v>
      </c>
      <c r="AV123" s="3" t="s">
        <v>288</v>
      </c>
      <c r="AW123" s="3" t="s">
        <v>339</v>
      </c>
      <c r="AX123" s="3" t="s">
        <v>244</v>
      </c>
      <c r="AY123" s="3" t="s">
        <v>247</v>
      </c>
    </row>
    <row r="124" spans="1:51" ht="15.75" customHeight="1">
      <c r="A124" s="3">
        <v>101</v>
      </c>
      <c r="B124" s="5" t="str">
        <f t="shared" si="0"/>
        <v>http://roarmap.eprints.org/101/</v>
      </c>
      <c r="C124" s="3">
        <v>3</v>
      </c>
      <c r="D124" s="3" t="s">
        <v>98</v>
      </c>
      <c r="E124" s="3">
        <v>1</v>
      </c>
      <c r="F124" s="3" t="s">
        <v>768</v>
      </c>
      <c r="G124" s="3">
        <v>41988.92324074074</v>
      </c>
      <c r="H124" s="3">
        <v>41988.92324074074</v>
      </c>
      <c r="I124" s="3">
        <v>41988.92324074074</v>
      </c>
      <c r="J124" s="3" t="s">
        <v>103</v>
      </c>
      <c r="K124" s="3" t="s">
        <v>105</v>
      </c>
      <c r="L124" s="3" t="s">
        <v>769</v>
      </c>
      <c r="M124" s="3" t="s">
        <v>469</v>
      </c>
      <c r="Q124" t="str">
        <f t="shared" si="5"/>
        <v>http://roarmap.eprints.org/view/country/208.html</v>
      </c>
      <c r="R124" s="3">
        <v>208</v>
      </c>
      <c r="S124" s="6" t="s">
        <v>139</v>
      </c>
      <c r="T124" s="9">
        <v>208</v>
      </c>
      <c r="U124" s="7" t="s">
        <v>123</v>
      </c>
      <c r="V124" s="6" t="s">
        <v>125</v>
      </c>
      <c r="W124" s="3" t="s">
        <v>158</v>
      </c>
      <c r="X124" s="3" t="s">
        <v>160</v>
      </c>
      <c r="Y124" s="3" t="s">
        <v>769</v>
      </c>
      <c r="Z124" s="8" t="str">
        <f>HYPERLINK("http://www.au.dk/en/","http://www.au.dk/en/")</f>
        <v>http://www.au.dk/en/</v>
      </c>
      <c r="AA124" s="8" t="str">
        <f>HYPERLINK("http://www.au.dk/en/about/uni/rektorat/newsletter/2010/8/","http://www.au.dk/en/about/uni/rektorat/newsletter/2010/8/")</f>
        <v>http://www.au.dk/en/about/uni/rektorat/newsletter/2010/8/</v>
      </c>
      <c r="AB124" s="8" t="str">
        <f>HYPERLINK("http://medarbejdere.au.dk/pure/","http://medarbejdere.au.dk/pure/")</f>
        <v>http://medarbejdere.au.dk/pure/</v>
      </c>
      <c r="AC124" s="3">
        <v>40391</v>
      </c>
      <c r="AD124" s="3">
        <v>40186</v>
      </c>
      <c r="AF124" s="3" t="s">
        <v>177</v>
      </c>
      <c r="AG124" s="3" t="s">
        <v>178</v>
      </c>
      <c r="AH124" s="3" t="s">
        <v>180</v>
      </c>
      <c r="AI124" s="3" t="s">
        <v>244</v>
      </c>
      <c r="AJ124" s="3" t="s">
        <v>244</v>
      </c>
      <c r="AK124" s="3" t="s">
        <v>244</v>
      </c>
      <c r="AL124" s="3" t="s">
        <v>189</v>
      </c>
      <c r="AM124" s="3" t="s">
        <v>371</v>
      </c>
      <c r="AN124" s="3" t="s">
        <v>189</v>
      </c>
      <c r="AO124" s="3" t="s">
        <v>181</v>
      </c>
      <c r="AP124" s="3" t="s">
        <v>244</v>
      </c>
      <c r="AQ124" s="3" t="s">
        <v>394</v>
      </c>
      <c r="AR124" s="3" t="s">
        <v>288</v>
      </c>
      <c r="AS124" s="3" t="s">
        <v>189</v>
      </c>
      <c r="AT124" s="3" t="s">
        <v>244</v>
      </c>
      <c r="AU124" s="3" t="s">
        <v>244</v>
      </c>
      <c r="AV124" s="3" t="s">
        <v>288</v>
      </c>
      <c r="AW124" s="3" t="s">
        <v>371</v>
      </c>
      <c r="AX124" s="3" t="s">
        <v>442</v>
      </c>
      <c r="AY124" s="3" t="s">
        <v>371</v>
      </c>
    </row>
    <row r="125" spans="1:51" ht="15.75" customHeight="1">
      <c r="A125" s="3">
        <v>102</v>
      </c>
      <c r="B125" s="5" t="str">
        <f t="shared" si="0"/>
        <v>http://roarmap.eprints.org/102/</v>
      </c>
      <c r="C125" s="3">
        <v>3</v>
      </c>
      <c r="D125" s="3" t="s">
        <v>98</v>
      </c>
      <c r="E125" s="3">
        <v>1</v>
      </c>
      <c r="F125" s="3" t="s">
        <v>770</v>
      </c>
      <c r="G125" s="3">
        <v>41988.92324074074</v>
      </c>
      <c r="H125" s="3">
        <v>41988.92324074074</v>
      </c>
      <c r="I125" s="3">
        <v>41988.92324074074</v>
      </c>
      <c r="J125" s="3" t="s">
        <v>103</v>
      </c>
      <c r="K125" s="3" t="s">
        <v>105</v>
      </c>
      <c r="L125" s="3" t="s">
        <v>771</v>
      </c>
      <c r="M125" s="3" t="s">
        <v>374</v>
      </c>
      <c r="N125" s="3" t="s">
        <v>772</v>
      </c>
      <c r="O125" s="3" t="s">
        <v>773</v>
      </c>
      <c r="Q125" t="str">
        <f t="shared" si="5"/>
        <v>http://roarmap.eprints.org/view/country/208.html</v>
      </c>
      <c r="R125" s="3">
        <v>208</v>
      </c>
      <c r="S125" s="6" t="s">
        <v>139</v>
      </c>
      <c r="T125" s="9">
        <v>208</v>
      </c>
      <c r="U125" s="7" t="s">
        <v>123</v>
      </c>
      <c r="V125" s="6" t="s">
        <v>125</v>
      </c>
      <c r="W125" s="3" t="s">
        <v>158</v>
      </c>
      <c r="X125" s="3" t="s">
        <v>160</v>
      </c>
      <c r="Y125" s="3" t="s">
        <v>771</v>
      </c>
      <c r="Z125" s="8" t="str">
        <f>HYPERLINK("http://www.cbs.dk/en","http://www.cbs.dk/en")</f>
        <v>http://www.cbs.dk/en</v>
      </c>
      <c r="AA125" s="8" t="str">
        <f>HYPERLINK("http://www.cbs.dk/files/cbs.dk/call_to_action/open_access_politik_2009.pdf","http://www.cbs.dk/files/cbs.dk/call_to_action/open_access_politik_2009.pdf")</f>
        <v>http://www.cbs.dk/files/cbs.dk/call_to_action/open_access_politik_2009.pdf</v>
      </c>
      <c r="AB125" s="8" t="str">
        <f>HYPERLINK("http://www.cbs.dk/en/research/cbs-publications","http://www.cbs.dk/en/research/cbs-publications")</f>
        <v>http://www.cbs.dk/en/research/cbs-publications</v>
      </c>
      <c r="AC125" s="3">
        <v>39965</v>
      </c>
      <c r="AD125" s="3">
        <v>39965</v>
      </c>
      <c r="AF125" s="3" t="s">
        <v>478</v>
      </c>
      <c r="AG125" s="3" t="s">
        <v>178</v>
      </c>
      <c r="AH125" s="3" t="s">
        <v>180</v>
      </c>
      <c r="AI125" s="3" t="s">
        <v>187</v>
      </c>
      <c r="AJ125" s="3" t="s">
        <v>182</v>
      </c>
      <c r="AK125" s="3" t="s">
        <v>393</v>
      </c>
      <c r="AL125" s="3" t="s">
        <v>189</v>
      </c>
      <c r="AM125" s="3" t="s">
        <v>178</v>
      </c>
      <c r="AN125" s="3" t="s">
        <v>185</v>
      </c>
      <c r="AO125" s="3" t="s">
        <v>378</v>
      </c>
      <c r="AP125" s="3" t="s">
        <v>244</v>
      </c>
      <c r="AQ125" s="3" t="s">
        <v>394</v>
      </c>
      <c r="AR125" s="3" t="s">
        <v>288</v>
      </c>
      <c r="AS125" s="3" t="s">
        <v>185</v>
      </c>
      <c r="AT125" s="3" t="s">
        <v>395</v>
      </c>
      <c r="AU125" s="3" t="s">
        <v>395</v>
      </c>
      <c r="AV125" s="3" t="s">
        <v>288</v>
      </c>
      <c r="AW125" s="3" t="s">
        <v>630</v>
      </c>
      <c r="AX125" s="3" t="s">
        <v>442</v>
      </c>
      <c r="AY125" s="3" t="s">
        <v>247</v>
      </c>
    </row>
    <row r="126" spans="1:51" ht="15.75" customHeight="1">
      <c r="A126" s="3">
        <v>103</v>
      </c>
      <c r="B126" s="5" t="str">
        <f t="shared" si="0"/>
        <v>http://roarmap.eprints.org/103/</v>
      </c>
      <c r="C126" s="3">
        <v>3</v>
      </c>
      <c r="D126" s="3" t="s">
        <v>98</v>
      </c>
      <c r="E126" s="3">
        <v>1</v>
      </c>
      <c r="F126" s="3" t="s">
        <v>774</v>
      </c>
      <c r="G126" s="3">
        <v>41988.92324074074</v>
      </c>
      <c r="H126" s="3">
        <v>41988.92324074074</v>
      </c>
      <c r="I126" s="3">
        <v>41988.92324074074</v>
      </c>
      <c r="J126" s="3" t="s">
        <v>103</v>
      </c>
      <c r="K126" s="3" t="s">
        <v>105</v>
      </c>
      <c r="L126" s="3" t="s">
        <v>775</v>
      </c>
      <c r="M126" s="3" t="s">
        <v>374</v>
      </c>
      <c r="N126" s="3" t="s">
        <v>776</v>
      </c>
      <c r="Q126" t="str">
        <f t="shared" si="5"/>
        <v>http://roarmap.eprints.org/view/country/208.html</v>
      </c>
      <c r="R126" s="3">
        <v>208</v>
      </c>
      <c r="S126" s="6" t="s">
        <v>139</v>
      </c>
      <c r="T126" s="9">
        <v>208</v>
      </c>
      <c r="U126" s="7" t="s">
        <v>123</v>
      </c>
      <c r="V126" s="6" t="s">
        <v>125</v>
      </c>
      <c r="W126" s="3" t="s">
        <v>158</v>
      </c>
      <c r="X126" s="3" t="s">
        <v>376</v>
      </c>
      <c r="Y126" s="3" t="s">
        <v>777</v>
      </c>
      <c r="Z126" s="8" t="str">
        <f>HYPERLINK("http://ufm.dk/","http://ufm.dk/")</f>
        <v>http://ufm.dk/</v>
      </c>
      <c r="AA126" s="8" t="str">
        <f>HYPERLINK("http://ufm.dk/en/research-and-innovation/cooperation-between-research-and-innovation/open-science/open-access-policy-for-public-research-councils-and-foundations?searchterm=open%0A%20%20%20%20%20%20%20%20%20%20%20%20%20%20%20access","http://ufm.dk/en/research-and-innovation/cooperation-between-research-and-innovation/open-science/open-access-policy-for-public-research-councils-and-foundations?searchterm=open%0A%20%20%20%20%20%20%20%20%20%20%20%20%20%20%20access")</f>
        <v>http://ufm.dk/en/research-and-innovation/cooperation-between-research-and-innovation/open-science/open-access-policy-for-public-research-councils-and-foundations?searchterm=open%0A%20%20%20%20%20%20%20%20%20%20%20%20%20%20%20access</v>
      </c>
      <c r="AC126" s="3">
        <v>41061</v>
      </c>
      <c r="AD126" s="3">
        <v>41061</v>
      </c>
      <c r="AE126" s="3">
        <v>41487</v>
      </c>
      <c r="AF126" s="3" t="s">
        <v>177</v>
      </c>
      <c r="AG126" s="3" t="s">
        <v>178</v>
      </c>
      <c r="AH126" s="3" t="s">
        <v>370</v>
      </c>
      <c r="AI126" s="3" t="s">
        <v>187</v>
      </c>
      <c r="AJ126" s="3" t="s">
        <v>182</v>
      </c>
      <c r="AK126" s="3" t="s">
        <v>393</v>
      </c>
      <c r="AL126" s="3" t="s">
        <v>185</v>
      </c>
      <c r="AM126" s="3" t="s">
        <v>178</v>
      </c>
      <c r="AN126" s="3" t="s">
        <v>185</v>
      </c>
      <c r="AO126" s="3" t="s">
        <v>247</v>
      </c>
      <c r="AP126" s="3" t="s">
        <v>244</v>
      </c>
      <c r="AQ126" s="3" t="s">
        <v>394</v>
      </c>
      <c r="AR126" s="3" t="s">
        <v>288</v>
      </c>
      <c r="AS126" s="3" t="s">
        <v>185</v>
      </c>
      <c r="AT126" s="3" t="s">
        <v>379</v>
      </c>
      <c r="AU126" s="3" t="s">
        <v>395</v>
      </c>
      <c r="AV126" s="3" t="s">
        <v>244</v>
      </c>
      <c r="AW126" s="3" t="s">
        <v>339</v>
      </c>
      <c r="AX126" s="3" t="s">
        <v>442</v>
      </c>
      <c r="AY126" s="3" t="s">
        <v>247</v>
      </c>
    </row>
    <row r="127" spans="1:51" ht="15.75" customHeight="1">
      <c r="A127" s="3">
        <v>104</v>
      </c>
      <c r="B127" s="5" t="str">
        <f t="shared" si="0"/>
        <v>http://roarmap.eprints.org/104/</v>
      </c>
      <c r="C127" s="3">
        <v>3</v>
      </c>
      <c r="D127" s="3" t="s">
        <v>98</v>
      </c>
      <c r="E127" s="3">
        <v>1</v>
      </c>
      <c r="F127" s="3" t="s">
        <v>778</v>
      </c>
      <c r="G127" s="3">
        <v>41988.923252314817</v>
      </c>
      <c r="H127" s="3">
        <v>41988.923252314817</v>
      </c>
      <c r="I127" s="3">
        <v>41988.923252314817</v>
      </c>
      <c r="J127" s="3" t="s">
        <v>103</v>
      </c>
      <c r="K127" s="3" t="s">
        <v>105</v>
      </c>
      <c r="L127" s="3" t="s">
        <v>779</v>
      </c>
      <c r="M127" s="3" t="s">
        <v>352</v>
      </c>
      <c r="N127" s="3" t="s">
        <v>780</v>
      </c>
      <c r="O127" s="3" t="s">
        <v>781</v>
      </c>
      <c r="P127" s="3" t="s">
        <v>215</v>
      </c>
      <c r="Q127" t="str">
        <f t="shared" si="5"/>
        <v>http://roarmap.eprints.org/view/country/208.html</v>
      </c>
      <c r="R127" s="3">
        <v>208</v>
      </c>
      <c r="S127" s="6" t="s">
        <v>139</v>
      </c>
      <c r="T127" s="9">
        <v>208</v>
      </c>
      <c r="U127" s="7" t="s">
        <v>123</v>
      </c>
      <c r="V127" s="6" t="s">
        <v>125</v>
      </c>
      <c r="W127" s="3" t="s">
        <v>158</v>
      </c>
      <c r="X127" s="3" t="s">
        <v>376</v>
      </c>
      <c r="Y127" s="3" t="s">
        <v>779</v>
      </c>
      <c r="Z127" s="8" t="str">
        <f>HYPERLINK("http://ufm.dk/en/the-minister-and-the-ministry/organisation/the-danish-agency-for-science-technology-and-innovation","http://ufm.dk/en/the-minister-and-the-ministry/organisation/the-danish-agency-for-science-technology-and-innovation")</f>
        <v>http://ufm.dk/en/the-minister-and-the-ministry/organisation/the-danish-agency-for-science-technology-and-innovation</v>
      </c>
      <c r="AA127" s="8" t="str">
        <f>HYPERLINK("http://ufm.dk/en/research-and-innovation/councils-and-commissions/the-danish-council-for-independent-research/open-access-policy","http://ufm.dk/en/research-and-innovation/councils-and-commissions/the-danish-council-for-independent-research/open-access-policy")</f>
        <v>http://ufm.dk/en/research-and-innovation/councils-and-commissions/the-danish-council-for-independent-research/open-access-policy</v>
      </c>
      <c r="AC127" s="3">
        <v>41061</v>
      </c>
      <c r="AE127" s="3">
        <v>41843</v>
      </c>
      <c r="AF127" s="3" t="s">
        <v>177</v>
      </c>
      <c r="AG127" s="3" t="s">
        <v>333</v>
      </c>
      <c r="AH127" s="3" t="s">
        <v>180</v>
      </c>
      <c r="AI127" s="3" t="s">
        <v>377</v>
      </c>
      <c r="AJ127" s="3" t="s">
        <v>182</v>
      </c>
      <c r="AK127" s="3" t="s">
        <v>393</v>
      </c>
      <c r="AL127" s="3" t="s">
        <v>288</v>
      </c>
      <c r="AM127" s="3" t="s">
        <v>247</v>
      </c>
      <c r="AN127" s="3" t="s">
        <v>244</v>
      </c>
      <c r="AO127" s="3" t="s">
        <v>247</v>
      </c>
      <c r="AP127" s="3" t="s">
        <v>244</v>
      </c>
      <c r="AQ127" s="3" t="s">
        <v>247</v>
      </c>
      <c r="AR127" s="3" t="s">
        <v>288</v>
      </c>
      <c r="AS127" s="3" t="s">
        <v>288</v>
      </c>
      <c r="AT127" s="3" t="s">
        <v>379</v>
      </c>
      <c r="AU127" s="3" t="s">
        <v>395</v>
      </c>
      <c r="AV127" s="3" t="s">
        <v>244</v>
      </c>
      <c r="AW127" s="3" t="s">
        <v>339</v>
      </c>
      <c r="AX127" s="3" t="s">
        <v>442</v>
      </c>
      <c r="AY127" s="3" t="s">
        <v>247</v>
      </c>
    </row>
    <row r="128" spans="1:51" ht="15.75" customHeight="1">
      <c r="A128" s="3">
        <v>105</v>
      </c>
      <c r="B128" s="5" t="str">
        <f t="shared" si="0"/>
        <v>http://roarmap.eprints.org/105/</v>
      </c>
      <c r="C128" s="3">
        <v>4</v>
      </c>
      <c r="D128" s="3" t="s">
        <v>98</v>
      </c>
      <c r="E128" s="3">
        <v>248</v>
      </c>
      <c r="F128" s="3" t="s">
        <v>782</v>
      </c>
      <c r="G128" s="3">
        <v>41988.923252314817</v>
      </c>
      <c r="H128" s="3">
        <v>42046.98165509259</v>
      </c>
      <c r="I128" s="3">
        <v>41988.923252314817</v>
      </c>
      <c r="J128" s="3" t="s">
        <v>103</v>
      </c>
      <c r="K128" s="3" t="s">
        <v>105</v>
      </c>
      <c r="L128" s="3" t="s">
        <v>783</v>
      </c>
      <c r="M128" s="3" t="s">
        <v>374</v>
      </c>
      <c r="N128" s="3" t="s">
        <v>784</v>
      </c>
      <c r="P128" s="3" t="s">
        <v>215</v>
      </c>
      <c r="Q128" t="str">
        <f t="shared" si="5"/>
        <v>http://roarmap.eprints.org/view/country/208.html</v>
      </c>
      <c r="R128" s="3">
        <v>208</v>
      </c>
      <c r="S128" s="6" t="s">
        <v>139</v>
      </c>
      <c r="T128" s="9">
        <v>208</v>
      </c>
      <c r="U128" s="7" t="s">
        <v>123</v>
      </c>
      <c r="V128" s="6" t="s">
        <v>125</v>
      </c>
      <c r="W128" s="3" t="s">
        <v>158</v>
      </c>
      <c r="X128" s="3" t="s">
        <v>376</v>
      </c>
      <c r="Y128" s="3" t="s">
        <v>783</v>
      </c>
      <c r="Z128" s="8" t="str">
        <f>HYPERLINK("http://www.norden.org/en","http://www.norden.org/en")</f>
        <v>http://www.norden.org/en</v>
      </c>
      <c r="AA128" s="8" t="str">
        <f>HYPERLINK("http://www.norden.org/en/publications/open-access/open-access-mandate","http://www.norden.org/en/publications/open-access/open-access-mandate")</f>
        <v>http://www.norden.org/en/publications/open-access/open-access-mandate</v>
      </c>
      <c r="AB128" s="8" t="str">
        <f>HYPERLINK("http://norden.diva-portal.org/smash/search.jsf","http://norden.diva-portal.org/smash/search.jsf")</f>
        <v>http://norden.diva-portal.org/smash/search.jsf</v>
      </c>
      <c r="AC128" s="3">
        <v>41668</v>
      </c>
      <c r="AD128" s="3">
        <v>41791</v>
      </c>
      <c r="AF128" s="3" t="s">
        <v>177</v>
      </c>
      <c r="AG128" s="3" t="s">
        <v>178</v>
      </c>
      <c r="AH128" s="3" t="s">
        <v>180</v>
      </c>
      <c r="AI128" s="3" t="s">
        <v>392</v>
      </c>
      <c r="AJ128" s="3" t="s">
        <v>371</v>
      </c>
      <c r="AK128" s="3" t="s">
        <v>244</v>
      </c>
      <c r="AL128" s="3" t="s">
        <v>185</v>
      </c>
      <c r="AM128" s="3" t="s">
        <v>178</v>
      </c>
      <c r="AN128" s="3" t="s">
        <v>185</v>
      </c>
      <c r="AO128" s="3" t="s">
        <v>392</v>
      </c>
      <c r="AP128" s="3" t="s">
        <v>244</v>
      </c>
      <c r="AQ128" s="3" t="s">
        <v>190</v>
      </c>
      <c r="AR128" s="3" t="s">
        <v>288</v>
      </c>
      <c r="AS128" s="3" t="s">
        <v>185</v>
      </c>
      <c r="AT128" s="3" t="s">
        <v>785</v>
      </c>
      <c r="AU128" s="3" t="s">
        <v>785</v>
      </c>
      <c r="AV128" s="3" t="s">
        <v>244</v>
      </c>
      <c r="AW128" s="3" t="s">
        <v>520</v>
      </c>
      <c r="AX128" s="3" t="s">
        <v>244</v>
      </c>
      <c r="AY128" s="3" t="s">
        <v>247</v>
      </c>
    </row>
    <row r="129" spans="1:51" ht="15.75" customHeight="1">
      <c r="A129" s="3">
        <v>106</v>
      </c>
      <c r="B129" s="5" t="str">
        <f t="shared" si="0"/>
        <v>http://roarmap.eprints.org/106/</v>
      </c>
      <c r="C129" s="3">
        <v>3</v>
      </c>
      <c r="D129" s="3" t="s">
        <v>98</v>
      </c>
      <c r="E129" s="3">
        <v>1</v>
      </c>
      <c r="F129" s="3" t="s">
        <v>786</v>
      </c>
      <c r="G129" s="3">
        <v>41988.923252314817</v>
      </c>
      <c r="H129" s="3">
        <v>41988.923252314817</v>
      </c>
      <c r="I129" s="3">
        <v>41988.923252314817</v>
      </c>
      <c r="J129" s="3" t="s">
        <v>103</v>
      </c>
      <c r="K129" s="3" t="s">
        <v>105</v>
      </c>
      <c r="L129" s="3" t="s">
        <v>787</v>
      </c>
      <c r="M129" s="3" t="s">
        <v>374</v>
      </c>
      <c r="N129" s="3" t="s">
        <v>788</v>
      </c>
      <c r="P129" s="3" t="s">
        <v>215</v>
      </c>
      <c r="Q129" t="str">
        <f t="shared" si="5"/>
        <v>http://roarmap.eprints.org/view/country/208.html</v>
      </c>
      <c r="R129" s="3">
        <v>208</v>
      </c>
      <c r="S129" s="6" t="s">
        <v>139</v>
      </c>
      <c r="T129" s="9">
        <v>208</v>
      </c>
      <c r="U129" s="7" t="s">
        <v>123</v>
      </c>
      <c r="V129" s="6" t="s">
        <v>125</v>
      </c>
      <c r="W129" s="3" t="s">
        <v>158</v>
      </c>
      <c r="X129" s="3" t="s">
        <v>160</v>
      </c>
      <c r="Y129" s="3" t="s">
        <v>787</v>
      </c>
      <c r="Z129" s="8" t="str">
        <f>HYPERLINK("http://www.ruc.dk/en/","http://www.ruc.dk/en/")</f>
        <v>http://www.ruc.dk/en/</v>
      </c>
      <c r="AA129" s="8" t="str">
        <f>HYPERLINK("http://rudar.ruc.dk/bitstream/1800/5149/1/Digitaliserings_arkiveringspolitik.pdf","http://rudar.ruc.dk/bitstream/1800/5149/1/Digitaliserings_arkiveringspolitik.pdf")</f>
        <v>http://rudar.ruc.dk/bitstream/1800/5149/1/Digitaliserings_arkiveringspolitik.pdf</v>
      </c>
      <c r="AB129" s="8" t="str">
        <f>HYPERLINK("http://rudar.ruc.dk/","http://rudar.ruc.dk/")</f>
        <v>http://rudar.ruc.dk/</v>
      </c>
      <c r="AC129" s="3">
        <v>39668</v>
      </c>
      <c r="AD129" s="3">
        <v>39700</v>
      </c>
      <c r="AF129" s="3" t="s">
        <v>177</v>
      </c>
      <c r="AG129" s="3" t="s">
        <v>178</v>
      </c>
      <c r="AH129" s="3" t="s">
        <v>180</v>
      </c>
      <c r="AI129" s="3" t="s">
        <v>244</v>
      </c>
      <c r="AJ129" s="3" t="s">
        <v>182</v>
      </c>
      <c r="AK129" s="3" t="s">
        <v>244</v>
      </c>
      <c r="AL129" s="3" t="s">
        <v>185</v>
      </c>
      <c r="AM129" s="3" t="s">
        <v>178</v>
      </c>
      <c r="AN129" s="3" t="s">
        <v>189</v>
      </c>
      <c r="AO129" s="3" t="s">
        <v>181</v>
      </c>
      <c r="AP129" s="3" t="s">
        <v>244</v>
      </c>
      <c r="AQ129" s="3" t="s">
        <v>394</v>
      </c>
      <c r="AR129" s="3" t="s">
        <v>288</v>
      </c>
      <c r="AS129" s="3" t="s">
        <v>185</v>
      </c>
      <c r="AT129" s="3" t="s">
        <v>244</v>
      </c>
      <c r="AU129" s="3" t="s">
        <v>244</v>
      </c>
      <c r="AV129" s="3" t="s">
        <v>288</v>
      </c>
      <c r="AW129" s="3" t="s">
        <v>630</v>
      </c>
      <c r="AX129" s="3" t="s">
        <v>442</v>
      </c>
      <c r="AY129" s="3" t="s">
        <v>371</v>
      </c>
    </row>
    <row r="130" spans="1:51" ht="15.75" customHeight="1">
      <c r="A130" s="3">
        <v>107</v>
      </c>
      <c r="B130" s="5" t="str">
        <f t="shared" si="0"/>
        <v>http://roarmap.eprints.org/107/</v>
      </c>
      <c r="C130" s="3">
        <v>3</v>
      </c>
      <c r="D130" s="3" t="s">
        <v>98</v>
      </c>
      <c r="E130" s="3">
        <v>1</v>
      </c>
      <c r="F130" s="3" t="s">
        <v>789</v>
      </c>
      <c r="G130" s="3">
        <v>41988.923252314817</v>
      </c>
      <c r="H130" s="3">
        <v>41988.923252314817</v>
      </c>
      <c r="I130" s="3">
        <v>41988.923252314817</v>
      </c>
      <c r="J130" s="3" t="s">
        <v>103</v>
      </c>
      <c r="K130" s="3" t="s">
        <v>105</v>
      </c>
      <c r="L130" s="3" t="s">
        <v>790</v>
      </c>
      <c r="M130" s="3" t="s">
        <v>637</v>
      </c>
      <c r="Q130" t="str">
        <f t="shared" si="5"/>
        <v>http://roarmap.eprints.org/view/country/208.html</v>
      </c>
      <c r="R130" s="3">
        <v>208</v>
      </c>
      <c r="S130" s="6" t="s">
        <v>139</v>
      </c>
      <c r="T130" s="9">
        <v>208</v>
      </c>
      <c r="U130" s="7" t="s">
        <v>123</v>
      </c>
      <c r="V130" s="6" t="s">
        <v>125</v>
      </c>
      <c r="W130" s="3" t="s">
        <v>158</v>
      </c>
      <c r="X130" s="3" t="s">
        <v>160</v>
      </c>
      <c r="Y130" s="3" t="s">
        <v>790</v>
      </c>
      <c r="Z130" s="8" t="str">
        <f>HYPERLINK("http://www.sdu.dk/en/","http://www.sdu.dk/en/")</f>
        <v>http://www.sdu.dk/en/</v>
      </c>
      <c r="AA130" s="8" t="str">
        <f>HYPERLINK("http://www.sdu.dk/en/bibliotek/vejledning/open_access","http://www.sdu.dk/en/bibliotek/vejledning/open_access")</f>
        <v>http://www.sdu.dk/en/bibliotek/vejledning/open_access</v>
      </c>
      <c r="AB130" s="8" t="str">
        <f>HYPERLINK("http://findresearcher.sdu.dk:8080/portal/da/publications/search.html","http://findresearcher.sdu.dk:8080/portal/da/publications/search.html")</f>
        <v>http://findresearcher.sdu.dk:8080/portal/da/publications/search.html</v>
      </c>
      <c r="AC130" s="3">
        <v>40955</v>
      </c>
      <c r="AD130" s="3">
        <v>40955</v>
      </c>
      <c r="AF130" s="3" t="s">
        <v>177</v>
      </c>
      <c r="AG130" s="3" t="s">
        <v>333</v>
      </c>
      <c r="AH130" s="3" t="s">
        <v>180</v>
      </c>
      <c r="AI130" s="3" t="s">
        <v>244</v>
      </c>
      <c r="AJ130" s="3" t="s">
        <v>244</v>
      </c>
      <c r="AK130" s="3" t="s">
        <v>244</v>
      </c>
      <c r="AL130" s="3" t="s">
        <v>288</v>
      </c>
      <c r="AM130" s="3" t="s">
        <v>479</v>
      </c>
      <c r="AN130" s="3" t="s">
        <v>244</v>
      </c>
      <c r="AO130" s="3" t="s">
        <v>247</v>
      </c>
      <c r="AP130" s="3" t="s">
        <v>244</v>
      </c>
      <c r="AQ130" s="3" t="s">
        <v>394</v>
      </c>
      <c r="AR130" s="3" t="s">
        <v>288</v>
      </c>
      <c r="AS130" s="3" t="s">
        <v>244</v>
      </c>
      <c r="AT130" s="3" t="s">
        <v>244</v>
      </c>
      <c r="AU130" s="3" t="s">
        <v>244</v>
      </c>
      <c r="AV130" s="3" t="s">
        <v>288</v>
      </c>
      <c r="AW130" s="3" t="s">
        <v>244</v>
      </c>
      <c r="AX130" s="3" t="s">
        <v>244</v>
      </c>
      <c r="AY130" s="3" t="s">
        <v>247</v>
      </c>
    </row>
    <row r="131" spans="1:51" ht="15.75" customHeight="1">
      <c r="A131" s="3">
        <v>177</v>
      </c>
      <c r="B131" s="5" t="str">
        <f t="shared" si="0"/>
        <v>http://roarmap.eprints.org/177/</v>
      </c>
      <c r="C131" s="3">
        <v>3</v>
      </c>
      <c r="D131" s="3" t="s">
        <v>98</v>
      </c>
      <c r="E131" s="3">
        <v>1</v>
      </c>
      <c r="F131" s="3" t="s">
        <v>791</v>
      </c>
      <c r="G131" s="3">
        <v>41988.923333333332</v>
      </c>
      <c r="H131" s="3">
        <v>41988.923333333332</v>
      </c>
      <c r="I131" s="3">
        <v>41988.923333333332</v>
      </c>
      <c r="J131" s="3" t="s">
        <v>103</v>
      </c>
      <c r="K131" s="3" t="s">
        <v>105</v>
      </c>
      <c r="L131" s="3" t="s">
        <v>792</v>
      </c>
      <c r="M131" s="3" t="s">
        <v>374</v>
      </c>
      <c r="N131" s="3" t="s">
        <v>793</v>
      </c>
      <c r="O131" s="3" t="s">
        <v>794</v>
      </c>
      <c r="P131" s="3" t="s">
        <v>795</v>
      </c>
      <c r="Q131" t="str">
        <f t="shared" ref="Q131:Q194" si="10">CONCATENATE("http://roarmap.eprints.org/view/country/",T131,".html")</f>
        <v>http://roarmap.eprints.org/view/country/233.html</v>
      </c>
      <c r="R131" s="3">
        <v>233</v>
      </c>
      <c r="S131" s="6" t="s">
        <v>147</v>
      </c>
      <c r="T131" s="9">
        <v>233</v>
      </c>
      <c r="U131" s="7" t="s">
        <v>123</v>
      </c>
      <c r="V131" s="6" t="s">
        <v>125</v>
      </c>
      <c r="W131" s="3" t="s">
        <v>158</v>
      </c>
      <c r="X131" s="3" t="s">
        <v>376</v>
      </c>
      <c r="Y131" s="3" t="s">
        <v>792</v>
      </c>
      <c r="Z131" s="8" t="str">
        <f>HYPERLINK("http://www.etag.ee/en/estonian-research-council/","http://www.etag.ee/en/estonian-research-council/")</f>
        <v>http://www.etag.ee/en/estonian-research-council/</v>
      </c>
      <c r="AA131" s="8" t="str">
        <f>HYPERLINK("http://www.etag.ee/rahastamine/personaalne-uurimistoetus/put-taotlusvoor-2013/","http://www.etag.ee/rahastamine/personaalne-uurimistoetus/put-taotlusvoor-2013/")</f>
        <v>http://www.etag.ee/rahastamine/personaalne-uurimistoetus/put-taotlusvoor-2013/</v>
      </c>
      <c r="AB131" s="8" t="str">
        <f>HYPERLINK("https://www.etis.ee/portaal/tTpublikatsioonid.aspx?lang=en","https://www.etis.ee/portaal/tTpublikatsioonid.aspx?lang=en")</f>
        <v>https://www.etis.ee/portaal/tTpublikatsioonid.aspx?lang=en</v>
      </c>
      <c r="AC131" s="3">
        <v>41150</v>
      </c>
      <c r="AE131" s="3">
        <v>41523</v>
      </c>
      <c r="AF131" s="3" t="s">
        <v>177</v>
      </c>
      <c r="AG131" s="3" t="s">
        <v>178</v>
      </c>
      <c r="AH131" s="3" t="s">
        <v>180</v>
      </c>
      <c r="AI131" s="3" t="s">
        <v>392</v>
      </c>
      <c r="AJ131" s="3" t="s">
        <v>182</v>
      </c>
      <c r="AK131" s="3" t="s">
        <v>183</v>
      </c>
      <c r="AL131" s="3" t="s">
        <v>244</v>
      </c>
      <c r="AM131" s="3" t="s">
        <v>479</v>
      </c>
      <c r="AN131" s="3" t="s">
        <v>244</v>
      </c>
      <c r="AO131" s="3" t="s">
        <v>181</v>
      </c>
      <c r="AP131" s="3" t="s">
        <v>189</v>
      </c>
      <c r="AQ131" s="3" t="s">
        <v>247</v>
      </c>
      <c r="AR131" s="3" t="s">
        <v>288</v>
      </c>
      <c r="AS131" s="3" t="s">
        <v>288</v>
      </c>
      <c r="AT131" s="3" t="s">
        <v>244</v>
      </c>
      <c r="AU131" s="3" t="s">
        <v>244</v>
      </c>
      <c r="AV131" s="3" t="s">
        <v>288</v>
      </c>
      <c r="AW131" s="3" t="s">
        <v>371</v>
      </c>
      <c r="AX131" s="3" t="s">
        <v>244</v>
      </c>
      <c r="AY131" s="3" t="s">
        <v>198</v>
      </c>
    </row>
    <row r="132" spans="1:51" ht="15.75" customHeight="1">
      <c r="A132" s="3">
        <v>176</v>
      </c>
      <c r="B132" s="5" t="str">
        <f t="shared" si="0"/>
        <v>http://roarmap.eprints.org/176/</v>
      </c>
      <c r="C132" s="3">
        <v>3</v>
      </c>
      <c r="D132" s="3" t="s">
        <v>98</v>
      </c>
      <c r="E132" s="3">
        <v>1</v>
      </c>
      <c r="F132" s="3" t="s">
        <v>796</v>
      </c>
      <c r="G132" s="3">
        <v>41988.923333333332</v>
      </c>
      <c r="H132" s="3">
        <v>41988.923333333332</v>
      </c>
      <c r="I132" s="3">
        <v>41988.923333333332</v>
      </c>
      <c r="J132" s="3" t="s">
        <v>103</v>
      </c>
      <c r="K132" s="3" t="s">
        <v>105</v>
      </c>
      <c r="L132" s="3" t="s">
        <v>797</v>
      </c>
      <c r="M132" s="3" t="s">
        <v>637</v>
      </c>
      <c r="N132" s="3" t="s">
        <v>798</v>
      </c>
      <c r="O132" s="3" t="s">
        <v>794</v>
      </c>
      <c r="P132" s="3" t="s">
        <v>795</v>
      </c>
      <c r="Q132" t="str">
        <f t="shared" si="10"/>
        <v>http://roarmap.eprints.org/view/country/233.html</v>
      </c>
      <c r="R132" s="3">
        <v>233</v>
      </c>
      <c r="S132" s="6" t="s">
        <v>147</v>
      </c>
      <c r="T132" s="9">
        <v>233</v>
      </c>
      <c r="U132" s="7" t="s">
        <v>123</v>
      </c>
      <c r="V132" s="6" t="s">
        <v>125</v>
      </c>
      <c r="W132" s="3" t="s">
        <v>158</v>
      </c>
      <c r="X132" s="3" t="s">
        <v>376</v>
      </c>
      <c r="Y132" s="3" t="s">
        <v>797</v>
      </c>
      <c r="Z132" s="8" t="str">
        <f>HYPERLINK("http://www.hm.ee/?1","http://www.hm.ee/?1")</f>
        <v>http://www.hm.ee/?1</v>
      </c>
      <c r="AA132" s="8" t="str">
        <f>HYPERLINK("https://www.riigiteataja.ee/akt/119022014016","https://www.riigiteataja.ee/akt/119022014016")</f>
        <v>https://www.riigiteataja.ee/akt/119022014016</v>
      </c>
      <c r="AB132" s="8" t="str">
        <f>HYPERLINK("http://www.etis.ee","www.etis.ee")</f>
        <v>www.etis.ee</v>
      </c>
      <c r="AC132" s="3">
        <v>40904</v>
      </c>
      <c r="AD132" s="3">
        <v>40969</v>
      </c>
      <c r="AE132" s="3">
        <v>41692</v>
      </c>
      <c r="AF132" s="3" t="s">
        <v>177</v>
      </c>
      <c r="AG132" s="3" t="s">
        <v>178</v>
      </c>
      <c r="AH132" s="3" t="s">
        <v>180</v>
      </c>
      <c r="AI132" s="3" t="s">
        <v>392</v>
      </c>
      <c r="AJ132" s="3" t="s">
        <v>182</v>
      </c>
      <c r="AK132" s="3" t="s">
        <v>183</v>
      </c>
      <c r="AL132" s="3" t="s">
        <v>244</v>
      </c>
      <c r="AM132" s="3" t="s">
        <v>479</v>
      </c>
      <c r="AN132" s="3" t="s">
        <v>189</v>
      </c>
      <c r="AO132" s="3" t="s">
        <v>181</v>
      </c>
      <c r="AP132" s="3" t="s">
        <v>189</v>
      </c>
      <c r="AQ132" s="3" t="s">
        <v>247</v>
      </c>
      <c r="AR132" s="3" t="s">
        <v>288</v>
      </c>
      <c r="AS132" s="3" t="s">
        <v>189</v>
      </c>
      <c r="AT132" s="3" t="s">
        <v>244</v>
      </c>
      <c r="AU132" s="3" t="s">
        <v>244</v>
      </c>
      <c r="AV132" s="3" t="s">
        <v>288</v>
      </c>
      <c r="AW132" s="3" t="s">
        <v>371</v>
      </c>
      <c r="AX132" s="3" t="s">
        <v>244</v>
      </c>
      <c r="AY132" s="3" t="s">
        <v>198</v>
      </c>
    </row>
    <row r="133" spans="1:51" ht="15.75" customHeight="1">
      <c r="A133" s="3">
        <v>175</v>
      </c>
      <c r="B133" s="5" t="str">
        <f t="shared" si="0"/>
        <v>http://roarmap.eprints.org/175/</v>
      </c>
      <c r="C133" s="3">
        <v>4</v>
      </c>
      <c r="D133" s="3" t="s">
        <v>98</v>
      </c>
      <c r="E133" s="3">
        <v>1</v>
      </c>
      <c r="F133" s="3" t="s">
        <v>799</v>
      </c>
      <c r="G133" s="3">
        <v>41988.923333333332</v>
      </c>
      <c r="H133" s="3">
        <v>42020.628136574072</v>
      </c>
      <c r="I133" s="3">
        <v>41988.923333333332</v>
      </c>
      <c r="J133" s="3" t="s">
        <v>103</v>
      </c>
      <c r="K133" s="3" t="s">
        <v>105</v>
      </c>
      <c r="L133" s="3" t="s">
        <v>800</v>
      </c>
      <c r="M133" s="3" t="s">
        <v>374</v>
      </c>
      <c r="N133" s="3" t="s">
        <v>801</v>
      </c>
      <c r="P133" s="3" t="s">
        <v>795</v>
      </c>
      <c r="Q133" t="str">
        <f t="shared" si="10"/>
        <v>http://roarmap.eprints.org/view/country/233.html</v>
      </c>
      <c r="R133" s="3">
        <v>233</v>
      </c>
      <c r="S133" s="6" t="s">
        <v>147</v>
      </c>
      <c r="T133" s="9">
        <v>233</v>
      </c>
      <c r="U133" s="7" t="s">
        <v>123</v>
      </c>
      <c r="V133" s="6" t="s">
        <v>125</v>
      </c>
      <c r="W133" s="3" t="s">
        <v>158</v>
      </c>
      <c r="X133" s="3" t="s">
        <v>376</v>
      </c>
      <c r="Y133" s="3" t="s">
        <v>802</v>
      </c>
      <c r="Z133" s="3" t="s">
        <v>803</v>
      </c>
      <c r="AA133" s="8" t="str">
        <f>HYPERLINK("https://www.riigiteataja.ee/aktilisa/3290/1201/4002/strateegia.pdf","https://www.riigiteataja.ee/aktilisa/3290/1201/4002/strateegia.pdf")</f>
        <v>https://www.riigiteataja.ee/aktilisa/3290/1201/4002/strateegia.pdf</v>
      </c>
      <c r="AC133" s="3">
        <v>41426</v>
      </c>
      <c r="AD133" s="3">
        <v>41640</v>
      </c>
      <c r="AF133" s="3" t="s">
        <v>371</v>
      </c>
      <c r="AG133" s="3" t="s">
        <v>333</v>
      </c>
      <c r="AH133" s="3" t="s">
        <v>244</v>
      </c>
      <c r="AI133" s="3" t="s">
        <v>244</v>
      </c>
      <c r="AJ133" s="3" t="s">
        <v>244</v>
      </c>
      <c r="AK133" s="3" t="s">
        <v>244</v>
      </c>
      <c r="AL133" s="3" t="s">
        <v>288</v>
      </c>
      <c r="AM133" s="3" t="s">
        <v>479</v>
      </c>
      <c r="AN133" s="3" t="s">
        <v>244</v>
      </c>
      <c r="AO133" s="3" t="s">
        <v>247</v>
      </c>
      <c r="AP133" s="3" t="s">
        <v>244</v>
      </c>
      <c r="AQ133" s="3" t="s">
        <v>247</v>
      </c>
      <c r="AR133" s="3" t="s">
        <v>288</v>
      </c>
      <c r="AS133" s="3" t="s">
        <v>288</v>
      </c>
      <c r="AT133" s="3" t="s">
        <v>244</v>
      </c>
      <c r="AU133" s="3" t="s">
        <v>244</v>
      </c>
      <c r="AV133" s="3" t="s">
        <v>288</v>
      </c>
      <c r="AW133" s="3" t="s">
        <v>371</v>
      </c>
      <c r="AX133" s="3" t="s">
        <v>371</v>
      </c>
      <c r="AY133" s="3" t="s">
        <v>247</v>
      </c>
    </row>
    <row r="134" spans="1:51" ht="15.75" customHeight="1">
      <c r="A134" s="3">
        <v>678</v>
      </c>
      <c r="B134" s="5" t="str">
        <f t="shared" si="0"/>
        <v>http://roarmap.eprints.org/678/</v>
      </c>
      <c r="C134" s="3">
        <v>5</v>
      </c>
      <c r="D134" s="3" t="s">
        <v>98</v>
      </c>
      <c r="E134" s="3">
        <v>412</v>
      </c>
      <c r="F134" s="3" t="s">
        <v>804</v>
      </c>
      <c r="G134" s="3">
        <v>42076.563414351855</v>
      </c>
      <c r="H134" s="3">
        <v>42076.563414351855</v>
      </c>
      <c r="I134" s="3">
        <v>42076.563414351855</v>
      </c>
      <c r="J134" s="3" t="s">
        <v>103</v>
      </c>
      <c r="K134" s="3" t="s">
        <v>105</v>
      </c>
      <c r="L134" s="3" t="s">
        <v>805</v>
      </c>
      <c r="P134" s="3" t="s">
        <v>805</v>
      </c>
      <c r="Q134" t="str">
        <f t="shared" si="10"/>
        <v>http://roarmap.eprints.org/view/country/246.html</v>
      </c>
      <c r="R134" s="3">
        <v>246</v>
      </c>
      <c r="S134" s="6" t="s">
        <v>151</v>
      </c>
      <c r="T134" s="9">
        <v>246</v>
      </c>
      <c r="U134" s="7" t="s">
        <v>123</v>
      </c>
      <c r="V134" s="6" t="s">
        <v>125</v>
      </c>
      <c r="W134" s="3" t="s">
        <v>158</v>
      </c>
      <c r="X134" s="3" t="s">
        <v>160</v>
      </c>
      <c r="Y134" s="3" t="s">
        <v>805</v>
      </c>
      <c r="Z134" s="8" t="str">
        <f>HYPERLINK("http://www.aalto.fi/en/","http://www.aalto.fi/en/")</f>
        <v>http://www.aalto.fi/en/</v>
      </c>
      <c r="AA134" s="8" t="str">
        <f>HYPERLINK("http://libguides.aalto.fi/content.php?pid=621981&amp;sid=5317221","http://libguides.aalto.fi/content.php?pid=621981&amp;sid=5317221")</f>
        <v>http://libguides.aalto.fi/content.php?pid=621981&amp;sid=5317221</v>
      </c>
      <c r="AB134" s="8" t="str">
        <f>HYPERLINK("https://aaltodoc.aalto.fi/","https://aaltodoc.aalto.fi/")</f>
        <v>https://aaltodoc.aalto.fi/</v>
      </c>
      <c r="AC134" s="3">
        <v>41791</v>
      </c>
      <c r="AD134" s="3">
        <v>41791</v>
      </c>
      <c r="AF134" s="3" t="s">
        <v>177</v>
      </c>
      <c r="AG134" s="3" t="s">
        <v>333</v>
      </c>
      <c r="AH134" s="3" t="s">
        <v>180</v>
      </c>
      <c r="AI134" s="3" t="s">
        <v>181</v>
      </c>
      <c r="AJ134" s="3" t="s">
        <v>182</v>
      </c>
      <c r="AK134" s="3" t="s">
        <v>393</v>
      </c>
      <c r="AL134" s="3" t="s">
        <v>189</v>
      </c>
      <c r="AM134" s="3" t="s">
        <v>479</v>
      </c>
      <c r="AN134" s="3" t="s">
        <v>189</v>
      </c>
      <c r="AO134" s="3" t="s">
        <v>181</v>
      </c>
      <c r="AP134" s="3" t="s">
        <v>185</v>
      </c>
      <c r="AQ134" s="3" t="s">
        <v>190</v>
      </c>
      <c r="AR134" s="3" t="s">
        <v>189</v>
      </c>
      <c r="AS134" s="3" t="s">
        <v>189</v>
      </c>
      <c r="AT134" s="3" t="s">
        <v>244</v>
      </c>
      <c r="AU134" s="3" t="s">
        <v>244</v>
      </c>
      <c r="AV134" s="3" t="s">
        <v>244</v>
      </c>
      <c r="AW134" s="3" t="s">
        <v>244</v>
      </c>
      <c r="AX134" s="3" t="s">
        <v>442</v>
      </c>
      <c r="AY134" s="3" t="s">
        <v>521</v>
      </c>
    </row>
    <row r="135" spans="1:51" ht="15.75" customHeight="1">
      <c r="A135" s="3">
        <v>108</v>
      </c>
      <c r="B135" s="5" t="str">
        <f t="shared" si="0"/>
        <v>http://roarmap.eprints.org/108/</v>
      </c>
      <c r="C135" s="3">
        <v>3</v>
      </c>
      <c r="D135" s="3" t="s">
        <v>98</v>
      </c>
      <c r="E135" s="3">
        <v>1</v>
      </c>
      <c r="F135" s="3" t="s">
        <v>806</v>
      </c>
      <c r="G135" s="3">
        <v>41988.923252314817</v>
      </c>
      <c r="H135" s="3">
        <v>41988.923252314817</v>
      </c>
      <c r="I135" s="3">
        <v>41988.923252314817</v>
      </c>
      <c r="J135" s="3" t="s">
        <v>103</v>
      </c>
      <c r="K135" s="3" t="s">
        <v>105</v>
      </c>
      <c r="L135" s="3" t="s">
        <v>807</v>
      </c>
      <c r="M135" s="3" t="s">
        <v>374</v>
      </c>
      <c r="N135" s="3" t="s">
        <v>808</v>
      </c>
      <c r="O135" s="3" t="s">
        <v>809</v>
      </c>
      <c r="P135" s="3" t="s">
        <v>215</v>
      </c>
      <c r="Q135" t="str">
        <f t="shared" si="10"/>
        <v>http://roarmap.eprints.org/view/country/246.html</v>
      </c>
      <c r="R135" s="3">
        <v>246</v>
      </c>
      <c r="S135" s="6" t="s">
        <v>151</v>
      </c>
      <c r="T135" s="9">
        <v>246</v>
      </c>
      <c r="U135" s="7" t="s">
        <v>123</v>
      </c>
      <c r="V135" s="6" t="s">
        <v>125</v>
      </c>
      <c r="W135" s="3" t="s">
        <v>158</v>
      </c>
      <c r="X135" s="3" t="s">
        <v>160</v>
      </c>
      <c r="Y135" s="3" t="s">
        <v>807</v>
      </c>
      <c r="Z135" s="8" t="str">
        <f>HYPERLINK("http://www.arcada.fi/en","http://www.arcada.fi/en")</f>
        <v>http://www.arcada.fi/en</v>
      </c>
      <c r="AA135" s="8" t="str">
        <f t="shared" ref="AA135:AA146" si="11">HYPERLINK("http://www.arene.fi/data/dokumentit/52bd599d-66f6-41a9-8cb7-6e151ec677d5_open%20access%20julkilausuma.pdf","http://www.arene.fi/data/dokumentit/52bd599d-66f6-41a9-8cb7-6e151ec677d5_open%20access%20julkilausuma.pdf")</f>
        <v>http://www.arene.fi/data/dokumentit/52bd599d-66f6-41a9-8cb7-6e151ec677d5_open%20access%20julkilausuma.pdf</v>
      </c>
      <c r="AB135" s="8" t="str">
        <f t="shared" ref="AB135:AB139" si="12">HYPERLINK("http://www.theseus.fi/","http://www.theseus.fi/")</f>
        <v>http://www.theseus.fi/</v>
      </c>
      <c r="AC135" s="3">
        <v>40108</v>
      </c>
      <c r="AD135" s="3">
        <v>40179</v>
      </c>
      <c r="AF135" s="3" t="s">
        <v>177</v>
      </c>
      <c r="AG135" s="3" t="s">
        <v>178</v>
      </c>
      <c r="AH135" s="3" t="s">
        <v>180</v>
      </c>
      <c r="AI135" s="3" t="s">
        <v>244</v>
      </c>
      <c r="AJ135" s="3" t="s">
        <v>182</v>
      </c>
      <c r="AK135" s="3" t="s">
        <v>244</v>
      </c>
      <c r="AL135" s="3" t="s">
        <v>244</v>
      </c>
      <c r="AM135" s="3" t="s">
        <v>178</v>
      </c>
      <c r="AN135" s="3" t="s">
        <v>244</v>
      </c>
      <c r="AO135" s="3" t="s">
        <v>247</v>
      </c>
      <c r="AP135" s="3" t="s">
        <v>244</v>
      </c>
      <c r="AQ135" s="3" t="s">
        <v>247</v>
      </c>
      <c r="AR135" s="3" t="s">
        <v>288</v>
      </c>
      <c r="AS135" s="3" t="s">
        <v>185</v>
      </c>
      <c r="AT135" s="3" t="s">
        <v>244</v>
      </c>
      <c r="AU135" s="3" t="s">
        <v>244</v>
      </c>
      <c r="AV135" s="3" t="s">
        <v>288</v>
      </c>
      <c r="AW135" s="3" t="s">
        <v>339</v>
      </c>
      <c r="AX135" s="3" t="s">
        <v>341</v>
      </c>
      <c r="AY135" s="3" t="s">
        <v>247</v>
      </c>
    </row>
    <row r="136" spans="1:51" ht="15.75" customHeight="1">
      <c r="A136" s="3">
        <v>109</v>
      </c>
      <c r="B136" s="5" t="str">
        <f t="shared" si="0"/>
        <v>http://roarmap.eprints.org/109/</v>
      </c>
      <c r="C136" s="3">
        <v>3</v>
      </c>
      <c r="D136" s="3" t="s">
        <v>98</v>
      </c>
      <c r="E136" s="3">
        <v>1</v>
      </c>
      <c r="F136" s="3" t="s">
        <v>810</v>
      </c>
      <c r="G136" s="3">
        <v>41988.923252314817</v>
      </c>
      <c r="H136" s="3">
        <v>41988.923252314817</v>
      </c>
      <c r="I136" s="3">
        <v>41988.923252314817</v>
      </c>
      <c r="J136" s="3" t="s">
        <v>103</v>
      </c>
      <c r="K136" s="3" t="s">
        <v>105</v>
      </c>
      <c r="L136" s="3" t="s">
        <v>811</v>
      </c>
      <c r="M136" s="3" t="s">
        <v>374</v>
      </c>
      <c r="N136" s="3" t="s">
        <v>812</v>
      </c>
      <c r="P136" s="3" t="s">
        <v>215</v>
      </c>
      <c r="Q136" t="str">
        <f t="shared" si="10"/>
        <v>http://roarmap.eprints.org/view/country/246.html</v>
      </c>
      <c r="R136" s="3">
        <v>246</v>
      </c>
      <c r="S136" s="6" t="s">
        <v>151</v>
      </c>
      <c r="T136" s="9">
        <v>246</v>
      </c>
      <c r="U136" s="7" t="s">
        <v>123</v>
      </c>
      <c r="V136" s="6" t="s">
        <v>125</v>
      </c>
      <c r="W136" s="3" t="s">
        <v>158</v>
      </c>
      <c r="X136" s="3" t="s">
        <v>160</v>
      </c>
      <c r="Y136" s="3" t="s">
        <v>811</v>
      </c>
      <c r="Z136" s="8" t="str">
        <f>HYPERLINK("http://web.centria.fi/Default.aspx","http://web.centria.fi/Default.aspx")</f>
        <v>http://web.centria.fi/Default.aspx</v>
      </c>
      <c r="AA136" s="8" t="str">
        <f t="shared" si="11"/>
        <v>http://www.arene.fi/data/dokumentit/52bd599d-66f6-41a9-8cb7-6e151ec677d5_open%20access%20julkilausuma.pdf</v>
      </c>
      <c r="AB136" s="8" t="str">
        <f t="shared" si="12"/>
        <v>http://www.theseus.fi/</v>
      </c>
      <c r="AC136" s="3">
        <v>40108</v>
      </c>
      <c r="AD136" s="3">
        <v>40179</v>
      </c>
      <c r="AF136" s="3" t="s">
        <v>177</v>
      </c>
      <c r="AG136" s="3" t="s">
        <v>178</v>
      </c>
      <c r="AH136" s="3" t="s">
        <v>180</v>
      </c>
      <c r="AI136" s="3" t="s">
        <v>244</v>
      </c>
      <c r="AJ136" s="3" t="s">
        <v>182</v>
      </c>
      <c r="AK136" s="3" t="s">
        <v>244</v>
      </c>
      <c r="AL136" s="3" t="s">
        <v>244</v>
      </c>
      <c r="AM136" s="3" t="s">
        <v>178</v>
      </c>
      <c r="AN136" s="3" t="s">
        <v>244</v>
      </c>
      <c r="AO136" s="3" t="s">
        <v>247</v>
      </c>
      <c r="AP136" s="3" t="s">
        <v>244</v>
      </c>
      <c r="AQ136" s="3" t="s">
        <v>247</v>
      </c>
      <c r="AR136" s="3" t="s">
        <v>288</v>
      </c>
      <c r="AS136" s="3" t="s">
        <v>185</v>
      </c>
      <c r="AT136" s="3" t="s">
        <v>244</v>
      </c>
      <c r="AU136" s="3" t="s">
        <v>244</v>
      </c>
      <c r="AV136" s="3" t="s">
        <v>288</v>
      </c>
      <c r="AW136" s="3" t="s">
        <v>339</v>
      </c>
      <c r="AX136" s="3" t="s">
        <v>341</v>
      </c>
      <c r="AY136" s="3" t="s">
        <v>247</v>
      </c>
    </row>
    <row r="137" spans="1:51" ht="15.75" customHeight="1">
      <c r="A137" s="3">
        <v>110</v>
      </c>
      <c r="B137" s="5" t="str">
        <f t="shared" si="0"/>
        <v>http://roarmap.eprints.org/110/</v>
      </c>
      <c r="C137" s="3">
        <v>3</v>
      </c>
      <c r="D137" s="3" t="s">
        <v>98</v>
      </c>
      <c r="E137" s="3">
        <v>1</v>
      </c>
      <c r="F137" s="3" t="s">
        <v>813</v>
      </c>
      <c r="G137" s="3">
        <v>41988.923252314817</v>
      </c>
      <c r="H137" s="3">
        <v>41988.923252314817</v>
      </c>
      <c r="I137" s="3">
        <v>41988.923252314817</v>
      </c>
      <c r="J137" s="3" t="s">
        <v>103</v>
      </c>
      <c r="K137" s="3" t="s">
        <v>105</v>
      </c>
      <c r="L137" s="3" t="s">
        <v>814</v>
      </c>
      <c r="M137" s="3" t="s">
        <v>374</v>
      </c>
      <c r="N137" s="3" t="s">
        <v>815</v>
      </c>
      <c r="P137" s="3" t="s">
        <v>215</v>
      </c>
      <c r="Q137" t="str">
        <f t="shared" si="10"/>
        <v>http://roarmap.eprints.org/view/country/246.html</v>
      </c>
      <c r="R137" s="3">
        <v>246</v>
      </c>
      <c r="S137" s="6" t="s">
        <v>151</v>
      </c>
      <c r="T137" s="9">
        <v>246</v>
      </c>
      <c r="U137" s="7" t="s">
        <v>123</v>
      </c>
      <c r="V137" s="6" t="s">
        <v>125</v>
      </c>
      <c r="W137" s="3" t="s">
        <v>158</v>
      </c>
      <c r="X137" s="3" t="s">
        <v>160</v>
      </c>
      <c r="Y137" s="3" t="s">
        <v>814</v>
      </c>
      <c r="Z137" s="8" t="str">
        <f>HYPERLINK("http://www.diak.fi/Sivut/default.aspx","http://www.diak.fi/Sivut/default.aspx")</f>
        <v>http://www.diak.fi/Sivut/default.aspx</v>
      </c>
      <c r="AA137" s="8" t="str">
        <f t="shared" si="11"/>
        <v>http://www.arene.fi/data/dokumentit/52bd599d-66f6-41a9-8cb7-6e151ec677d5_open%20access%20julkilausuma.pdf</v>
      </c>
      <c r="AB137" s="8" t="str">
        <f t="shared" si="12"/>
        <v>http://www.theseus.fi/</v>
      </c>
      <c r="AC137" s="3">
        <v>40108</v>
      </c>
      <c r="AD137" s="3">
        <v>40179</v>
      </c>
      <c r="AF137" s="3" t="s">
        <v>177</v>
      </c>
      <c r="AG137" s="3" t="s">
        <v>178</v>
      </c>
      <c r="AH137" s="3" t="s">
        <v>180</v>
      </c>
      <c r="AI137" s="3" t="s">
        <v>244</v>
      </c>
      <c r="AJ137" s="3" t="s">
        <v>182</v>
      </c>
      <c r="AK137" s="3" t="s">
        <v>244</v>
      </c>
      <c r="AL137" s="3" t="s">
        <v>244</v>
      </c>
      <c r="AM137" s="3" t="s">
        <v>178</v>
      </c>
      <c r="AN137" s="3" t="s">
        <v>244</v>
      </c>
      <c r="AO137" s="3" t="s">
        <v>247</v>
      </c>
      <c r="AP137" s="3" t="s">
        <v>244</v>
      </c>
      <c r="AQ137" s="3" t="s">
        <v>247</v>
      </c>
      <c r="AR137" s="3" t="s">
        <v>288</v>
      </c>
      <c r="AS137" s="3" t="s">
        <v>185</v>
      </c>
      <c r="AT137" s="3" t="s">
        <v>244</v>
      </c>
      <c r="AU137" s="3" t="s">
        <v>244</v>
      </c>
      <c r="AV137" s="3" t="s">
        <v>288</v>
      </c>
      <c r="AW137" s="3" t="s">
        <v>339</v>
      </c>
      <c r="AX137" s="3" t="s">
        <v>341</v>
      </c>
      <c r="AY137" s="3" t="s">
        <v>247</v>
      </c>
    </row>
    <row r="138" spans="1:51" ht="15.75" customHeight="1">
      <c r="A138" s="3">
        <v>111</v>
      </c>
      <c r="B138" s="5" t="str">
        <f t="shared" si="0"/>
        <v>http://roarmap.eprints.org/111/</v>
      </c>
      <c r="C138" s="3">
        <v>3</v>
      </c>
      <c r="D138" s="3" t="s">
        <v>98</v>
      </c>
      <c r="E138" s="3">
        <v>1</v>
      </c>
      <c r="F138" s="3" t="s">
        <v>816</v>
      </c>
      <c r="G138" s="3">
        <v>41988.923252314817</v>
      </c>
      <c r="H138" s="3">
        <v>41988.923252314817</v>
      </c>
      <c r="I138" s="3">
        <v>41988.923252314817</v>
      </c>
      <c r="J138" s="3" t="s">
        <v>103</v>
      </c>
      <c r="K138" s="3" t="s">
        <v>105</v>
      </c>
      <c r="L138" s="3" t="s">
        <v>817</v>
      </c>
      <c r="M138" s="3" t="s">
        <v>374</v>
      </c>
      <c r="N138" s="3" t="s">
        <v>815</v>
      </c>
      <c r="P138" s="3" t="s">
        <v>215</v>
      </c>
      <c r="Q138" t="str">
        <f t="shared" si="10"/>
        <v>http://roarmap.eprints.org/view/country/246.html</v>
      </c>
      <c r="R138" s="3">
        <v>246</v>
      </c>
      <c r="S138" s="6" t="s">
        <v>151</v>
      </c>
      <c r="T138" s="9">
        <v>246</v>
      </c>
      <c r="U138" s="7" t="s">
        <v>123</v>
      </c>
      <c r="V138" s="6" t="s">
        <v>125</v>
      </c>
      <c r="W138" s="3" t="s">
        <v>158</v>
      </c>
      <c r="X138" s="3" t="s">
        <v>160</v>
      </c>
      <c r="Y138" s="3" t="s">
        <v>817</v>
      </c>
      <c r="Z138" s="8" t="str">
        <f>HYPERLINK("http://www.haaga-helia.fi/en/frontpage","http://www.haaga-helia.fi/en/frontpage")</f>
        <v>http://www.haaga-helia.fi/en/frontpage</v>
      </c>
      <c r="AA138" s="8" t="str">
        <f t="shared" si="11"/>
        <v>http://www.arene.fi/data/dokumentit/52bd599d-66f6-41a9-8cb7-6e151ec677d5_open%20access%20julkilausuma.pdf</v>
      </c>
      <c r="AB138" s="8" t="str">
        <f t="shared" si="12"/>
        <v>http://www.theseus.fi/</v>
      </c>
      <c r="AC138" s="3">
        <v>40108</v>
      </c>
      <c r="AD138" s="3">
        <v>40179</v>
      </c>
      <c r="AF138" s="3" t="s">
        <v>177</v>
      </c>
      <c r="AG138" s="3" t="s">
        <v>178</v>
      </c>
      <c r="AH138" s="3" t="s">
        <v>180</v>
      </c>
      <c r="AI138" s="3" t="s">
        <v>244</v>
      </c>
      <c r="AJ138" s="3" t="s">
        <v>182</v>
      </c>
      <c r="AK138" s="3" t="s">
        <v>244</v>
      </c>
      <c r="AL138" s="3" t="s">
        <v>244</v>
      </c>
      <c r="AM138" s="3" t="s">
        <v>178</v>
      </c>
      <c r="AN138" s="3" t="s">
        <v>244</v>
      </c>
      <c r="AO138" s="3" t="s">
        <v>247</v>
      </c>
      <c r="AP138" s="3" t="s">
        <v>244</v>
      </c>
      <c r="AQ138" s="3" t="s">
        <v>247</v>
      </c>
      <c r="AR138" s="3" t="s">
        <v>288</v>
      </c>
      <c r="AS138" s="3" t="s">
        <v>185</v>
      </c>
      <c r="AT138" s="3" t="s">
        <v>244</v>
      </c>
      <c r="AU138" s="3" t="s">
        <v>244</v>
      </c>
      <c r="AV138" s="3" t="s">
        <v>288</v>
      </c>
      <c r="AW138" s="3" t="s">
        <v>339</v>
      </c>
      <c r="AX138" s="3" t="s">
        <v>341</v>
      </c>
      <c r="AY138" s="3" t="s">
        <v>247</v>
      </c>
    </row>
    <row r="139" spans="1:51" ht="15.75" customHeight="1">
      <c r="A139" s="3">
        <v>112</v>
      </c>
      <c r="B139" s="5" t="str">
        <f t="shared" si="0"/>
        <v>http://roarmap.eprints.org/112/</v>
      </c>
      <c r="C139" s="3">
        <v>3</v>
      </c>
      <c r="D139" s="3" t="s">
        <v>98</v>
      </c>
      <c r="E139" s="3">
        <v>1</v>
      </c>
      <c r="F139" s="3" t="s">
        <v>818</v>
      </c>
      <c r="G139" s="3">
        <v>41988.923252314817</v>
      </c>
      <c r="H139" s="3">
        <v>41988.923252314817</v>
      </c>
      <c r="I139" s="3">
        <v>41988.923252314817</v>
      </c>
      <c r="J139" s="3" t="s">
        <v>103</v>
      </c>
      <c r="K139" s="3" t="s">
        <v>105</v>
      </c>
      <c r="L139" s="3" t="s">
        <v>819</v>
      </c>
      <c r="M139" s="3" t="s">
        <v>374</v>
      </c>
      <c r="N139" s="3" t="s">
        <v>820</v>
      </c>
      <c r="P139" s="3" t="s">
        <v>215</v>
      </c>
      <c r="Q139" t="str">
        <f t="shared" si="10"/>
        <v>http://roarmap.eprints.org/view/country/246.html</v>
      </c>
      <c r="R139" s="3">
        <v>246</v>
      </c>
      <c r="S139" s="6" t="s">
        <v>151</v>
      </c>
      <c r="T139" s="9">
        <v>246</v>
      </c>
      <c r="U139" s="7" t="s">
        <v>123</v>
      </c>
      <c r="V139" s="6" t="s">
        <v>125</v>
      </c>
      <c r="W139" s="3" t="s">
        <v>158</v>
      </c>
      <c r="X139" s="3" t="s">
        <v>160</v>
      </c>
      <c r="Y139" s="3" t="s">
        <v>819</v>
      </c>
      <c r="Z139" s="8" t="str">
        <f>HYPERLINK("http://portal.hamk.fi/portal/page/portal/HAMK/In_English","http://portal.hamk.fi/portal/page/portal/HAMK/In_English")</f>
        <v>http://portal.hamk.fi/portal/page/portal/HAMK/In_English</v>
      </c>
      <c r="AA139" s="8" t="str">
        <f t="shared" si="11"/>
        <v>http://www.arene.fi/data/dokumentit/52bd599d-66f6-41a9-8cb7-6e151ec677d5_open%20access%20julkilausuma.pdf</v>
      </c>
      <c r="AB139" s="8" t="str">
        <f t="shared" si="12"/>
        <v>http://www.theseus.fi/</v>
      </c>
      <c r="AC139" s="3">
        <v>40108</v>
      </c>
      <c r="AD139" s="3">
        <v>40179</v>
      </c>
      <c r="AF139" s="3" t="s">
        <v>177</v>
      </c>
      <c r="AG139" s="3" t="s">
        <v>178</v>
      </c>
      <c r="AH139" s="3" t="s">
        <v>180</v>
      </c>
      <c r="AI139" s="3" t="s">
        <v>244</v>
      </c>
      <c r="AJ139" s="3" t="s">
        <v>182</v>
      </c>
      <c r="AK139" s="3" t="s">
        <v>244</v>
      </c>
      <c r="AL139" s="3" t="s">
        <v>244</v>
      </c>
      <c r="AM139" s="3" t="s">
        <v>178</v>
      </c>
      <c r="AN139" s="3" t="s">
        <v>244</v>
      </c>
      <c r="AO139" s="3" t="s">
        <v>247</v>
      </c>
      <c r="AP139" s="3" t="s">
        <v>244</v>
      </c>
      <c r="AQ139" s="3" t="s">
        <v>247</v>
      </c>
      <c r="AR139" s="3" t="s">
        <v>288</v>
      </c>
      <c r="AS139" s="3" t="s">
        <v>185</v>
      </c>
      <c r="AT139" s="3" t="s">
        <v>244</v>
      </c>
      <c r="AU139" s="3" t="s">
        <v>244</v>
      </c>
      <c r="AV139" s="3" t="s">
        <v>288</v>
      </c>
      <c r="AW139" s="3" t="s">
        <v>339</v>
      </c>
      <c r="AX139" s="3" t="s">
        <v>341</v>
      </c>
      <c r="AY139" s="3" t="s">
        <v>247</v>
      </c>
    </row>
    <row r="140" spans="1:51" ht="15.75" customHeight="1">
      <c r="A140" s="3">
        <v>113</v>
      </c>
      <c r="B140" s="5" t="str">
        <f t="shared" si="0"/>
        <v>http://roarmap.eprints.org/113/</v>
      </c>
      <c r="C140" s="3">
        <v>3</v>
      </c>
      <c r="D140" s="3" t="s">
        <v>98</v>
      </c>
      <c r="E140" s="3">
        <v>1</v>
      </c>
      <c r="F140" s="3" t="s">
        <v>821</v>
      </c>
      <c r="G140" s="3">
        <v>41988.923252314817</v>
      </c>
      <c r="H140" s="3">
        <v>41988.923252314817</v>
      </c>
      <c r="I140" s="3">
        <v>41988.923252314817</v>
      </c>
      <c r="J140" s="3" t="s">
        <v>103</v>
      </c>
      <c r="K140" s="3" t="s">
        <v>105</v>
      </c>
      <c r="L140" s="3" t="s">
        <v>822</v>
      </c>
      <c r="M140" s="3" t="s">
        <v>374</v>
      </c>
      <c r="N140" s="3" t="s">
        <v>815</v>
      </c>
      <c r="P140" s="3" t="s">
        <v>215</v>
      </c>
      <c r="Q140" t="str">
        <f t="shared" si="10"/>
        <v>http://roarmap.eprints.org/view/country/246.html</v>
      </c>
      <c r="R140" s="3">
        <v>246</v>
      </c>
      <c r="S140" s="6" t="s">
        <v>151</v>
      </c>
      <c r="T140" s="9">
        <v>246</v>
      </c>
      <c r="U140" s="7" t="s">
        <v>123</v>
      </c>
      <c r="V140" s="6" t="s">
        <v>125</v>
      </c>
      <c r="W140" s="3" t="s">
        <v>158</v>
      </c>
      <c r="X140" s="3" t="s">
        <v>160</v>
      </c>
      <c r="Y140" s="3" t="s">
        <v>822</v>
      </c>
      <c r="Z140" s="8" t="str">
        <f>HYPERLINK("http://www.humak.fi/en","http://www.humak.fi/en")</f>
        <v>http://www.humak.fi/en</v>
      </c>
      <c r="AA140" s="8" t="str">
        <f t="shared" si="11"/>
        <v>http://www.arene.fi/data/dokumentit/52bd599d-66f6-41a9-8cb7-6e151ec677d5_open%20access%20julkilausuma.pdf</v>
      </c>
      <c r="AB140" s="8" t="str">
        <f>HYPERLINK("http://theseus.fi/","http://theseus.fi/")</f>
        <v>http://theseus.fi/</v>
      </c>
      <c r="AC140" s="3">
        <v>40108</v>
      </c>
      <c r="AD140" s="3">
        <v>40179</v>
      </c>
      <c r="AF140" s="3" t="s">
        <v>177</v>
      </c>
      <c r="AG140" s="3" t="s">
        <v>178</v>
      </c>
      <c r="AH140" s="3" t="s">
        <v>180</v>
      </c>
      <c r="AI140" s="3" t="s">
        <v>244</v>
      </c>
      <c r="AJ140" s="3" t="s">
        <v>182</v>
      </c>
      <c r="AK140" s="3" t="s">
        <v>244</v>
      </c>
      <c r="AL140" s="3" t="s">
        <v>244</v>
      </c>
      <c r="AM140" s="3" t="s">
        <v>178</v>
      </c>
      <c r="AN140" s="3" t="s">
        <v>244</v>
      </c>
      <c r="AO140" s="3" t="s">
        <v>247</v>
      </c>
      <c r="AP140" s="3" t="s">
        <v>244</v>
      </c>
      <c r="AQ140" s="3" t="s">
        <v>247</v>
      </c>
      <c r="AR140" s="3" t="s">
        <v>288</v>
      </c>
      <c r="AS140" s="3" t="s">
        <v>185</v>
      </c>
      <c r="AT140" s="3" t="s">
        <v>244</v>
      </c>
      <c r="AU140" s="3" t="s">
        <v>244</v>
      </c>
      <c r="AV140" s="3" t="s">
        <v>288</v>
      </c>
      <c r="AW140" s="3" t="s">
        <v>339</v>
      </c>
      <c r="AX140" s="3" t="s">
        <v>341</v>
      </c>
      <c r="AY140" s="3" t="s">
        <v>247</v>
      </c>
    </row>
    <row r="141" spans="1:51" ht="15.75" customHeight="1">
      <c r="A141" s="3">
        <v>114</v>
      </c>
      <c r="B141" s="5" t="str">
        <f t="shared" si="0"/>
        <v>http://roarmap.eprints.org/114/</v>
      </c>
      <c r="C141" s="3">
        <v>3</v>
      </c>
      <c r="D141" s="3" t="s">
        <v>98</v>
      </c>
      <c r="E141" s="3">
        <v>1</v>
      </c>
      <c r="F141" s="3" t="s">
        <v>823</v>
      </c>
      <c r="G141" s="3">
        <v>41988.923252314817</v>
      </c>
      <c r="H141" s="3">
        <v>41988.923252314817</v>
      </c>
      <c r="I141" s="3">
        <v>41988.923252314817</v>
      </c>
      <c r="J141" s="3" t="s">
        <v>103</v>
      </c>
      <c r="K141" s="3" t="s">
        <v>105</v>
      </c>
      <c r="L141" s="3" t="s">
        <v>824</v>
      </c>
      <c r="M141" s="3" t="s">
        <v>374</v>
      </c>
      <c r="N141" s="3" t="s">
        <v>825</v>
      </c>
      <c r="P141" s="3" t="s">
        <v>215</v>
      </c>
      <c r="Q141" t="str">
        <f t="shared" si="10"/>
        <v>http://roarmap.eprints.org/view/country/246.html</v>
      </c>
      <c r="R141" s="3">
        <v>246</v>
      </c>
      <c r="S141" s="6" t="s">
        <v>151</v>
      </c>
      <c r="T141" s="9">
        <v>246</v>
      </c>
      <c r="U141" s="7" t="s">
        <v>123</v>
      </c>
      <c r="V141" s="6" t="s">
        <v>125</v>
      </c>
      <c r="W141" s="3" t="s">
        <v>158</v>
      </c>
      <c r="X141" s="3" t="s">
        <v>160</v>
      </c>
      <c r="Y141" s="3" t="s">
        <v>824</v>
      </c>
      <c r="Z141" s="8" t="str">
        <f>HYPERLINK("http://www.metropolia.fi/en/","http://www.metropolia.fi/en/")</f>
        <v>http://www.metropolia.fi/en/</v>
      </c>
      <c r="AA141" s="8" t="str">
        <f t="shared" si="11"/>
        <v>http://www.arene.fi/data/dokumentit/52bd599d-66f6-41a9-8cb7-6e151ec677d5_open%20access%20julkilausuma.pdf</v>
      </c>
      <c r="AB141" s="8" t="str">
        <f>HYPERLINK("http://www.theseus.fi/","http://www.theseus.fi/")</f>
        <v>http://www.theseus.fi/</v>
      </c>
      <c r="AC141" s="3">
        <v>40108</v>
      </c>
      <c r="AD141" s="3">
        <v>40179</v>
      </c>
      <c r="AF141" s="3" t="s">
        <v>177</v>
      </c>
      <c r="AG141" s="3" t="s">
        <v>178</v>
      </c>
      <c r="AH141" s="3" t="s">
        <v>180</v>
      </c>
      <c r="AI141" s="3" t="s">
        <v>244</v>
      </c>
      <c r="AJ141" s="3" t="s">
        <v>182</v>
      </c>
      <c r="AK141" s="3" t="s">
        <v>244</v>
      </c>
      <c r="AL141" s="3" t="s">
        <v>244</v>
      </c>
      <c r="AM141" s="3" t="s">
        <v>178</v>
      </c>
      <c r="AN141" s="3" t="s">
        <v>244</v>
      </c>
      <c r="AO141" s="3" t="s">
        <v>247</v>
      </c>
      <c r="AP141" s="3" t="s">
        <v>244</v>
      </c>
      <c r="AQ141" s="3" t="s">
        <v>247</v>
      </c>
      <c r="AR141" s="3" t="s">
        <v>288</v>
      </c>
      <c r="AS141" s="3" t="s">
        <v>185</v>
      </c>
      <c r="AT141" s="3" t="s">
        <v>244</v>
      </c>
      <c r="AU141" s="3" t="s">
        <v>244</v>
      </c>
      <c r="AV141" s="3" t="s">
        <v>288</v>
      </c>
      <c r="AW141" s="3" t="s">
        <v>339</v>
      </c>
      <c r="AX141" s="3" t="s">
        <v>341</v>
      </c>
      <c r="AY141" s="3" t="s">
        <v>247</v>
      </c>
    </row>
    <row r="142" spans="1:51" ht="15.75" customHeight="1">
      <c r="A142" s="3">
        <v>115</v>
      </c>
      <c r="B142" s="5" t="str">
        <f t="shared" si="0"/>
        <v>http://roarmap.eprints.org/115/</v>
      </c>
      <c r="C142" s="3">
        <v>3</v>
      </c>
      <c r="D142" s="3" t="s">
        <v>98</v>
      </c>
      <c r="E142" s="3">
        <v>1</v>
      </c>
      <c r="F142" s="3" t="s">
        <v>826</v>
      </c>
      <c r="G142" s="3">
        <v>41988.923252314817</v>
      </c>
      <c r="H142" s="3">
        <v>41988.923252314817</v>
      </c>
      <c r="I142" s="3">
        <v>41988.923252314817</v>
      </c>
      <c r="J142" s="3" t="s">
        <v>103</v>
      </c>
      <c r="K142" s="3" t="s">
        <v>105</v>
      </c>
      <c r="L142" s="3" t="s">
        <v>827</v>
      </c>
      <c r="M142" s="3" t="s">
        <v>374</v>
      </c>
      <c r="N142" s="3" t="s">
        <v>815</v>
      </c>
      <c r="O142" s="3" t="s">
        <v>828</v>
      </c>
      <c r="P142" s="3" t="s">
        <v>215</v>
      </c>
      <c r="Q142" t="str">
        <f t="shared" si="10"/>
        <v>http://roarmap.eprints.org/view/country/246.html</v>
      </c>
      <c r="R142" s="3">
        <v>246</v>
      </c>
      <c r="S142" s="6" t="s">
        <v>151</v>
      </c>
      <c r="T142" s="9">
        <v>246</v>
      </c>
      <c r="U142" s="7" t="s">
        <v>123</v>
      </c>
      <c r="V142" s="6" t="s">
        <v>125</v>
      </c>
      <c r="W142" s="3" t="s">
        <v>158</v>
      </c>
      <c r="X142" s="3" t="s">
        <v>160</v>
      </c>
      <c r="Y142" s="3" t="s">
        <v>827</v>
      </c>
      <c r="Z142" s="8" t="str">
        <f>HYPERLINK("https://www.jamk.fi/en/Home/","https://www.jamk.fi/en/Home/")</f>
        <v>https://www.jamk.fi/en/Home/</v>
      </c>
      <c r="AA142" s="8" t="str">
        <f t="shared" si="11"/>
        <v>http://www.arene.fi/data/dokumentit/52bd599d-66f6-41a9-8cb7-6e151ec677d5_open%20access%20julkilausuma.pdf</v>
      </c>
      <c r="AB142" s="8" t="str">
        <f t="shared" ref="AB142:AB146" si="13">HYPERLINK("http://theseus.fi/","http://theseus.fi/")</f>
        <v>http://theseus.fi/</v>
      </c>
      <c r="AC142" s="3">
        <v>40108</v>
      </c>
      <c r="AD142" s="3">
        <v>40179</v>
      </c>
      <c r="AF142" s="3" t="s">
        <v>177</v>
      </c>
      <c r="AG142" s="3" t="s">
        <v>178</v>
      </c>
      <c r="AH142" s="3" t="s">
        <v>180</v>
      </c>
      <c r="AI142" s="3" t="s">
        <v>244</v>
      </c>
      <c r="AJ142" s="3" t="s">
        <v>182</v>
      </c>
      <c r="AK142" s="3" t="s">
        <v>244</v>
      </c>
      <c r="AL142" s="3" t="s">
        <v>244</v>
      </c>
      <c r="AM142" s="3" t="s">
        <v>178</v>
      </c>
      <c r="AN142" s="3" t="s">
        <v>244</v>
      </c>
      <c r="AO142" s="3" t="s">
        <v>247</v>
      </c>
      <c r="AP142" s="3" t="s">
        <v>244</v>
      </c>
      <c r="AQ142" s="3" t="s">
        <v>247</v>
      </c>
      <c r="AR142" s="3" t="s">
        <v>288</v>
      </c>
      <c r="AS142" s="3" t="s">
        <v>185</v>
      </c>
      <c r="AT142" s="3" t="s">
        <v>244</v>
      </c>
      <c r="AU142" s="3" t="s">
        <v>244</v>
      </c>
      <c r="AV142" s="3" t="s">
        <v>288</v>
      </c>
      <c r="AW142" s="3" t="s">
        <v>339</v>
      </c>
      <c r="AX142" s="3" t="s">
        <v>341</v>
      </c>
      <c r="AY142" s="3" t="s">
        <v>247</v>
      </c>
    </row>
    <row r="143" spans="1:51" ht="15.75" customHeight="1">
      <c r="A143" s="3">
        <v>116</v>
      </c>
      <c r="B143" s="5" t="str">
        <f t="shared" si="0"/>
        <v>http://roarmap.eprints.org/116/</v>
      </c>
      <c r="C143" s="3">
        <v>3</v>
      </c>
      <c r="D143" s="3" t="s">
        <v>98</v>
      </c>
      <c r="E143" s="3">
        <v>1</v>
      </c>
      <c r="F143" s="3" t="s">
        <v>829</v>
      </c>
      <c r="G143" s="3">
        <v>41988.923252314817</v>
      </c>
      <c r="H143" s="3">
        <v>41988.923263888886</v>
      </c>
      <c r="I143" s="3">
        <v>41988.923252314817</v>
      </c>
      <c r="J143" s="3" t="s">
        <v>103</v>
      </c>
      <c r="K143" s="3" t="s">
        <v>105</v>
      </c>
      <c r="L143" s="3" t="s">
        <v>830</v>
      </c>
      <c r="M143" s="3" t="s">
        <v>374</v>
      </c>
      <c r="N143" s="3" t="s">
        <v>815</v>
      </c>
      <c r="P143" s="3" t="s">
        <v>215</v>
      </c>
      <c r="Q143" t="str">
        <f t="shared" si="10"/>
        <v>http://roarmap.eprints.org/view/country/246.html</v>
      </c>
      <c r="R143" s="3">
        <v>246</v>
      </c>
      <c r="S143" s="6" t="s">
        <v>151</v>
      </c>
      <c r="T143" s="9">
        <v>246</v>
      </c>
      <c r="U143" s="7" t="s">
        <v>123</v>
      </c>
      <c r="V143" s="6" t="s">
        <v>125</v>
      </c>
      <c r="W143" s="3" t="s">
        <v>158</v>
      </c>
      <c r="X143" s="3" t="s">
        <v>160</v>
      </c>
      <c r="Y143" s="3" t="s">
        <v>830</v>
      </c>
      <c r="Z143" s="8" t="str">
        <f>HYPERLINK("http://www.kamk.fi/en","http://www.kamk.fi/en")</f>
        <v>http://www.kamk.fi/en</v>
      </c>
      <c r="AA143" s="8" t="str">
        <f t="shared" si="11"/>
        <v>http://www.arene.fi/data/dokumentit/52bd599d-66f6-41a9-8cb7-6e151ec677d5_open%20access%20julkilausuma.pdf</v>
      </c>
      <c r="AB143" s="8" t="str">
        <f t="shared" si="13"/>
        <v>http://theseus.fi/</v>
      </c>
      <c r="AC143" s="3">
        <v>40108</v>
      </c>
      <c r="AD143" s="3">
        <v>40179</v>
      </c>
      <c r="AF143" s="3" t="s">
        <v>177</v>
      </c>
      <c r="AG143" s="3" t="s">
        <v>178</v>
      </c>
      <c r="AH143" s="3" t="s">
        <v>180</v>
      </c>
      <c r="AI143" s="3" t="s">
        <v>244</v>
      </c>
      <c r="AJ143" s="3" t="s">
        <v>182</v>
      </c>
      <c r="AK143" s="3" t="s">
        <v>244</v>
      </c>
      <c r="AL143" s="3" t="s">
        <v>244</v>
      </c>
      <c r="AM143" s="3" t="s">
        <v>178</v>
      </c>
      <c r="AN143" s="3" t="s">
        <v>244</v>
      </c>
      <c r="AO143" s="3" t="s">
        <v>247</v>
      </c>
      <c r="AP143" s="3" t="s">
        <v>244</v>
      </c>
      <c r="AQ143" s="3" t="s">
        <v>247</v>
      </c>
      <c r="AR143" s="3" t="s">
        <v>288</v>
      </c>
      <c r="AS143" s="3" t="s">
        <v>185</v>
      </c>
      <c r="AT143" s="3" t="s">
        <v>244</v>
      </c>
      <c r="AU143" s="3" t="s">
        <v>244</v>
      </c>
      <c r="AV143" s="3" t="s">
        <v>288</v>
      </c>
      <c r="AW143" s="3" t="s">
        <v>339</v>
      </c>
      <c r="AX143" s="3" t="s">
        <v>341</v>
      </c>
      <c r="AY143" s="3" t="s">
        <v>247</v>
      </c>
    </row>
    <row r="144" spans="1:51" ht="15.75" customHeight="1">
      <c r="A144" s="3">
        <v>117</v>
      </c>
      <c r="B144" s="5" t="str">
        <f t="shared" si="0"/>
        <v>http://roarmap.eprints.org/117/</v>
      </c>
      <c r="C144" s="3">
        <v>3</v>
      </c>
      <c r="D144" s="3" t="s">
        <v>98</v>
      </c>
      <c r="E144" s="3">
        <v>1</v>
      </c>
      <c r="F144" s="3" t="s">
        <v>831</v>
      </c>
      <c r="G144" s="3">
        <v>41988.923263888886</v>
      </c>
      <c r="H144" s="3">
        <v>41988.923263888886</v>
      </c>
      <c r="I144" s="3">
        <v>41988.923263888886</v>
      </c>
      <c r="J144" s="3" t="s">
        <v>103</v>
      </c>
      <c r="K144" s="3" t="s">
        <v>105</v>
      </c>
      <c r="L144" s="3" t="s">
        <v>832</v>
      </c>
      <c r="M144" s="3" t="s">
        <v>374</v>
      </c>
      <c r="N144" s="3" t="s">
        <v>815</v>
      </c>
      <c r="O144" s="3" t="s">
        <v>833</v>
      </c>
      <c r="P144" s="3" t="s">
        <v>215</v>
      </c>
      <c r="Q144" t="str">
        <f t="shared" si="10"/>
        <v>http://roarmap.eprints.org/view/country/246.html</v>
      </c>
      <c r="R144" s="3">
        <v>246</v>
      </c>
      <c r="S144" s="6" t="s">
        <v>151</v>
      </c>
      <c r="T144" s="9">
        <v>246</v>
      </c>
      <c r="U144" s="7" t="s">
        <v>123</v>
      </c>
      <c r="V144" s="6" t="s">
        <v>125</v>
      </c>
      <c r="W144" s="3" t="s">
        <v>158</v>
      </c>
      <c r="X144" s="3" t="s">
        <v>160</v>
      </c>
      <c r="Y144" s="3" t="s">
        <v>832</v>
      </c>
      <c r="Z144" s="8" t="str">
        <f>HYPERLINK("http://www.lapinamk.fi/en","http://www.lapinamk.fi/en")</f>
        <v>http://www.lapinamk.fi/en</v>
      </c>
      <c r="AA144" s="8" t="str">
        <f t="shared" si="11"/>
        <v>http://www.arene.fi/data/dokumentit/52bd599d-66f6-41a9-8cb7-6e151ec677d5_open%20access%20julkilausuma.pdf</v>
      </c>
      <c r="AB144" s="8" t="str">
        <f t="shared" si="13"/>
        <v>http://theseus.fi/</v>
      </c>
      <c r="AC144" s="3">
        <v>40108</v>
      </c>
      <c r="AD144" s="3">
        <v>40179</v>
      </c>
      <c r="AF144" s="3" t="s">
        <v>177</v>
      </c>
      <c r="AG144" s="3" t="s">
        <v>178</v>
      </c>
      <c r="AH144" s="3" t="s">
        <v>180</v>
      </c>
      <c r="AI144" s="3" t="s">
        <v>244</v>
      </c>
      <c r="AJ144" s="3" t="s">
        <v>182</v>
      </c>
      <c r="AK144" s="3" t="s">
        <v>244</v>
      </c>
      <c r="AL144" s="3" t="s">
        <v>244</v>
      </c>
      <c r="AM144" s="3" t="s">
        <v>178</v>
      </c>
      <c r="AN144" s="3" t="s">
        <v>244</v>
      </c>
      <c r="AO144" s="3" t="s">
        <v>247</v>
      </c>
      <c r="AP144" s="3" t="s">
        <v>244</v>
      </c>
      <c r="AQ144" s="3" t="s">
        <v>247</v>
      </c>
      <c r="AR144" s="3" t="s">
        <v>288</v>
      </c>
      <c r="AS144" s="3" t="s">
        <v>185</v>
      </c>
      <c r="AT144" s="3" t="s">
        <v>244</v>
      </c>
      <c r="AU144" s="3" t="s">
        <v>244</v>
      </c>
      <c r="AV144" s="3" t="s">
        <v>288</v>
      </c>
      <c r="AW144" s="3" t="s">
        <v>339</v>
      </c>
      <c r="AX144" s="3" t="s">
        <v>341</v>
      </c>
      <c r="AY144" s="3" t="s">
        <v>247</v>
      </c>
    </row>
    <row r="145" spans="1:51" ht="15.75" customHeight="1">
      <c r="A145" s="3">
        <v>118</v>
      </c>
      <c r="B145" s="5" t="str">
        <f t="shared" si="0"/>
        <v>http://roarmap.eprints.org/118/</v>
      </c>
      <c r="C145" s="3">
        <v>3</v>
      </c>
      <c r="D145" s="3" t="s">
        <v>98</v>
      </c>
      <c r="E145" s="3">
        <v>1</v>
      </c>
      <c r="F145" s="3" t="s">
        <v>834</v>
      </c>
      <c r="G145" s="3">
        <v>41988.923263888886</v>
      </c>
      <c r="H145" s="3">
        <v>41988.923263888886</v>
      </c>
      <c r="I145" s="3">
        <v>41988.923263888886</v>
      </c>
      <c r="J145" s="3" t="s">
        <v>103</v>
      </c>
      <c r="K145" s="3" t="s">
        <v>105</v>
      </c>
      <c r="L145" s="3" t="s">
        <v>835</v>
      </c>
      <c r="M145" s="3" t="s">
        <v>374</v>
      </c>
      <c r="N145" s="3" t="s">
        <v>815</v>
      </c>
      <c r="P145" s="3" t="s">
        <v>215</v>
      </c>
      <c r="Q145" t="str">
        <f t="shared" si="10"/>
        <v>http://roarmap.eprints.org/view/country/246.html</v>
      </c>
      <c r="R145" s="3">
        <v>246</v>
      </c>
      <c r="S145" s="6" t="s">
        <v>151</v>
      </c>
      <c r="T145" s="9">
        <v>246</v>
      </c>
      <c r="U145" s="7" t="s">
        <v>123</v>
      </c>
      <c r="V145" s="6" t="s">
        <v>125</v>
      </c>
      <c r="W145" s="3" t="s">
        <v>158</v>
      </c>
      <c r="X145" s="3" t="s">
        <v>160</v>
      </c>
      <c r="Y145" s="3" t="s">
        <v>835</v>
      </c>
      <c r="Z145" s="8" t="str">
        <f>HYPERLINK("http://www.kyamk.fi/Frontpage","http://www.kyamk.fi/Frontpage")</f>
        <v>http://www.kyamk.fi/Frontpage</v>
      </c>
      <c r="AA145" s="8" t="str">
        <f t="shared" si="11"/>
        <v>http://www.arene.fi/data/dokumentit/52bd599d-66f6-41a9-8cb7-6e151ec677d5_open%20access%20julkilausuma.pdf</v>
      </c>
      <c r="AB145" s="8" t="str">
        <f t="shared" si="13"/>
        <v>http://theseus.fi/</v>
      </c>
      <c r="AC145" s="3">
        <v>40108</v>
      </c>
      <c r="AD145" s="3">
        <v>40179</v>
      </c>
      <c r="AF145" s="3" t="s">
        <v>177</v>
      </c>
      <c r="AG145" s="3" t="s">
        <v>178</v>
      </c>
      <c r="AH145" s="3" t="s">
        <v>180</v>
      </c>
      <c r="AI145" s="3" t="s">
        <v>244</v>
      </c>
      <c r="AJ145" s="3" t="s">
        <v>182</v>
      </c>
      <c r="AK145" s="3" t="s">
        <v>244</v>
      </c>
      <c r="AL145" s="3" t="s">
        <v>244</v>
      </c>
      <c r="AM145" s="3" t="s">
        <v>178</v>
      </c>
      <c r="AN145" s="3" t="s">
        <v>244</v>
      </c>
      <c r="AO145" s="3" t="s">
        <v>247</v>
      </c>
      <c r="AP145" s="3" t="s">
        <v>244</v>
      </c>
      <c r="AQ145" s="3" t="s">
        <v>247</v>
      </c>
      <c r="AR145" s="3" t="s">
        <v>288</v>
      </c>
      <c r="AS145" s="3" t="s">
        <v>185</v>
      </c>
      <c r="AT145" s="3" t="s">
        <v>244</v>
      </c>
      <c r="AU145" s="3" t="s">
        <v>244</v>
      </c>
      <c r="AV145" s="3" t="s">
        <v>288</v>
      </c>
      <c r="AW145" s="3" t="s">
        <v>339</v>
      </c>
      <c r="AX145" s="3" t="s">
        <v>341</v>
      </c>
      <c r="AY145" s="3" t="s">
        <v>247</v>
      </c>
    </row>
    <row r="146" spans="1:51" ht="15.75" customHeight="1">
      <c r="A146" s="3">
        <v>119</v>
      </c>
      <c r="B146" s="5" t="str">
        <f t="shared" si="0"/>
        <v>http://roarmap.eprints.org/119/</v>
      </c>
      <c r="C146" s="3">
        <v>3</v>
      </c>
      <c r="D146" s="3" t="s">
        <v>98</v>
      </c>
      <c r="E146" s="3">
        <v>1</v>
      </c>
      <c r="F146" s="3" t="s">
        <v>836</v>
      </c>
      <c r="G146" s="3">
        <v>41988.923263888886</v>
      </c>
      <c r="H146" s="3">
        <v>41988.923263888886</v>
      </c>
      <c r="I146" s="3">
        <v>41988.923263888886</v>
      </c>
      <c r="J146" s="3" t="s">
        <v>103</v>
      </c>
      <c r="K146" s="3" t="s">
        <v>105</v>
      </c>
      <c r="L146" s="3" t="s">
        <v>837</v>
      </c>
      <c r="M146" s="3" t="s">
        <v>374</v>
      </c>
      <c r="N146" s="3" t="s">
        <v>815</v>
      </c>
      <c r="O146" s="3" t="s">
        <v>838</v>
      </c>
      <c r="P146" s="3" t="s">
        <v>215</v>
      </c>
      <c r="Q146" t="str">
        <f t="shared" si="10"/>
        <v>http://roarmap.eprints.org/view/country/246.html</v>
      </c>
      <c r="R146" s="3">
        <v>246</v>
      </c>
      <c r="S146" s="6" t="s">
        <v>151</v>
      </c>
      <c r="T146" s="9">
        <v>246</v>
      </c>
      <c r="U146" s="7" t="s">
        <v>123</v>
      </c>
      <c r="V146" s="6" t="s">
        <v>125</v>
      </c>
      <c r="W146" s="3" t="s">
        <v>158</v>
      </c>
      <c r="X146" s="3" t="s">
        <v>160</v>
      </c>
      <c r="Y146" s="3" t="s">
        <v>837</v>
      </c>
      <c r="Z146" s="8" t="str">
        <f>HYPERLINK("http://www.lamk.fi/english/Sivut/default.aspx","http://www.lamk.fi/english/Sivut/default.aspx")</f>
        <v>http://www.lamk.fi/english/Sivut/default.aspx</v>
      </c>
      <c r="AA146" s="8" t="str">
        <f t="shared" si="11"/>
        <v>http://www.arene.fi/data/dokumentit/52bd599d-66f6-41a9-8cb7-6e151ec677d5_open%20access%20julkilausuma.pdf</v>
      </c>
      <c r="AB146" s="8" t="str">
        <f t="shared" si="13"/>
        <v>http://theseus.fi/</v>
      </c>
      <c r="AC146" s="3">
        <v>40108</v>
      </c>
      <c r="AD146" s="3">
        <v>40179</v>
      </c>
      <c r="AF146" s="3" t="s">
        <v>177</v>
      </c>
      <c r="AG146" s="3" t="s">
        <v>178</v>
      </c>
      <c r="AH146" s="3" t="s">
        <v>180</v>
      </c>
      <c r="AI146" s="3" t="s">
        <v>244</v>
      </c>
      <c r="AJ146" s="3" t="s">
        <v>182</v>
      </c>
      <c r="AK146" s="3" t="s">
        <v>244</v>
      </c>
      <c r="AL146" s="3" t="s">
        <v>244</v>
      </c>
      <c r="AM146" s="3" t="s">
        <v>178</v>
      </c>
      <c r="AN146" s="3" t="s">
        <v>244</v>
      </c>
      <c r="AO146" s="3" t="s">
        <v>247</v>
      </c>
      <c r="AP146" s="3" t="s">
        <v>244</v>
      </c>
      <c r="AQ146" s="3" t="s">
        <v>247</v>
      </c>
      <c r="AR146" s="3" t="s">
        <v>288</v>
      </c>
      <c r="AS146" s="3" t="s">
        <v>185</v>
      </c>
      <c r="AT146" s="3" t="s">
        <v>244</v>
      </c>
      <c r="AU146" s="3" t="s">
        <v>244</v>
      </c>
      <c r="AV146" s="3" t="s">
        <v>288</v>
      </c>
      <c r="AW146" s="3" t="s">
        <v>339</v>
      </c>
      <c r="AX146" s="3" t="s">
        <v>341</v>
      </c>
      <c r="AY146" s="3" t="s">
        <v>247</v>
      </c>
    </row>
    <row r="147" spans="1:51" ht="15.75" customHeight="1">
      <c r="A147" s="3">
        <v>126</v>
      </c>
      <c r="B147" s="5" t="str">
        <f t="shared" si="0"/>
        <v>http://roarmap.eprints.org/126/</v>
      </c>
      <c r="C147" s="3">
        <v>5</v>
      </c>
      <c r="D147" s="3" t="s">
        <v>98</v>
      </c>
      <c r="E147" s="3">
        <v>1</v>
      </c>
      <c r="F147" s="3" t="s">
        <v>839</v>
      </c>
      <c r="G147" s="3">
        <v>41988.923275462963</v>
      </c>
      <c r="H147" s="3">
        <v>42022.959351851852</v>
      </c>
      <c r="I147" s="3">
        <v>41988.923275462963</v>
      </c>
      <c r="J147" s="3" t="s">
        <v>103</v>
      </c>
      <c r="K147" s="3" t="s">
        <v>105</v>
      </c>
      <c r="L147" s="3" t="s">
        <v>840</v>
      </c>
      <c r="M147" s="3" t="s">
        <v>352</v>
      </c>
      <c r="N147" s="3" t="s">
        <v>815</v>
      </c>
      <c r="O147" s="3" t="s">
        <v>841</v>
      </c>
      <c r="P147" s="3" t="s">
        <v>215</v>
      </c>
      <c r="Q147" t="str">
        <f t="shared" si="10"/>
        <v>http://roarmap.eprints.org/view/country/246.html</v>
      </c>
      <c r="R147" s="3">
        <v>246</v>
      </c>
      <c r="S147" s="6" t="s">
        <v>151</v>
      </c>
      <c r="T147" s="9">
        <v>246</v>
      </c>
      <c r="U147" s="7" t="s">
        <v>123</v>
      </c>
      <c r="V147" s="6" t="s">
        <v>125</v>
      </c>
      <c r="W147" s="3" t="s">
        <v>158</v>
      </c>
      <c r="X147" s="3" t="s">
        <v>160</v>
      </c>
      <c r="Y147" s="3" t="s">
        <v>840</v>
      </c>
      <c r="Z147" s="8" t="str">
        <f>HYPERLINK("http://www.lapinamk.fi/en","http://www.lapinamk.fi/en")</f>
        <v>http://www.lapinamk.fi/en</v>
      </c>
      <c r="AA147" s="8" t="str">
        <f>HYPERLINK("http://www.finnoa.fi/?page_id=14","http://www.finnoa.fi/?page_id=14")</f>
        <v>http://www.finnoa.fi/?page_id=14</v>
      </c>
      <c r="AB147" s="8" t="str">
        <f>HYPERLINK("https://www.theseus.fi/","https://www.theseus.fi/")</f>
        <v>https://www.theseus.fi/</v>
      </c>
      <c r="AG147" s="3" t="s">
        <v>244</v>
      </c>
      <c r="AH147" s="3" t="s">
        <v>244</v>
      </c>
      <c r="AI147" s="3" t="s">
        <v>244</v>
      </c>
      <c r="AJ147" s="3" t="s">
        <v>244</v>
      </c>
      <c r="AK147" s="3" t="s">
        <v>244</v>
      </c>
      <c r="AL147" s="3" t="s">
        <v>244</v>
      </c>
      <c r="AM147" s="3" t="s">
        <v>247</v>
      </c>
      <c r="AN147" s="3" t="s">
        <v>244</v>
      </c>
      <c r="AO147" s="3" t="s">
        <v>247</v>
      </c>
      <c r="AP147" s="3" t="s">
        <v>244</v>
      </c>
      <c r="AQ147" s="3" t="s">
        <v>247</v>
      </c>
      <c r="AR147" s="3" t="s">
        <v>288</v>
      </c>
      <c r="AS147" s="3" t="s">
        <v>244</v>
      </c>
      <c r="AT147" s="3" t="s">
        <v>244</v>
      </c>
      <c r="AU147" s="3" t="s">
        <v>244</v>
      </c>
      <c r="AV147" s="3" t="s">
        <v>288</v>
      </c>
      <c r="AW147" s="3" t="s">
        <v>244</v>
      </c>
      <c r="AX147" s="3" t="s">
        <v>244</v>
      </c>
      <c r="AY147" s="3" t="s">
        <v>247</v>
      </c>
    </row>
    <row r="148" spans="1:51" ht="15.75" customHeight="1">
      <c r="A148" s="3">
        <v>120</v>
      </c>
      <c r="B148" s="5" t="str">
        <f t="shared" si="0"/>
        <v>http://roarmap.eprints.org/120/</v>
      </c>
      <c r="C148" s="3">
        <v>3</v>
      </c>
      <c r="D148" s="3" t="s">
        <v>98</v>
      </c>
      <c r="E148" s="3">
        <v>1</v>
      </c>
      <c r="F148" s="3" t="s">
        <v>842</v>
      </c>
      <c r="G148" s="3">
        <v>41988.923263888886</v>
      </c>
      <c r="H148" s="3">
        <v>41988.923263888886</v>
      </c>
      <c r="I148" s="3">
        <v>41988.923263888886</v>
      </c>
      <c r="J148" s="3" t="s">
        <v>103</v>
      </c>
      <c r="K148" s="3" t="s">
        <v>105</v>
      </c>
      <c r="L148" s="3" t="s">
        <v>843</v>
      </c>
      <c r="M148" s="3" t="s">
        <v>374</v>
      </c>
      <c r="N148" s="3" t="s">
        <v>815</v>
      </c>
      <c r="P148" s="3" t="s">
        <v>215</v>
      </c>
      <c r="Q148" t="str">
        <f t="shared" si="10"/>
        <v>http://roarmap.eprints.org/view/country/246.html</v>
      </c>
      <c r="R148" s="3">
        <v>246</v>
      </c>
      <c r="S148" s="6" t="s">
        <v>151</v>
      </c>
      <c r="T148" s="9">
        <v>246</v>
      </c>
      <c r="U148" s="7" t="s">
        <v>123</v>
      </c>
      <c r="V148" s="6" t="s">
        <v>125</v>
      </c>
      <c r="W148" s="3" t="s">
        <v>158</v>
      </c>
      <c r="X148" s="3" t="s">
        <v>160</v>
      </c>
      <c r="Y148" s="3" t="s">
        <v>843</v>
      </c>
      <c r="Z148" s="8" t="str">
        <f>HYPERLINK("http://www.laurea.fi/en/pages/default.aspx","http://www.laurea.fi/en/pages/default.aspx")</f>
        <v>http://www.laurea.fi/en/pages/default.aspx</v>
      </c>
      <c r="AA148" s="8" t="str">
        <f t="shared" ref="AA148:AA158" si="14">HYPERLINK("http://www.arene.fi/data/dokumentit/52bd599d-66f6-41a9-8cb7-6e151ec677d5_open%20access%20julkilausuma.pdf","http://www.arene.fi/data/dokumentit/52bd599d-66f6-41a9-8cb7-6e151ec677d5_open%20access%20julkilausuma.pdf")</f>
        <v>http://www.arene.fi/data/dokumentit/52bd599d-66f6-41a9-8cb7-6e151ec677d5_open%20access%20julkilausuma.pdf</v>
      </c>
      <c r="AB148" s="8" t="str">
        <f t="shared" ref="AB148:AB155" si="15">HYPERLINK("http://theseus.fi/","http://theseus.fi/")</f>
        <v>http://theseus.fi/</v>
      </c>
      <c r="AC148" s="3">
        <v>40108</v>
      </c>
      <c r="AD148" s="3">
        <v>40179</v>
      </c>
      <c r="AF148" s="3" t="s">
        <v>177</v>
      </c>
      <c r="AG148" s="3" t="s">
        <v>178</v>
      </c>
      <c r="AH148" s="3" t="s">
        <v>180</v>
      </c>
      <c r="AI148" s="3" t="s">
        <v>244</v>
      </c>
      <c r="AJ148" s="3" t="s">
        <v>182</v>
      </c>
      <c r="AK148" s="3" t="s">
        <v>244</v>
      </c>
      <c r="AL148" s="3" t="s">
        <v>244</v>
      </c>
      <c r="AM148" s="3" t="s">
        <v>178</v>
      </c>
      <c r="AN148" s="3" t="s">
        <v>244</v>
      </c>
      <c r="AO148" s="3" t="s">
        <v>247</v>
      </c>
      <c r="AP148" s="3" t="s">
        <v>244</v>
      </c>
      <c r="AQ148" s="3" t="s">
        <v>247</v>
      </c>
      <c r="AR148" s="3" t="s">
        <v>288</v>
      </c>
      <c r="AS148" s="3" t="s">
        <v>185</v>
      </c>
      <c r="AT148" s="3" t="s">
        <v>244</v>
      </c>
      <c r="AU148" s="3" t="s">
        <v>244</v>
      </c>
      <c r="AV148" s="3" t="s">
        <v>288</v>
      </c>
      <c r="AW148" s="3" t="s">
        <v>339</v>
      </c>
      <c r="AX148" s="3" t="s">
        <v>341</v>
      </c>
      <c r="AY148" s="3" t="s">
        <v>247</v>
      </c>
    </row>
    <row r="149" spans="1:51" ht="15.75" customHeight="1">
      <c r="A149" s="3">
        <v>121</v>
      </c>
      <c r="B149" s="5" t="str">
        <f t="shared" si="0"/>
        <v>http://roarmap.eprints.org/121/</v>
      </c>
      <c r="C149" s="3">
        <v>3</v>
      </c>
      <c r="D149" s="3" t="s">
        <v>98</v>
      </c>
      <c r="E149" s="3">
        <v>1</v>
      </c>
      <c r="F149" s="3" t="s">
        <v>844</v>
      </c>
      <c r="G149" s="3">
        <v>41988.923263888886</v>
      </c>
      <c r="H149" s="3">
        <v>41988.923263888886</v>
      </c>
      <c r="I149" s="3">
        <v>41988.923263888886</v>
      </c>
      <c r="J149" s="3" t="s">
        <v>103</v>
      </c>
      <c r="K149" s="3" t="s">
        <v>105</v>
      </c>
      <c r="L149" s="3" t="s">
        <v>845</v>
      </c>
      <c r="M149" s="3" t="s">
        <v>374</v>
      </c>
      <c r="N149" s="3" t="s">
        <v>815</v>
      </c>
      <c r="O149" s="3" t="s">
        <v>846</v>
      </c>
      <c r="P149" s="3" t="s">
        <v>215</v>
      </c>
      <c r="Q149" t="str">
        <f t="shared" si="10"/>
        <v>http://roarmap.eprints.org/view/country/246.html</v>
      </c>
      <c r="R149" s="3">
        <v>246</v>
      </c>
      <c r="S149" s="6" t="s">
        <v>151</v>
      </c>
      <c r="T149" s="9">
        <v>246</v>
      </c>
      <c r="U149" s="7" t="s">
        <v>123</v>
      </c>
      <c r="V149" s="6" t="s">
        <v>125</v>
      </c>
      <c r="W149" s="3" t="s">
        <v>158</v>
      </c>
      <c r="X149" s="3" t="s">
        <v>160</v>
      </c>
      <c r="Y149" s="3" t="s">
        <v>845</v>
      </c>
      <c r="Z149" s="8" t="str">
        <f>HYPERLINK("http://www.mamk.fi/front_page","http://www.mamk.fi/front_page")</f>
        <v>http://www.mamk.fi/front_page</v>
      </c>
      <c r="AA149" s="8" t="str">
        <f t="shared" si="14"/>
        <v>http://www.arene.fi/data/dokumentit/52bd599d-66f6-41a9-8cb7-6e151ec677d5_open%20access%20julkilausuma.pdf</v>
      </c>
      <c r="AB149" s="8" t="str">
        <f t="shared" si="15"/>
        <v>http://theseus.fi/</v>
      </c>
      <c r="AC149" s="3">
        <v>40108</v>
      </c>
      <c r="AD149" s="3">
        <v>40179</v>
      </c>
      <c r="AF149" s="3" t="s">
        <v>177</v>
      </c>
      <c r="AG149" s="3" t="s">
        <v>178</v>
      </c>
      <c r="AH149" s="3" t="s">
        <v>180</v>
      </c>
      <c r="AI149" s="3" t="s">
        <v>244</v>
      </c>
      <c r="AJ149" s="3" t="s">
        <v>182</v>
      </c>
      <c r="AK149" s="3" t="s">
        <v>244</v>
      </c>
      <c r="AL149" s="3" t="s">
        <v>244</v>
      </c>
      <c r="AM149" s="3" t="s">
        <v>178</v>
      </c>
      <c r="AN149" s="3" t="s">
        <v>244</v>
      </c>
      <c r="AO149" s="3" t="s">
        <v>247</v>
      </c>
      <c r="AP149" s="3" t="s">
        <v>244</v>
      </c>
      <c r="AQ149" s="3" t="s">
        <v>247</v>
      </c>
      <c r="AR149" s="3" t="s">
        <v>288</v>
      </c>
      <c r="AS149" s="3" t="s">
        <v>185</v>
      </c>
      <c r="AT149" s="3" t="s">
        <v>244</v>
      </c>
      <c r="AU149" s="3" t="s">
        <v>244</v>
      </c>
      <c r="AV149" s="3" t="s">
        <v>288</v>
      </c>
      <c r="AW149" s="3" t="s">
        <v>339</v>
      </c>
      <c r="AX149" s="3" t="s">
        <v>341</v>
      </c>
      <c r="AY149" s="3" t="s">
        <v>247</v>
      </c>
    </row>
    <row r="150" spans="1:51" ht="15.75" customHeight="1">
      <c r="A150" s="3">
        <v>122</v>
      </c>
      <c r="B150" s="5" t="str">
        <f t="shared" si="0"/>
        <v>http://roarmap.eprints.org/122/</v>
      </c>
      <c r="C150" s="3">
        <v>3</v>
      </c>
      <c r="D150" s="3" t="s">
        <v>98</v>
      </c>
      <c r="E150" s="3">
        <v>1</v>
      </c>
      <c r="F150" s="3" t="s">
        <v>847</v>
      </c>
      <c r="G150" s="3">
        <v>41988.923263888886</v>
      </c>
      <c r="H150" s="3">
        <v>41988.923263888886</v>
      </c>
      <c r="I150" s="3">
        <v>41988.923263888886</v>
      </c>
      <c r="J150" s="3" t="s">
        <v>103</v>
      </c>
      <c r="K150" s="3" t="s">
        <v>105</v>
      </c>
      <c r="L150" s="3" t="s">
        <v>848</v>
      </c>
      <c r="M150" s="3" t="s">
        <v>374</v>
      </c>
      <c r="N150" s="3" t="s">
        <v>815</v>
      </c>
      <c r="O150" s="3" t="s">
        <v>849</v>
      </c>
      <c r="P150" s="3" t="s">
        <v>215</v>
      </c>
      <c r="Q150" t="str">
        <f t="shared" si="10"/>
        <v>http://roarmap.eprints.org/view/country/246.html</v>
      </c>
      <c r="R150" s="3">
        <v>246</v>
      </c>
      <c r="S150" s="6" t="s">
        <v>151</v>
      </c>
      <c r="T150" s="9">
        <v>246</v>
      </c>
      <c r="U150" s="7" t="s">
        <v>123</v>
      </c>
      <c r="V150" s="6" t="s">
        <v>125</v>
      </c>
      <c r="W150" s="3" t="s">
        <v>158</v>
      </c>
      <c r="X150" s="3" t="s">
        <v>160</v>
      </c>
      <c r="Y150" s="3" t="s">
        <v>848</v>
      </c>
      <c r="Z150" s="8" t="str">
        <f>HYPERLINK("http://www.karelia.fi/en/","http://www.karelia.fi/en/")</f>
        <v>http://www.karelia.fi/en/</v>
      </c>
      <c r="AA150" s="8" t="str">
        <f t="shared" si="14"/>
        <v>http://www.arene.fi/data/dokumentit/52bd599d-66f6-41a9-8cb7-6e151ec677d5_open%20access%20julkilausuma.pdf</v>
      </c>
      <c r="AB150" s="8" t="str">
        <f t="shared" si="15"/>
        <v>http://theseus.fi/</v>
      </c>
      <c r="AC150" s="3">
        <v>40108</v>
      </c>
      <c r="AD150" s="3">
        <v>40179</v>
      </c>
      <c r="AF150" s="3" t="s">
        <v>177</v>
      </c>
      <c r="AG150" s="3" t="s">
        <v>178</v>
      </c>
      <c r="AH150" s="3" t="s">
        <v>180</v>
      </c>
      <c r="AI150" s="3" t="s">
        <v>244</v>
      </c>
      <c r="AJ150" s="3" t="s">
        <v>182</v>
      </c>
      <c r="AK150" s="3" t="s">
        <v>244</v>
      </c>
      <c r="AL150" s="3" t="s">
        <v>244</v>
      </c>
      <c r="AM150" s="3" t="s">
        <v>178</v>
      </c>
      <c r="AN150" s="3" t="s">
        <v>244</v>
      </c>
      <c r="AO150" s="3" t="s">
        <v>247</v>
      </c>
      <c r="AP150" s="3" t="s">
        <v>244</v>
      </c>
      <c r="AQ150" s="3" t="s">
        <v>247</v>
      </c>
      <c r="AR150" s="3" t="s">
        <v>288</v>
      </c>
      <c r="AS150" s="3" t="s">
        <v>185</v>
      </c>
      <c r="AT150" s="3" t="s">
        <v>244</v>
      </c>
      <c r="AU150" s="3" t="s">
        <v>244</v>
      </c>
      <c r="AV150" s="3" t="s">
        <v>288</v>
      </c>
      <c r="AW150" s="3" t="s">
        <v>339</v>
      </c>
      <c r="AX150" s="3" t="s">
        <v>341</v>
      </c>
      <c r="AY150" s="3" t="s">
        <v>247</v>
      </c>
    </row>
    <row r="151" spans="1:51" ht="15.75" customHeight="1">
      <c r="A151" s="3">
        <v>123</v>
      </c>
      <c r="B151" s="5" t="str">
        <f t="shared" si="0"/>
        <v>http://roarmap.eprints.org/123/</v>
      </c>
      <c r="C151" s="3">
        <v>3</v>
      </c>
      <c r="D151" s="3" t="s">
        <v>98</v>
      </c>
      <c r="E151" s="3">
        <v>1</v>
      </c>
      <c r="F151" s="3" t="s">
        <v>850</v>
      </c>
      <c r="G151" s="3">
        <v>41988.923263888886</v>
      </c>
      <c r="H151" s="3">
        <v>41988.923263888886</v>
      </c>
      <c r="I151" s="3">
        <v>41988.923263888886</v>
      </c>
      <c r="J151" s="3" t="s">
        <v>103</v>
      </c>
      <c r="K151" s="3" t="s">
        <v>105</v>
      </c>
      <c r="L151" s="3" t="s">
        <v>851</v>
      </c>
      <c r="M151" s="3" t="s">
        <v>374</v>
      </c>
      <c r="N151" s="3" t="s">
        <v>852</v>
      </c>
      <c r="O151" s="3" t="s">
        <v>853</v>
      </c>
      <c r="P151" s="3" t="s">
        <v>215</v>
      </c>
      <c r="Q151" t="str">
        <f t="shared" si="10"/>
        <v>http://roarmap.eprints.org/view/country/246.html</v>
      </c>
      <c r="R151" s="3">
        <v>246</v>
      </c>
      <c r="S151" s="6" t="s">
        <v>151</v>
      </c>
      <c r="T151" s="9">
        <v>246</v>
      </c>
      <c r="U151" s="7" t="s">
        <v>123</v>
      </c>
      <c r="V151" s="6" t="s">
        <v>125</v>
      </c>
      <c r="W151" s="3" t="s">
        <v>158</v>
      </c>
      <c r="X151" s="3" t="s">
        <v>160</v>
      </c>
      <c r="Y151" s="3" t="s">
        <v>851</v>
      </c>
      <c r="Z151" s="8" t="str">
        <f>HYPERLINK("http://www.novia.fi/","http://www.novia.fi/")</f>
        <v>http://www.novia.fi/</v>
      </c>
      <c r="AA151" s="8" t="str">
        <f t="shared" si="14"/>
        <v>http://www.arene.fi/data/dokumentit/52bd599d-66f6-41a9-8cb7-6e151ec677d5_open%20access%20julkilausuma.pdf</v>
      </c>
      <c r="AB151" s="8" t="str">
        <f t="shared" si="15"/>
        <v>http://theseus.fi/</v>
      </c>
      <c r="AC151" s="3">
        <v>40108</v>
      </c>
      <c r="AD151" s="3">
        <v>40179</v>
      </c>
      <c r="AF151" s="3" t="s">
        <v>177</v>
      </c>
      <c r="AG151" s="3" t="s">
        <v>178</v>
      </c>
      <c r="AH151" s="3" t="s">
        <v>180</v>
      </c>
      <c r="AI151" s="3" t="s">
        <v>244</v>
      </c>
      <c r="AJ151" s="3" t="s">
        <v>182</v>
      </c>
      <c r="AK151" s="3" t="s">
        <v>244</v>
      </c>
      <c r="AL151" s="3" t="s">
        <v>244</v>
      </c>
      <c r="AM151" s="3" t="s">
        <v>178</v>
      </c>
      <c r="AN151" s="3" t="s">
        <v>244</v>
      </c>
      <c r="AO151" s="3" t="s">
        <v>247</v>
      </c>
      <c r="AP151" s="3" t="s">
        <v>244</v>
      </c>
      <c r="AQ151" s="3" t="s">
        <v>247</v>
      </c>
      <c r="AR151" s="3" t="s">
        <v>288</v>
      </c>
      <c r="AS151" s="3" t="s">
        <v>185</v>
      </c>
      <c r="AT151" s="3" t="s">
        <v>244</v>
      </c>
      <c r="AU151" s="3" t="s">
        <v>244</v>
      </c>
      <c r="AV151" s="3" t="s">
        <v>288</v>
      </c>
      <c r="AW151" s="3" t="s">
        <v>339</v>
      </c>
      <c r="AX151" s="3" t="s">
        <v>341</v>
      </c>
      <c r="AY151" s="3" t="s">
        <v>247</v>
      </c>
    </row>
    <row r="152" spans="1:51" ht="15.75" customHeight="1">
      <c r="A152" s="3">
        <v>124</v>
      </c>
      <c r="B152" s="5" t="str">
        <f t="shared" si="0"/>
        <v>http://roarmap.eprints.org/124/</v>
      </c>
      <c r="C152" s="3">
        <v>3</v>
      </c>
      <c r="D152" s="3" t="s">
        <v>98</v>
      </c>
      <c r="E152" s="3">
        <v>1</v>
      </c>
      <c r="F152" s="3" t="s">
        <v>854</v>
      </c>
      <c r="G152" s="3">
        <v>41988.923263888886</v>
      </c>
      <c r="H152" s="3">
        <v>41988.923263888886</v>
      </c>
      <c r="I152" s="3">
        <v>41988.923263888886</v>
      </c>
      <c r="J152" s="3" t="s">
        <v>103</v>
      </c>
      <c r="K152" s="3" t="s">
        <v>105</v>
      </c>
      <c r="L152" s="3" t="s">
        <v>855</v>
      </c>
      <c r="M152" s="3" t="s">
        <v>374</v>
      </c>
      <c r="N152" s="3" t="s">
        <v>815</v>
      </c>
      <c r="O152" s="3" t="s">
        <v>856</v>
      </c>
      <c r="P152" s="3" t="s">
        <v>215</v>
      </c>
      <c r="Q152" t="str">
        <f t="shared" si="10"/>
        <v>http://roarmap.eprints.org/view/country/246.html</v>
      </c>
      <c r="R152" s="3">
        <v>246</v>
      </c>
      <c r="S152" s="6" t="s">
        <v>151</v>
      </c>
      <c r="T152" s="9">
        <v>246</v>
      </c>
      <c r="U152" s="7" t="s">
        <v>123</v>
      </c>
      <c r="V152" s="6" t="s">
        <v>125</v>
      </c>
      <c r="W152" s="3" t="s">
        <v>158</v>
      </c>
      <c r="X152" s="3" t="s">
        <v>160</v>
      </c>
      <c r="Y152" s="3" t="s">
        <v>855</v>
      </c>
      <c r="Z152" s="8" t="str">
        <f>HYPERLINK("http://www.oamk.fi/english/","http://www.oamk.fi/english/")</f>
        <v>http://www.oamk.fi/english/</v>
      </c>
      <c r="AA152" s="8" t="str">
        <f t="shared" si="14"/>
        <v>http://www.arene.fi/data/dokumentit/52bd599d-66f6-41a9-8cb7-6e151ec677d5_open%20access%20julkilausuma.pdf</v>
      </c>
      <c r="AB152" s="8" t="str">
        <f t="shared" si="15"/>
        <v>http://theseus.fi/</v>
      </c>
      <c r="AC152" s="3">
        <v>40108</v>
      </c>
      <c r="AD152" s="3">
        <v>40179</v>
      </c>
      <c r="AF152" s="3" t="s">
        <v>177</v>
      </c>
      <c r="AG152" s="3" t="s">
        <v>178</v>
      </c>
      <c r="AH152" s="3" t="s">
        <v>180</v>
      </c>
      <c r="AI152" s="3" t="s">
        <v>244</v>
      </c>
      <c r="AJ152" s="3" t="s">
        <v>182</v>
      </c>
      <c r="AK152" s="3" t="s">
        <v>244</v>
      </c>
      <c r="AL152" s="3" t="s">
        <v>244</v>
      </c>
      <c r="AM152" s="3" t="s">
        <v>178</v>
      </c>
      <c r="AN152" s="3" t="s">
        <v>244</v>
      </c>
      <c r="AO152" s="3" t="s">
        <v>247</v>
      </c>
      <c r="AP152" s="3" t="s">
        <v>244</v>
      </c>
      <c r="AQ152" s="3" t="s">
        <v>247</v>
      </c>
      <c r="AR152" s="3" t="s">
        <v>288</v>
      </c>
      <c r="AS152" s="3" t="s">
        <v>185</v>
      </c>
      <c r="AT152" s="3" t="s">
        <v>244</v>
      </c>
      <c r="AU152" s="3" t="s">
        <v>244</v>
      </c>
      <c r="AV152" s="3" t="s">
        <v>288</v>
      </c>
      <c r="AW152" s="3" t="s">
        <v>339</v>
      </c>
      <c r="AX152" s="3" t="s">
        <v>341</v>
      </c>
      <c r="AY152" s="3" t="s">
        <v>247</v>
      </c>
    </row>
    <row r="153" spans="1:51" ht="15.75" customHeight="1">
      <c r="A153" s="3">
        <v>127</v>
      </c>
      <c r="B153" s="5" t="str">
        <f t="shared" si="0"/>
        <v>http://roarmap.eprints.org/127/</v>
      </c>
      <c r="C153" s="3">
        <v>3</v>
      </c>
      <c r="D153" s="3" t="s">
        <v>98</v>
      </c>
      <c r="E153" s="3">
        <v>1</v>
      </c>
      <c r="F153" s="3" t="s">
        <v>857</v>
      </c>
      <c r="G153" s="3">
        <v>41988.923275462963</v>
      </c>
      <c r="H153" s="3">
        <v>41988.923275462963</v>
      </c>
      <c r="I153" s="3">
        <v>41988.923275462963</v>
      </c>
      <c r="J153" s="3" t="s">
        <v>103</v>
      </c>
      <c r="K153" s="3" t="s">
        <v>105</v>
      </c>
      <c r="L153" s="3" t="s">
        <v>858</v>
      </c>
      <c r="M153" s="3" t="s">
        <v>374</v>
      </c>
      <c r="N153" s="3" t="s">
        <v>815</v>
      </c>
      <c r="O153" s="3" t="s">
        <v>859</v>
      </c>
      <c r="P153" s="3" t="s">
        <v>215</v>
      </c>
      <c r="Q153" t="str">
        <f t="shared" si="10"/>
        <v>http://roarmap.eprints.org/view/country/246.html</v>
      </c>
      <c r="R153" s="3">
        <v>246</v>
      </c>
      <c r="S153" s="6" t="s">
        <v>151</v>
      </c>
      <c r="T153" s="9">
        <v>246</v>
      </c>
      <c r="U153" s="7" t="s">
        <v>123</v>
      </c>
      <c r="V153" s="6" t="s">
        <v>125</v>
      </c>
      <c r="W153" s="3" t="s">
        <v>158</v>
      </c>
      <c r="X153" s="3" t="s">
        <v>160</v>
      </c>
      <c r="Y153" s="3" t="s">
        <v>858</v>
      </c>
      <c r="Z153" s="8" t="str">
        <f>HYPERLINK("http://www.saimia.fi/en-FI/general-information","http://www.saimia.fi/en-FI/general-information")</f>
        <v>http://www.saimia.fi/en-FI/general-information</v>
      </c>
      <c r="AA153" s="8" t="str">
        <f t="shared" si="14"/>
        <v>http://www.arene.fi/data/dokumentit/52bd599d-66f6-41a9-8cb7-6e151ec677d5_open%20access%20julkilausuma.pdf</v>
      </c>
      <c r="AB153" s="8" t="str">
        <f t="shared" si="15"/>
        <v>http://theseus.fi/</v>
      </c>
      <c r="AC153" s="3">
        <v>40108</v>
      </c>
      <c r="AD153" s="3">
        <v>40179</v>
      </c>
      <c r="AF153" s="3" t="s">
        <v>177</v>
      </c>
      <c r="AG153" s="3" t="s">
        <v>178</v>
      </c>
      <c r="AH153" s="3" t="s">
        <v>180</v>
      </c>
      <c r="AI153" s="3" t="s">
        <v>244</v>
      </c>
      <c r="AJ153" s="3" t="s">
        <v>182</v>
      </c>
      <c r="AK153" s="3" t="s">
        <v>244</v>
      </c>
      <c r="AL153" s="3" t="s">
        <v>244</v>
      </c>
      <c r="AM153" s="3" t="s">
        <v>178</v>
      </c>
      <c r="AN153" s="3" t="s">
        <v>244</v>
      </c>
      <c r="AO153" s="3" t="s">
        <v>247</v>
      </c>
      <c r="AP153" s="3" t="s">
        <v>244</v>
      </c>
      <c r="AQ153" s="3" t="s">
        <v>247</v>
      </c>
      <c r="AR153" s="3" t="s">
        <v>288</v>
      </c>
      <c r="AS153" s="3" t="s">
        <v>185</v>
      </c>
      <c r="AT153" s="3" t="s">
        <v>244</v>
      </c>
      <c r="AU153" s="3" t="s">
        <v>244</v>
      </c>
      <c r="AV153" s="3" t="s">
        <v>288</v>
      </c>
      <c r="AW153" s="3" t="s">
        <v>339</v>
      </c>
      <c r="AX153" s="3" t="s">
        <v>341</v>
      </c>
      <c r="AY153" s="3" t="s">
        <v>247</v>
      </c>
    </row>
    <row r="154" spans="1:51" ht="15.75" customHeight="1">
      <c r="A154" s="3">
        <v>128</v>
      </c>
      <c r="B154" s="5" t="str">
        <f t="shared" si="0"/>
        <v>http://roarmap.eprints.org/128/</v>
      </c>
      <c r="C154" s="3">
        <v>3</v>
      </c>
      <c r="D154" s="3" t="s">
        <v>98</v>
      </c>
      <c r="E154" s="3">
        <v>1</v>
      </c>
      <c r="F154" s="3" t="s">
        <v>860</v>
      </c>
      <c r="G154" s="3">
        <v>41988.923275462963</v>
      </c>
      <c r="H154" s="3">
        <v>41988.923275462963</v>
      </c>
      <c r="I154" s="3">
        <v>41988.923275462963</v>
      </c>
      <c r="J154" s="3" t="s">
        <v>103</v>
      </c>
      <c r="K154" s="3" t="s">
        <v>105</v>
      </c>
      <c r="L154" s="3" t="s">
        <v>861</v>
      </c>
      <c r="M154" s="3" t="s">
        <v>374</v>
      </c>
      <c r="N154" s="3" t="s">
        <v>815</v>
      </c>
      <c r="P154" s="3" t="s">
        <v>215</v>
      </c>
      <c r="Q154" t="str">
        <f t="shared" si="10"/>
        <v>http://roarmap.eprints.org/view/country/246.html</v>
      </c>
      <c r="R154" s="3">
        <v>246</v>
      </c>
      <c r="S154" s="6" t="s">
        <v>151</v>
      </c>
      <c r="T154" s="9">
        <v>246</v>
      </c>
      <c r="U154" s="7" t="s">
        <v>123</v>
      </c>
      <c r="V154" s="6" t="s">
        <v>125</v>
      </c>
      <c r="W154" s="3" t="s">
        <v>158</v>
      </c>
      <c r="X154" s="3" t="s">
        <v>160</v>
      </c>
      <c r="Y154" s="3" t="s">
        <v>861</v>
      </c>
      <c r="Z154" s="8" t="str">
        <f>HYPERLINK("http://www.samk.fi/","http://www.samk.fi/")</f>
        <v>http://www.samk.fi/</v>
      </c>
      <c r="AA154" s="8" t="str">
        <f t="shared" si="14"/>
        <v>http://www.arene.fi/data/dokumentit/52bd599d-66f6-41a9-8cb7-6e151ec677d5_open%20access%20julkilausuma.pdf</v>
      </c>
      <c r="AB154" s="8" t="str">
        <f t="shared" si="15"/>
        <v>http://theseus.fi/</v>
      </c>
      <c r="AC154" s="3">
        <v>40108</v>
      </c>
      <c r="AD154" s="3">
        <v>40179</v>
      </c>
      <c r="AF154" s="3" t="s">
        <v>177</v>
      </c>
      <c r="AG154" s="3" t="s">
        <v>178</v>
      </c>
      <c r="AH154" s="3" t="s">
        <v>180</v>
      </c>
      <c r="AI154" s="3" t="s">
        <v>244</v>
      </c>
      <c r="AJ154" s="3" t="s">
        <v>182</v>
      </c>
      <c r="AK154" s="3" t="s">
        <v>244</v>
      </c>
      <c r="AL154" s="3" t="s">
        <v>244</v>
      </c>
      <c r="AM154" s="3" t="s">
        <v>178</v>
      </c>
      <c r="AN154" s="3" t="s">
        <v>244</v>
      </c>
      <c r="AO154" s="3" t="s">
        <v>247</v>
      </c>
      <c r="AP154" s="3" t="s">
        <v>244</v>
      </c>
      <c r="AQ154" s="3" t="s">
        <v>247</v>
      </c>
      <c r="AR154" s="3" t="s">
        <v>288</v>
      </c>
      <c r="AS154" s="3" t="s">
        <v>185</v>
      </c>
      <c r="AT154" s="3" t="s">
        <v>244</v>
      </c>
      <c r="AU154" s="3" t="s">
        <v>244</v>
      </c>
      <c r="AV154" s="3" t="s">
        <v>288</v>
      </c>
      <c r="AW154" s="3" t="s">
        <v>339</v>
      </c>
      <c r="AX154" s="3" t="s">
        <v>341</v>
      </c>
      <c r="AY154" s="3" t="s">
        <v>247</v>
      </c>
    </row>
    <row r="155" spans="1:51" ht="15.75" customHeight="1">
      <c r="A155" s="3">
        <v>129</v>
      </c>
      <c r="B155" s="5" t="str">
        <f t="shared" si="0"/>
        <v>http://roarmap.eprints.org/129/</v>
      </c>
      <c r="C155" s="3">
        <v>3</v>
      </c>
      <c r="D155" s="3" t="s">
        <v>98</v>
      </c>
      <c r="E155" s="3">
        <v>1</v>
      </c>
      <c r="F155" s="3" t="s">
        <v>862</v>
      </c>
      <c r="G155" s="3">
        <v>41988.923275462963</v>
      </c>
      <c r="H155" s="3">
        <v>41988.923275462963</v>
      </c>
      <c r="I155" s="3">
        <v>41988.923275462963</v>
      </c>
      <c r="J155" s="3" t="s">
        <v>103</v>
      </c>
      <c r="K155" s="3" t="s">
        <v>105</v>
      </c>
      <c r="L155" s="3" t="s">
        <v>863</v>
      </c>
      <c r="M155" s="3" t="s">
        <v>374</v>
      </c>
      <c r="N155" s="3" t="s">
        <v>815</v>
      </c>
      <c r="P155" s="3" t="s">
        <v>215</v>
      </c>
      <c r="Q155" t="str">
        <f t="shared" si="10"/>
        <v>http://roarmap.eprints.org/view/country/246.html</v>
      </c>
      <c r="R155" s="3">
        <v>246</v>
      </c>
      <c r="S155" s="6" t="s">
        <v>151</v>
      </c>
      <c r="T155" s="9">
        <v>246</v>
      </c>
      <c r="U155" s="7" t="s">
        <v>123</v>
      </c>
      <c r="V155" s="6" t="s">
        <v>125</v>
      </c>
      <c r="W155" s="3" t="s">
        <v>158</v>
      </c>
      <c r="X155" s="3" t="s">
        <v>160</v>
      </c>
      <c r="Y155" s="3" t="s">
        <v>863</v>
      </c>
      <c r="Z155" s="8" t="str">
        <f>HYPERLINK("http://portal.savonia.fi/amk/en/","http://portal.savonia.fi/amk/en/")</f>
        <v>http://portal.savonia.fi/amk/en/</v>
      </c>
      <c r="AA155" s="8" t="str">
        <f t="shared" si="14"/>
        <v>http://www.arene.fi/data/dokumentit/52bd599d-66f6-41a9-8cb7-6e151ec677d5_open%20access%20julkilausuma.pdf</v>
      </c>
      <c r="AB155" s="8" t="str">
        <f t="shared" si="15"/>
        <v>http://theseus.fi/</v>
      </c>
      <c r="AC155" s="3">
        <v>40108</v>
      </c>
      <c r="AD155" s="3">
        <v>40179</v>
      </c>
      <c r="AF155" s="3" t="s">
        <v>177</v>
      </c>
      <c r="AG155" s="3" t="s">
        <v>178</v>
      </c>
      <c r="AH155" s="3" t="s">
        <v>180</v>
      </c>
      <c r="AI155" s="3" t="s">
        <v>244</v>
      </c>
      <c r="AJ155" s="3" t="s">
        <v>182</v>
      </c>
      <c r="AK155" s="3" t="s">
        <v>244</v>
      </c>
      <c r="AL155" s="3" t="s">
        <v>244</v>
      </c>
      <c r="AM155" s="3" t="s">
        <v>178</v>
      </c>
      <c r="AN155" s="3" t="s">
        <v>244</v>
      </c>
      <c r="AO155" s="3" t="s">
        <v>247</v>
      </c>
      <c r="AP155" s="3" t="s">
        <v>244</v>
      </c>
      <c r="AQ155" s="3" t="s">
        <v>247</v>
      </c>
      <c r="AR155" s="3" t="s">
        <v>288</v>
      </c>
      <c r="AS155" s="3" t="s">
        <v>185</v>
      </c>
      <c r="AT155" s="3" t="s">
        <v>244</v>
      </c>
      <c r="AU155" s="3" t="s">
        <v>244</v>
      </c>
      <c r="AV155" s="3" t="s">
        <v>288</v>
      </c>
      <c r="AW155" s="3" t="s">
        <v>339</v>
      </c>
      <c r="AX155" s="3" t="s">
        <v>341</v>
      </c>
      <c r="AY155" s="3" t="s">
        <v>247</v>
      </c>
    </row>
    <row r="156" spans="1:51" ht="15.75" customHeight="1">
      <c r="A156" s="3">
        <v>130</v>
      </c>
      <c r="B156" s="5" t="str">
        <f t="shared" si="0"/>
        <v>http://roarmap.eprints.org/130/</v>
      </c>
      <c r="C156" s="3">
        <v>3</v>
      </c>
      <c r="D156" s="3" t="s">
        <v>98</v>
      </c>
      <c r="E156" s="3">
        <v>1</v>
      </c>
      <c r="F156" s="3" t="s">
        <v>864</v>
      </c>
      <c r="G156" s="3">
        <v>41988.923275462963</v>
      </c>
      <c r="H156" s="3">
        <v>41988.923275462963</v>
      </c>
      <c r="I156" s="3">
        <v>41988.923275462963</v>
      </c>
      <c r="J156" s="3" t="s">
        <v>103</v>
      </c>
      <c r="K156" s="3" t="s">
        <v>105</v>
      </c>
      <c r="L156" s="3" t="s">
        <v>865</v>
      </c>
      <c r="M156" s="3" t="s">
        <v>374</v>
      </c>
      <c r="N156" s="3" t="s">
        <v>815</v>
      </c>
      <c r="O156" s="3" t="s">
        <v>866</v>
      </c>
      <c r="P156" s="3" t="s">
        <v>215</v>
      </c>
      <c r="Q156" t="str">
        <f t="shared" si="10"/>
        <v>http://roarmap.eprints.org/view/country/246.html</v>
      </c>
      <c r="R156" s="3">
        <v>246</v>
      </c>
      <c r="S156" s="6" t="s">
        <v>151</v>
      </c>
      <c r="T156" s="9">
        <v>246</v>
      </c>
      <c r="U156" s="7" t="s">
        <v>123</v>
      </c>
      <c r="V156" s="6" t="s">
        <v>125</v>
      </c>
      <c r="W156" s="3" t="s">
        <v>158</v>
      </c>
      <c r="X156" s="3" t="s">
        <v>160</v>
      </c>
      <c r="Y156" s="3" t="s">
        <v>865</v>
      </c>
      <c r="Z156" s="8" t="str">
        <f>HYPERLINK("http://www.seamk.fi/en","http://www.seamk.fi/en")</f>
        <v>http://www.seamk.fi/en</v>
      </c>
      <c r="AA156" s="8" t="str">
        <f t="shared" si="14"/>
        <v>http://www.arene.fi/data/dokumentit/52bd599d-66f6-41a9-8cb7-6e151ec677d5_open%20access%20julkilausuma.pdf</v>
      </c>
      <c r="AB156" s="8" t="str">
        <f>HYPERLINK("http://www.theseus.fi/","http://www.theseus.fi/")</f>
        <v>http://www.theseus.fi/</v>
      </c>
      <c r="AC156" s="3">
        <v>40108</v>
      </c>
      <c r="AD156" s="3">
        <v>40179</v>
      </c>
      <c r="AF156" s="3" t="s">
        <v>177</v>
      </c>
      <c r="AG156" s="3" t="s">
        <v>178</v>
      </c>
      <c r="AH156" s="3" t="s">
        <v>180</v>
      </c>
      <c r="AI156" s="3" t="s">
        <v>244</v>
      </c>
      <c r="AJ156" s="3" t="s">
        <v>182</v>
      </c>
      <c r="AK156" s="3" t="s">
        <v>244</v>
      </c>
      <c r="AL156" s="3" t="s">
        <v>244</v>
      </c>
      <c r="AM156" s="3" t="s">
        <v>178</v>
      </c>
      <c r="AN156" s="3" t="s">
        <v>244</v>
      </c>
      <c r="AO156" s="3" t="s">
        <v>247</v>
      </c>
      <c r="AP156" s="3" t="s">
        <v>244</v>
      </c>
      <c r="AQ156" s="3" t="s">
        <v>247</v>
      </c>
      <c r="AR156" s="3" t="s">
        <v>288</v>
      </c>
      <c r="AS156" s="3" t="s">
        <v>185</v>
      </c>
      <c r="AT156" s="3" t="s">
        <v>244</v>
      </c>
      <c r="AU156" s="3" t="s">
        <v>244</v>
      </c>
      <c r="AV156" s="3" t="s">
        <v>288</v>
      </c>
      <c r="AW156" s="3" t="s">
        <v>339</v>
      </c>
      <c r="AX156" s="3" t="s">
        <v>341</v>
      </c>
      <c r="AY156" s="3" t="s">
        <v>247</v>
      </c>
    </row>
    <row r="157" spans="1:51" ht="15.75" customHeight="1">
      <c r="A157" s="3">
        <v>131</v>
      </c>
      <c r="B157" s="5" t="str">
        <f t="shared" si="0"/>
        <v>http://roarmap.eprints.org/131/</v>
      </c>
      <c r="C157" s="3">
        <v>4</v>
      </c>
      <c r="D157" s="3" t="s">
        <v>98</v>
      </c>
      <c r="E157" s="3">
        <v>1</v>
      </c>
      <c r="F157" s="3" t="s">
        <v>867</v>
      </c>
      <c r="G157" s="3">
        <v>41988.923275462963</v>
      </c>
      <c r="H157" s="3">
        <v>42020.586678240739</v>
      </c>
      <c r="I157" s="3">
        <v>41988.923275462963</v>
      </c>
      <c r="J157" s="3" t="s">
        <v>103</v>
      </c>
      <c r="K157" s="3" t="s">
        <v>105</v>
      </c>
      <c r="L157" s="3" t="s">
        <v>868</v>
      </c>
      <c r="M157" s="3" t="s">
        <v>374</v>
      </c>
      <c r="N157" s="3" t="s">
        <v>869</v>
      </c>
      <c r="O157" s="3" t="s">
        <v>870</v>
      </c>
      <c r="Q157" t="str">
        <f t="shared" si="10"/>
        <v>http://roarmap.eprints.org/view/country/246.html</v>
      </c>
      <c r="R157" s="3">
        <v>246</v>
      </c>
      <c r="S157" s="6" t="s">
        <v>151</v>
      </c>
      <c r="T157" s="9">
        <v>246</v>
      </c>
      <c r="U157" s="7" t="s">
        <v>123</v>
      </c>
      <c r="V157" s="6" t="s">
        <v>125</v>
      </c>
      <c r="W157" s="3" t="s">
        <v>158</v>
      </c>
      <c r="X157" s="3" t="s">
        <v>160</v>
      </c>
      <c r="Y157" s="3" t="s">
        <v>868</v>
      </c>
      <c r="Z157" s="8" t="str">
        <f>HYPERLINK("http://www.tamk.fi/cms/tamken.nsf","http://www.tamk.fi/cms/tamken.nsf")</f>
        <v>http://www.tamk.fi/cms/tamken.nsf</v>
      </c>
      <c r="AA157" s="8" t="str">
        <f t="shared" si="14"/>
        <v>http://www.arene.fi/data/dokumentit/52bd599d-66f6-41a9-8cb7-6e151ec677d5_open%20access%20julkilausuma.pdf</v>
      </c>
      <c r="AB157" s="8" t="str">
        <f t="shared" ref="AB157:AB158" si="16">HYPERLINK("http://theseus.fi/","http://theseus.fi/")</f>
        <v>http://theseus.fi/</v>
      </c>
      <c r="AC157" s="3">
        <v>40108</v>
      </c>
      <c r="AD157" s="3">
        <v>40179</v>
      </c>
      <c r="AF157" s="3" t="s">
        <v>177</v>
      </c>
      <c r="AG157" s="3" t="s">
        <v>178</v>
      </c>
      <c r="AH157" s="3" t="s">
        <v>180</v>
      </c>
      <c r="AI157" s="3" t="s">
        <v>244</v>
      </c>
      <c r="AJ157" s="3" t="s">
        <v>182</v>
      </c>
      <c r="AK157" s="3" t="s">
        <v>244</v>
      </c>
      <c r="AL157" s="3" t="s">
        <v>244</v>
      </c>
      <c r="AM157" s="3" t="s">
        <v>178</v>
      </c>
      <c r="AN157" s="3" t="s">
        <v>244</v>
      </c>
      <c r="AO157" s="3" t="s">
        <v>247</v>
      </c>
      <c r="AP157" s="3" t="s">
        <v>244</v>
      </c>
      <c r="AQ157" s="3" t="s">
        <v>247</v>
      </c>
      <c r="AR157" s="3" t="s">
        <v>288</v>
      </c>
      <c r="AS157" s="3" t="s">
        <v>185</v>
      </c>
      <c r="AT157" s="3" t="s">
        <v>244</v>
      </c>
      <c r="AU157" s="3" t="s">
        <v>244</v>
      </c>
      <c r="AV157" s="3" t="s">
        <v>288</v>
      </c>
      <c r="AW157" s="3" t="s">
        <v>339</v>
      </c>
      <c r="AX157" s="3" t="s">
        <v>341</v>
      </c>
      <c r="AY157" s="3" t="s">
        <v>247</v>
      </c>
    </row>
    <row r="158" spans="1:51" ht="15.75" customHeight="1">
      <c r="A158" s="3">
        <v>132</v>
      </c>
      <c r="B158" s="5" t="str">
        <f t="shared" si="0"/>
        <v>http://roarmap.eprints.org/132/</v>
      </c>
      <c r="C158" s="3">
        <v>3</v>
      </c>
      <c r="D158" s="3" t="s">
        <v>98</v>
      </c>
      <c r="E158" s="3">
        <v>1</v>
      </c>
      <c r="F158" s="3" t="s">
        <v>871</v>
      </c>
      <c r="G158" s="3">
        <v>41988.923275462963</v>
      </c>
      <c r="H158" s="3">
        <v>41988.923275462963</v>
      </c>
      <c r="I158" s="3">
        <v>41988.923275462963</v>
      </c>
      <c r="J158" s="3" t="s">
        <v>103</v>
      </c>
      <c r="K158" s="3" t="s">
        <v>105</v>
      </c>
      <c r="L158" s="3" t="s">
        <v>872</v>
      </c>
      <c r="M158" s="3" t="s">
        <v>374</v>
      </c>
      <c r="N158" s="3" t="s">
        <v>873</v>
      </c>
      <c r="P158" s="3" t="s">
        <v>215</v>
      </c>
      <c r="Q158" t="str">
        <f t="shared" si="10"/>
        <v>http://roarmap.eprints.org/view/country/246.html</v>
      </c>
      <c r="R158" s="3">
        <v>246</v>
      </c>
      <c r="S158" s="6" t="s">
        <v>151</v>
      </c>
      <c r="T158" s="9">
        <v>246</v>
      </c>
      <c r="U158" s="7" t="s">
        <v>123</v>
      </c>
      <c r="V158" s="6" t="s">
        <v>125</v>
      </c>
      <c r="W158" s="3" t="s">
        <v>158</v>
      </c>
      <c r="X158" s="3" t="s">
        <v>160</v>
      </c>
      <c r="Y158" s="3" t="s">
        <v>872</v>
      </c>
      <c r="Z158" s="8" t="str">
        <f>HYPERLINK("http://www.tuas.fi/en/","http://www.tuas.fi/en/")</f>
        <v>http://www.tuas.fi/en/</v>
      </c>
      <c r="AA158" s="8" t="str">
        <f t="shared" si="14"/>
        <v>http://www.arene.fi/data/dokumentit/52bd599d-66f6-41a9-8cb7-6e151ec677d5_open%20access%20julkilausuma.pdf</v>
      </c>
      <c r="AB158" s="8" t="str">
        <f t="shared" si="16"/>
        <v>http://theseus.fi/</v>
      </c>
      <c r="AG158" s="3" t="s">
        <v>244</v>
      </c>
      <c r="AH158" s="3" t="s">
        <v>244</v>
      </c>
      <c r="AI158" s="3" t="s">
        <v>244</v>
      </c>
      <c r="AJ158" s="3" t="s">
        <v>244</v>
      </c>
      <c r="AK158" s="3" t="s">
        <v>244</v>
      </c>
      <c r="AL158" s="3" t="s">
        <v>244</v>
      </c>
      <c r="AM158" s="3" t="s">
        <v>247</v>
      </c>
      <c r="AN158" s="3" t="s">
        <v>244</v>
      </c>
      <c r="AO158" s="3" t="s">
        <v>247</v>
      </c>
      <c r="AP158" s="3" t="s">
        <v>244</v>
      </c>
      <c r="AQ158" s="3" t="s">
        <v>247</v>
      </c>
      <c r="AR158" s="3" t="s">
        <v>288</v>
      </c>
      <c r="AS158" s="3" t="s">
        <v>244</v>
      </c>
      <c r="AT158" s="3" t="s">
        <v>244</v>
      </c>
      <c r="AU158" s="3" t="s">
        <v>244</v>
      </c>
      <c r="AV158" s="3" t="s">
        <v>288</v>
      </c>
      <c r="AW158" s="3" t="s">
        <v>244</v>
      </c>
      <c r="AX158" s="3" t="s">
        <v>244</v>
      </c>
      <c r="AY158" s="3" t="s">
        <v>247</v>
      </c>
    </row>
    <row r="159" spans="1:51" ht="15.75" customHeight="1">
      <c r="A159" s="3">
        <v>133</v>
      </c>
      <c r="B159" s="5" t="str">
        <f t="shared" si="0"/>
        <v>http://roarmap.eprints.org/133/</v>
      </c>
      <c r="C159" s="3">
        <v>3</v>
      </c>
      <c r="D159" s="3" t="s">
        <v>98</v>
      </c>
      <c r="E159" s="3">
        <v>1</v>
      </c>
      <c r="F159" s="3" t="s">
        <v>874</v>
      </c>
      <c r="G159" s="3">
        <v>41988.923275462963</v>
      </c>
      <c r="H159" s="3">
        <v>41988.923275462963</v>
      </c>
      <c r="I159" s="3">
        <v>41988.923275462963</v>
      </c>
      <c r="J159" s="3" t="s">
        <v>103</v>
      </c>
      <c r="K159" s="3" t="s">
        <v>105</v>
      </c>
      <c r="L159" s="3" t="s">
        <v>875</v>
      </c>
      <c r="M159" s="3" t="s">
        <v>374</v>
      </c>
      <c r="O159" s="3" t="s">
        <v>876</v>
      </c>
      <c r="P159" s="3" t="s">
        <v>215</v>
      </c>
      <c r="Q159" t="str">
        <f t="shared" si="10"/>
        <v>http://roarmap.eprints.org/view/country/246.html</v>
      </c>
      <c r="R159" s="3">
        <v>246</v>
      </c>
      <c r="S159" s="6" t="s">
        <v>151</v>
      </c>
      <c r="T159" s="9">
        <v>246</v>
      </c>
      <c r="U159" s="7" t="s">
        <v>123</v>
      </c>
      <c r="V159" s="6" t="s">
        <v>125</v>
      </c>
      <c r="W159" s="3" t="s">
        <v>158</v>
      </c>
      <c r="X159" s="3" t="s">
        <v>160</v>
      </c>
      <c r="Y159" s="3" t="s">
        <v>875</v>
      </c>
      <c r="Z159" s="8" t="str">
        <f>HYPERLINK("http://www.helsinki.fi/university/index.html","http://www.helsinki.fi/university/index.html")</f>
        <v>http://www.helsinki.fi/university/index.html</v>
      </c>
      <c r="AA159" s="8" t="str">
        <f>HYPERLINK("http://www.helsinki.fi/openaccess/open%20access/english/decision260508_eng.pdf","http://www.helsinki.fi/openaccess/open%20access/english/decision260508_eng.pdf")</f>
        <v>http://www.helsinki.fi/openaccess/open%20access/english/decision260508_eng.pdf</v>
      </c>
      <c r="AB159" s="8" t="str">
        <f>HYPERLINK("https://helda.helsinki.fi/","https://helda.helsinki.fi/")</f>
        <v>https://helda.helsinki.fi/</v>
      </c>
      <c r="AC159" s="3">
        <v>39594</v>
      </c>
      <c r="AD159" s="3">
        <v>40179</v>
      </c>
      <c r="AF159" s="3" t="s">
        <v>177</v>
      </c>
      <c r="AG159" s="3" t="s">
        <v>178</v>
      </c>
      <c r="AH159" s="3" t="s">
        <v>180</v>
      </c>
      <c r="AI159" s="3" t="s">
        <v>392</v>
      </c>
      <c r="AJ159" s="3" t="s">
        <v>182</v>
      </c>
      <c r="AK159" s="3" t="s">
        <v>393</v>
      </c>
      <c r="AL159" s="3" t="s">
        <v>185</v>
      </c>
      <c r="AM159" s="3" t="s">
        <v>178</v>
      </c>
      <c r="AN159" s="3" t="s">
        <v>189</v>
      </c>
      <c r="AO159" s="3" t="s">
        <v>181</v>
      </c>
      <c r="AP159" s="3" t="s">
        <v>244</v>
      </c>
      <c r="AQ159" s="3" t="s">
        <v>394</v>
      </c>
      <c r="AR159" s="3" t="s">
        <v>288</v>
      </c>
      <c r="AS159" s="3" t="s">
        <v>185</v>
      </c>
      <c r="AT159" s="3" t="s">
        <v>244</v>
      </c>
      <c r="AU159" s="3" t="s">
        <v>244</v>
      </c>
      <c r="AV159" s="3" t="s">
        <v>288</v>
      </c>
      <c r="AW159" s="3" t="s">
        <v>339</v>
      </c>
      <c r="AX159" s="3" t="s">
        <v>341</v>
      </c>
      <c r="AY159" s="3" t="s">
        <v>247</v>
      </c>
    </row>
    <row r="160" spans="1:51" ht="15.75" customHeight="1">
      <c r="A160" s="3">
        <v>134</v>
      </c>
      <c r="B160" s="5" t="str">
        <f t="shared" si="0"/>
        <v>http://roarmap.eprints.org/134/</v>
      </c>
      <c r="C160" s="3">
        <v>3</v>
      </c>
      <c r="D160" s="3" t="s">
        <v>98</v>
      </c>
      <c r="E160" s="3">
        <v>1</v>
      </c>
      <c r="F160" s="3" t="s">
        <v>877</v>
      </c>
      <c r="G160" s="3">
        <v>41988.923275462963</v>
      </c>
      <c r="H160" s="3">
        <v>41988.923275462963</v>
      </c>
      <c r="I160" s="3">
        <v>41988.923275462963</v>
      </c>
      <c r="J160" s="3" t="s">
        <v>103</v>
      </c>
      <c r="K160" s="3" t="s">
        <v>105</v>
      </c>
      <c r="L160" s="3" t="s">
        <v>878</v>
      </c>
      <c r="M160" s="3" t="s">
        <v>374</v>
      </c>
      <c r="N160" s="3" t="s">
        <v>879</v>
      </c>
      <c r="O160" s="3" t="s">
        <v>880</v>
      </c>
      <c r="P160" s="3" t="s">
        <v>215</v>
      </c>
      <c r="Q160" t="str">
        <f t="shared" si="10"/>
        <v>http://roarmap.eprints.org/view/country/246.html</v>
      </c>
      <c r="R160" s="3">
        <v>246</v>
      </c>
      <c r="S160" s="6" t="s">
        <v>151</v>
      </c>
      <c r="T160" s="9">
        <v>246</v>
      </c>
      <c r="U160" s="7" t="s">
        <v>123</v>
      </c>
      <c r="V160" s="6" t="s">
        <v>125</v>
      </c>
      <c r="W160" s="3" t="s">
        <v>158</v>
      </c>
      <c r="X160" s="3" t="s">
        <v>160</v>
      </c>
      <c r="Y160" s="3" t="s">
        <v>878</v>
      </c>
      <c r="Z160" s="8" t="str">
        <f>HYPERLINK("http://www.uta.fi/english/","http://www.uta.fi/english/")</f>
        <v>http://www.uta.fi/english/</v>
      </c>
      <c r="AA160" s="8" t="str">
        <f>HYPERLINK("http://www.uta.fi/english/research/OA/self-archiving/decision_OA.pdf","http://www.uta.fi/english/research/OA/self-archiving/decision_OA.pdf")</f>
        <v>http://www.uta.fi/english/research/OA/self-archiving/decision_OA.pdf</v>
      </c>
      <c r="AB160" s="8" t="str">
        <f>HYPERLINK("http://tampub.uta.fi/english/index.php","http://tampub.uta.fi/english/index.php")</f>
        <v>http://tampub.uta.fi/english/index.php</v>
      </c>
      <c r="AC160" s="3">
        <v>39829</v>
      </c>
      <c r="AD160" s="3">
        <v>40544</v>
      </c>
      <c r="AF160" s="3" t="s">
        <v>177</v>
      </c>
      <c r="AG160" s="3" t="s">
        <v>333</v>
      </c>
      <c r="AH160" s="3" t="s">
        <v>180</v>
      </c>
      <c r="AI160" s="3" t="s">
        <v>181</v>
      </c>
      <c r="AJ160" s="3" t="s">
        <v>182</v>
      </c>
      <c r="AK160" s="3" t="s">
        <v>244</v>
      </c>
      <c r="AL160" s="3" t="s">
        <v>288</v>
      </c>
      <c r="AM160" s="3" t="s">
        <v>479</v>
      </c>
      <c r="AN160" s="3" t="s">
        <v>244</v>
      </c>
      <c r="AO160" s="3" t="s">
        <v>181</v>
      </c>
      <c r="AP160" s="3" t="s">
        <v>244</v>
      </c>
      <c r="AQ160" s="3" t="s">
        <v>394</v>
      </c>
      <c r="AR160" s="3" t="s">
        <v>288</v>
      </c>
      <c r="AS160" s="3" t="s">
        <v>288</v>
      </c>
      <c r="AT160" s="3" t="s">
        <v>244</v>
      </c>
      <c r="AU160" s="3" t="s">
        <v>244</v>
      </c>
      <c r="AV160" s="3" t="s">
        <v>288</v>
      </c>
      <c r="AW160" s="3" t="s">
        <v>339</v>
      </c>
      <c r="AX160" s="3" t="s">
        <v>341</v>
      </c>
      <c r="AY160" s="3" t="s">
        <v>247</v>
      </c>
    </row>
    <row r="161" spans="1:51" ht="15.75" customHeight="1">
      <c r="A161" s="3">
        <v>135</v>
      </c>
      <c r="B161" s="5" t="str">
        <f t="shared" si="0"/>
        <v>http://roarmap.eprints.org/135/</v>
      </c>
      <c r="C161" s="3">
        <v>3</v>
      </c>
      <c r="D161" s="3" t="s">
        <v>98</v>
      </c>
      <c r="E161" s="3">
        <v>1</v>
      </c>
      <c r="F161" s="3" t="s">
        <v>881</v>
      </c>
      <c r="G161" s="3">
        <v>41988.923275462963</v>
      </c>
      <c r="H161" s="3">
        <v>41988.923275462963</v>
      </c>
      <c r="I161" s="3">
        <v>41988.923275462963</v>
      </c>
      <c r="J161" s="3" t="s">
        <v>103</v>
      </c>
      <c r="K161" s="3" t="s">
        <v>105</v>
      </c>
      <c r="L161" s="3" t="s">
        <v>882</v>
      </c>
      <c r="M161" s="3" t="s">
        <v>374</v>
      </c>
      <c r="N161" s="3" t="s">
        <v>873</v>
      </c>
      <c r="P161" s="3" t="s">
        <v>215</v>
      </c>
      <c r="Q161" t="str">
        <f t="shared" si="10"/>
        <v>http://roarmap.eprints.org/view/country/246.html</v>
      </c>
      <c r="R161" s="3">
        <v>246</v>
      </c>
      <c r="S161" s="6" t="s">
        <v>151</v>
      </c>
      <c r="T161" s="9">
        <v>246</v>
      </c>
      <c r="U161" s="7" t="s">
        <v>123</v>
      </c>
      <c r="V161" s="6" t="s">
        <v>125</v>
      </c>
      <c r="W161" s="3" t="s">
        <v>158</v>
      </c>
      <c r="X161" s="3" t="s">
        <v>160</v>
      </c>
      <c r="Y161" s="3" t="s">
        <v>882</v>
      </c>
      <c r="Z161" s="8" t="str">
        <f>HYPERLINK("http://www.puv.fi/en/","http://www.puv.fi/en/")</f>
        <v>http://www.puv.fi/en/</v>
      </c>
      <c r="AA161" s="8" t="str">
        <f>HYPERLINK("http://www.arene.fi/data/dokumentit/52bd599d-66f6-41a9-8cb7-6e151ec677d5_open%20access%20julkilausuma.pdf","http://www.arene.fi/data/dokumentit/52bd599d-66f6-41a9-8cb7-6e151ec677d5_open%20access%20julkilausuma.pdf")</f>
        <v>http://www.arene.fi/data/dokumentit/52bd599d-66f6-41a9-8cb7-6e151ec677d5_open%20access%20julkilausuma.pdf</v>
      </c>
      <c r="AB161" s="8" t="str">
        <f>HYPERLINK("http://theseus.fi/","http://theseus.fi/")</f>
        <v>http://theseus.fi/</v>
      </c>
      <c r="AC161" s="3">
        <v>40108</v>
      </c>
      <c r="AD161" s="3">
        <v>40179</v>
      </c>
      <c r="AF161" s="3" t="s">
        <v>177</v>
      </c>
      <c r="AG161" s="3" t="s">
        <v>178</v>
      </c>
      <c r="AH161" s="3" t="s">
        <v>180</v>
      </c>
      <c r="AI161" s="3" t="s">
        <v>244</v>
      </c>
      <c r="AJ161" s="3" t="s">
        <v>182</v>
      </c>
      <c r="AK161" s="3" t="s">
        <v>244</v>
      </c>
      <c r="AL161" s="3" t="s">
        <v>244</v>
      </c>
      <c r="AM161" s="3" t="s">
        <v>178</v>
      </c>
      <c r="AN161" s="3" t="s">
        <v>244</v>
      </c>
      <c r="AO161" s="3" t="s">
        <v>247</v>
      </c>
      <c r="AP161" s="3" t="s">
        <v>244</v>
      </c>
      <c r="AQ161" s="3" t="s">
        <v>247</v>
      </c>
      <c r="AR161" s="3" t="s">
        <v>288</v>
      </c>
      <c r="AS161" s="3" t="s">
        <v>185</v>
      </c>
      <c r="AT161" s="3" t="s">
        <v>244</v>
      </c>
      <c r="AU161" s="3" t="s">
        <v>244</v>
      </c>
      <c r="AV161" s="3" t="s">
        <v>288</v>
      </c>
      <c r="AW161" s="3" t="s">
        <v>339</v>
      </c>
      <c r="AX161" s="3" t="s">
        <v>341</v>
      </c>
      <c r="AY161" s="3" t="s">
        <v>247</v>
      </c>
    </row>
    <row r="162" spans="1:51" ht="15.75" customHeight="1">
      <c r="A162" s="3">
        <v>136</v>
      </c>
      <c r="B162" s="5" t="str">
        <f t="shared" si="0"/>
        <v>http://roarmap.eprints.org/136/</v>
      </c>
      <c r="C162" s="3">
        <v>3</v>
      </c>
      <c r="D162" s="3" t="s">
        <v>98</v>
      </c>
      <c r="E162" s="3">
        <v>1</v>
      </c>
      <c r="F162" s="3" t="s">
        <v>883</v>
      </c>
      <c r="G162" s="3">
        <v>41988.923275462963</v>
      </c>
      <c r="H162" s="3">
        <v>41988.92328703704</v>
      </c>
      <c r="I162" s="3">
        <v>41988.923275462963</v>
      </c>
      <c r="J162" s="3" t="s">
        <v>103</v>
      </c>
      <c r="K162" s="3" t="s">
        <v>105</v>
      </c>
      <c r="L162" s="3" t="s">
        <v>884</v>
      </c>
      <c r="M162" s="3" t="s">
        <v>637</v>
      </c>
      <c r="P162" s="3" t="s">
        <v>215</v>
      </c>
      <c r="Q162" t="str">
        <f t="shared" si="10"/>
        <v>http://roarmap.eprints.org/view/country/250.html</v>
      </c>
      <c r="R162" s="3">
        <v>250</v>
      </c>
      <c r="S162" s="6" t="s">
        <v>153</v>
      </c>
      <c r="T162" s="9">
        <v>250</v>
      </c>
      <c r="U162" s="7" t="s">
        <v>123</v>
      </c>
      <c r="V162" s="6" t="s">
        <v>108</v>
      </c>
      <c r="W162" s="3" t="s">
        <v>158</v>
      </c>
      <c r="X162" s="3" t="s">
        <v>376</v>
      </c>
      <c r="Y162" s="3" t="s">
        <v>884</v>
      </c>
      <c r="Z162" s="8" t="str">
        <f>HYPERLINK("http://www.agence-nationale-recherche.fr/","http://www.agence-nationale-recherche.fr/")</f>
        <v>http://www.agence-nationale-recherche.fr/</v>
      </c>
      <c r="AA162" s="8" t="str">
        <f>HYPERLINK("http://www.agence-nationale-recherche.fr/informations/actualites/detail/?tx_ttnews%5btt_news%5d=159","http://www.agence-nationale-recherche.fr/informations/actualites/detail/?tx_ttnews%5btt_news%5d=159")</f>
        <v>http://www.agence-nationale-recherche.fr/informations/actualites/detail/?tx_ttnews%5btt_news%5d=159</v>
      </c>
      <c r="AB162" s="8" t="str">
        <f>HYPERLINK("http://hal.archives-ouvertes.fr/","http://hal.archives-ouvertes.fr/")</f>
        <v>http://hal.archives-ouvertes.fr/</v>
      </c>
      <c r="AC162" s="3">
        <v>39306</v>
      </c>
      <c r="AD162" s="3">
        <v>39306</v>
      </c>
      <c r="AF162" s="3" t="s">
        <v>177</v>
      </c>
      <c r="AG162" s="3" t="s">
        <v>333</v>
      </c>
      <c r="AH162" s="3" t="s">
        <v>370</v>
      </c>
      <c r="AI162" s="3" t="s">
        <v>244</v>
      </c>
      <c r="AJ162" s="3" t="s">
        <v>244</v>
      </c>
      <c r="AK162" s="3" t="s">
        <v>244</v>
      </c>
      <c r="AL162" s="3" t="s">
        <v>288</v>
      </c>
      <c r="AM162" s="3" t="s">
        <v>247</v>
      </c>
      <c r="AN162" s="3" t="s">
        <v>244</v>
      </c>
      <c r="AO162" s="3" t="s">
        <v>247</v>
      </c>
      <c r="AP162" s="3" t="s">
        <v>244</v>
      </c>
      <c r="AQ162" s="3" t="s">
        <v>247</v>
      </c>
      <c r="AR162" s="3" t="s">
        <v>288</v>
      </c>
      <c r="AS162" s="3" t="s">
        <v>288</v>
      </c>
      <c r="AT162" s="3" t="s">
        <v>244</v>
      </c>
      <c r="AU162" s="3" t="s">
        <v>244</v>
      </c>
      <c r="AV162" s="3" t="s">
        <v>288</v>
      </c>
      <c r="AW162" s="3" t="s">
        <v>339</v>
      </c>
      <c r="AX162" s="3" t="s">
        <v>244</v>
      </c>
      <c r="AY162" s="3" t="s">
        <v>247</v>
      </c>
    </row>
    <row r="163" spans="1:51" ht="15.75" customHeight="1">
      <c r="A163" s="3">
        <v>137</v>
      </c>
      <c r="B163" s="5" t="str">
        <f t="shared" si="0"/>
        <v>http://roarmap.eprints.org/137/</v>
      </c>
      <c r="C163" s="3">
        <v>4</v>
      </c>
      <c r="D163" s="3" t="s">
        <v>98</v>
      </c>
      <c r="E163" s="3">
        <v>1</v>
      </c>
      <c r="F163" s="3" t="s">
        <v>885</v>
      </c>
      <c r="G163" s="3">
        <v>41988.92328703704</v>
      </c>
      <c r="H163" s="3">
        <v>42024.634386574071</v>
      </c>
      <c r="I163" s="3">
        <v>41988.92328703704</v>
      </c>
      <c r="J163" s="3" t="s">
        <v>103</v>
      </c>
      <c r="K163" s="3" t="s">
        <v>105</v>
      </c>
      <c r="L163" s="3" t="s">
        <v>886</v>
      </c>
      <c r="M163" s="3" t="s">
        <v>532</v>
      </c>
      <c r="N163" s="3" t="s">
        <v>887</v>
      </c>
      <c r="O163" s="3" t="s">
        <v>888</v>
      </c>
      <c r="P163" s="3" t="s">
        <v>215</v>
      </c>
      <c r="Q163" t="str">
        <f t="shared" si="10"/>
        <v>http://roarmap.eprints.org/view/country/250.html</v>
      </c>
      <c r="R163" s="3">
        <v>250</v>
      </c>
      <c r="S163" s="6" t="s">
        <v>153</v>
      </c>
      <c r="T163" s="9">
        <v>250</v>
      </c>
      <c r="U163" s="7" t="s">
        <v>123</v>
      </c>
      <c r="V163" s="6" t="s">
        <v>108</v>
      </c>
      <c r="W163" s="3" t="s">
        <v>158</v>
      </c>
      <c r="X163" s="3" t="s">
        <v>376</v>
      </c>
      <c r="Y163" s="3" t="s">
        <v>886</v>
      </c>
      <c r="Z163" s="8" t="str">
        <f>HYPERLINK("http://www.agence-nationale-recherche.fr/suivi-bilan/sciences-humaines-et-sociales/","http://www.agence-nationale-recherche.fr/suivi-bilan/sciences-humaines-et-sociales/")</f>
        <v>http://www.agence-nationale-recherche.fr/suivi-bilan/sciences-humaines-et-sociales/</v>
      </c>
      <c r="AB163" s="8" t="str">
        <f>HYPERLINK("http://halshs.archives-ouvertes.fr/","http://halshs.archives-ouvertes.fr/")</f>
        <v>http://halshs.archives-ouvertes.fr/</v>
      </c>
      <c r="AC163" s="3">
        <v>39630</v>
      </c>
      <c r="AD163" s="3" t="s">
        <v>889</v>
      </c>
      <c r="AF163" s="3" t="s">
        <v>177</v>
      </c>
      <c r="AG163" s="3" t="s">
        <v>178</v>
      </c>
      <c r="AH163" s="3" t="s">
        <v>370</v>
      </c>
      <c r="AI163" s="3" t="s">
        <v>244</v>
      </c>
      <c r="AJ163" s="3" t="s">
        <v>182</v>
      </c>
      <c r="AK163" s="3" t="s">
        <v>393</v>
      </c>
      <c r="AL163" s="3" t="s">
        <v>244</v>
      </c>
      <c r="AM163" s="3" t="s">
        <v>247</v>
      </c>
      <c r="AN163" s="3" t="s">
        <v>244</v>
      </c>
      <c r="AO163" s="3" t="s">
        <v>392</v>
      </c>
      <c r="AP163" s="3" t="s">
        <v>244</v>
      </c>
      <c r="AQ163" s="3" t="s">
        <v>247</v>
      </c>
      <c r="AR163" s="3" t="s">
        <v>288</v>
      </c>
      <c r="AS163" s="3" t="s">
        <v>288</v>
      </c>
      <c r="AT163" s="3" t="s">
        <v>244</v>
      </c>
      <c r="AU163" s="3" t="s">
        <v>244</v>
      </c>
      <c r="AV163" s="3" t="s">
        <v>288</v>
      </c>
      <c r="AW163" s="3" t="s">
        <v>339</v>
      </c>
      <c r="AX163" s="3" t="s">
        <v>244</v>
      </c>
      <c r="AY163" s="3" t="s">
        <v>247</v>
      </c>
    </row>
    <row r="164" spans="1:51" ht="15.75" customHeight="1">
      <c r="A164" s="3">
        <v>741</v>
      </c>
      <c r="B164" s="5" t="str">
        <f t="shared" si="0"/>
        <v>http://roarmap.eprints.org/741/</v>
      </c>
      <c r="C164" s="3">
        <v>10</v>
      </c>
      <c r="D164" s="3" t="s">
        <v>98</v>
      </c>
      <c r="E164" s="3">
        <v>620</v>
      </c>
      <c r="F164" s="3" t="s">
        <v>890</v>
      </c>
      <c r="G164" s="3">
        <v>42109.627488425926</v>
      </c>
      <c r="H164" s="3">
        <v>42130.395324074074</v>
      </c>
      <c r="I164" s="3">
        <v>42130.395324074074</v>
      </c>
      <c r="J164" s="3" t="s">
        <v>103</v>
      </c>
      <c r="K164" s="3" t="s">
        <v>105</v>
      </c>
      <c r="L164" s="3" t="s">
        <v>891</v>
      </c>
      <c r="Q164" t="str">
        <f t="shared" si="10"/>
        <v>http://roarmap.eprints.org/view/country/250.html</v>
      </c>
      <c r="R164" s="3">
        <v>250</v>
      </c>
      <c r="S164" s="6" t="s">
        <v>153</v>
      </c>
      <c r="T164" s="9">
        <v>250</v>
      </c>
      <c r="U164" s="7" t="s">
        <v>123</v>
      </c>
      <c r="V164" s="6" t="s">
        <v>108</v>
      </c>
      <c r="W164" s="3" t="s">
        <v>158</v>
      </c>
      <c r="X164" s="3" t="s">
        <v>160</v>
      </c>
      <c r="Y164" s="3" t="s">
        <v>891</v>
      </c>
      <c r="Z164" s="8" t="str">
        <f>HYPERLINK("http://www.ensam.eu/","http://www.ensam.eu/")</f>
        <v>http://www.ensam.eu/</v>
      </c>
      <c r="AB164" s="8" t="str">
        <f>HYPERLINK("http://sam.ensam.eu","http://sam.ensam.eu")</f>
        <v>http://sam.ensam.eu</v>
      </c>
      <c r="AC164" s="3">
        <v>41275</v>
      </c>
      <c r="AD164" s="3">
        <v>41275</v>
      </c>
      <c r="AF164" s="3" t="s">
        <v>478</v>
      </c>
      <c r="AG164" s="3" t="s">
        <v>178</v>
      </c>
      <c r="AH164" s="3" t="s">
        <v>180</v>
      </c>
      <c r="AI164" s="3" t="s">
        <v>244</v>
      </c>
      <c r="AJ164" s="3" t="s">
        <v>182</v>
      </c>
      <c r="AK164" s="3" t="s">
        <v>244</v>
      </c>
      <c r="AL164" s="3" t="s">
        <v>185</v>
      </c>
      <c r="AM164" s="3" t="s">
        <v>178</v>
      </c>
      <c r="AN164" s="3" t="s">
        <v>185</v>
      </c>
      <c r="AO164" s="3" t="s">
        <v>371</v>
      </c>
      <c r="AP164" s="3" t="s">
        <v>189</v>
      </c>
      <c r="AQ164" s="3" t="s">
        <v>394</v>
      </c>
      <c r="AR164" s="3" t="s">
        <v>244</v>
      </c>
      <c r="AS164" s="3" t="s">
        <v>244</v>
      </c>
      <c r="AT164" s="3" t="s">
        <v>459</v>
      </c>
      <c r="AU164" s="3" t="s">
        <v>244</v>
      </c>
      <c r="AV164" s="3" t="s">
        <v>244</v>
      </c>
      <c r="AW164" s="3" t="s">
        <v>244</v>
      </c>
      <c r="AX164" s="3" t="s">
        <v>244</v>
      </c>
      <c r="AY164" s="3" t="s">
        <v>247</v>
      </c>
    </row>
    <row r="165" spans="1:51" ht="15.75" customHeight="1">
      <c r="A165" s="3">
        <v>138</v>
      </c>
      <c r="B165" s="5" t="str">
        <f t="shared" si="0"/>
        <v>http://roarmap.eprints.org/138/</v>
      </c>
      <c r="C165" s="3">
        <v>3</v>
      </c>
      <c r="D165" s="3" t="s">
        <v>98</v>
      </c>
      <c r="E165" s="3">
        <v>1</v>
      </c>
      <c r="F165" s="3" t="s">
        <v>892</v>
      </c>
      <c r="G165" s="3">
        <v>41988.92328703704</v>
      </c>
      <c r="H165" s="3">
        <v>41988.92328703704</v>
      </c>
      <c r="I165" s="3">
        <v>41988.92328703704</v>
      </c>
      <c r="J165" s="3" t="s">
        <v>103</v>
      </c>
      <c r="K165" s="3" t="s">
        <v>105</v>
      </c>
      <c r="L165" s="3" t="s">
        <v>893</v>
      </c>
      <c r="M165" s="3" t="s">
        <v>637</v>
      </c>
      <c r="N165" s="3" t="s">
        <v>894</v>
      </c>
      <c r="O165" s="3" t="s">
        <v>895</v>
      </c>
      <c r="P165" s="3" t="s">
        <v>215</v>
      </c>
      <c r="Q165" t="str">
        <f t="shared" si="10"/>
        <v>http://roarmap.eprints.org/view/country/250.html</v>
      </c>
      <c r="R165" s="3">
        <v>250</v>
      </c>
      <c r="S165" s="6" t="s">
        <v>153</v>
      </c>
      <c r="T165" s="9">
        <v>250</v>
      </c>
      <c r="U165" s="7" t="s">
        <v>123</v>
      </c>
      <c r="V165" s="6" t="s">
        <v>108</v>
      </c>
      <c r="W165" s="3" t="s">
        <v>158</v>
      </c>
      <c r="X165" s="3" t="s">
        <v>757</v>
      </c>
      <c r="Y165" s="3" t="s">
        <v>893</v>
      </c>
      <c r="Z165" s="8" t="str">
        <f>HYPERLINK("http://adbu.fr/","http://adbu.fr/")</f>
        <v>http://adbu.fr/</v>
      </c>
      <c r="AA165" s="8" t="str">
        <f>HYPERLINK("http://adbu.fr/wp-content/uploads/2012/10/2012-10_communique-libre-acces.pdf","http://adbu.fr/wp-content/uploads/2012/10/2012-10_communique-libre-acces.pdf")</f>
        <v>http://adbu.fr/wp-content/uploads/2012/10/2012-10_communique-libre-acces.pdf</v>
      </c>
      <c r="AC165" s="3">
        <v>41183</v>
      </c>
      <c r="AD165" s="3" t="s">
        <v>896</v>
      </c>
      <c r="AF165" s="3" t="s">
        <v>177</v>
      </c>
      <c r="AG165" s="3" t="s">
        <v>333</v>
      </c>
      <c r="AH165" s="3" t="s">
        <v>370</v>
      </c>
      <c r="AI165" s="3" t="s">
        <v>244</v>
      </c>
      <c r="AJ165" s="3" t="s">
        <v>244</v>
      </c>
      <c r="AK165" s="3" t="s">
        <v>244</v>
      </c>
      <c r="AL165" s="3" t="s">
        <v>288</v>
      </c>
      <c r="AM165" s="3" t="s">
        <v>247</v>
      </c>
      <c r="AN165" s="3" t="s">
        <v>244</v>
      </c>
      <c r="AO165" s="3" t="s">
        <v>247</v>
      </c>
      <c r="AP165" s="3" t="s">
        <v>189</v>
      </c>
      <c r="AQ165" s="3" t="s">
        <v>394</v>
      </c>
      <c r="AR165" s="3" t="s">
        <v>288</v>
      </c>
      <c r="AS165" s="3" t="s">
        <v>288</v>
      </c>
      <c r="AT165" s="3" t="s">
        <v>244</v>
      </c>
      <c r="AU165" s="3" t="s">
        <v>244</v>
      </c>
      <c r="AV165" s="3" t="s">
        <v>288</v>
      </c>
      <c r="AW165" s="3" t="s">
        <v>339</v>
      </c>
      <c r="AX165" s="3" t="s">
        <v>442</v>
      </c>
      <c r="AY165" s="3" t="s">
        <v>247</v>
      </c>
    </row>
    <row r="166" spans="1:51" ht="15.75" customHeight="1">
      <c r="A166" s="3">
        <v>139</v>
      </c>
      <c r="B166" s="5" t="str">
        <f t="shared" si="0"/>
        <v>http://roarmap.eprints.org/139/</v>
      </c>
      <c r="C166" s="3">
        <v>3</v>
      </c>
      <c r="D166" s="3" t="s">
        <v>98</v>
      </c>
      <c r="E166" s="3">
        <v>1</v>
      </c>
      <c r="F166" s="3" t="s">
        <v>897</v>
      </c>
      <c r="G166" s="3">
        <v>41988.92328703704</v>
      </c>
      <c r="H166" s="3">
        <v>41988.92328703704</v>
      </c>
      <c r="I166" s="3">
        <v>41988.92328703704</v>
      </c>
      <c r="J166" s="3" t="s">
        <v>103</v>
      </c>
      <c r="K166" s="3" t="s">
        <v>105</v>
      </c>
      <c r="L166" s="3" t="s">
        <v>898</v>
      </c>
      <c r="M166" s="3" t="s">
        <v>637</v>
      </c>
      <c r="N166" s="3" t="s">
        <v>899</v>
      </c>
      <c r="O166" s="3" t="s">
        <v>900</v>
      </c>
      <c r="P166" s="3" t="s">
        <v>215</v>
      </c>
      <c r="Q166" t="str">
        <f t="shared" si="10"/>
        <v>http://roarmap.eprints.org/view/country/250.html</v>
      </c>
      <c r="R166" s="3">
        <v>250</v>
      </c>
      <c r="S166" s="6" t="s">
        <v>153</v>
      </c>
      <c r="T166" s="9">
        <v>250</v>
      </c>
      <c r="U166" s="7" t="s">
        <v>123</v>
      </c>
      <c r="V166" s="6" t="s">
        <v>108</v>
      </c>
      <c r="W166" s="3" t="s">
        <v>158</v>
      </c>
      <c r="X166" s="3" t="s">
        <v>160</v>
      </c>
      <c r="Y166" s="3" t="s">
        <v>898</v>
      </c>
      <c r="Z166" s="8" t="str">
        <f>HYPERLINK("http://www.cnrs.fr/index.php","http://www.cnrs.fr/index.php")</f>
        <v>http://www.cnrs.fr/index.php</v>
      </c>
      <c r="AA166" s="8" t="str">
        <f>HYPERLINK("http://www.ccsd.cnrs.fr/support/content/PDF/DGauxDU_060621.pdf","http://www.ccsd.cnrs.fr/support/content/PDF/DGauxDU_060621.pdf")</f>
        <v>http://www.ccsd.cnrs.fr/support/content/PDF/DGauxDU_060621.pdf</v>
      </c>
      <c r="AB166" s="8" t="str">
        <f>HYPERLINK("http://hal.archives-ouvertes.fr/index.php?langue=en&amp;halsid=214iku2pn9ft27fcl6rrct4jb5","http://hal.archives-ouvertes.fr/index.php?langue=en&amp;halsid=214iku2pn9ft27fcl6rrct4jb5")</f>
        <v>http://hal.archives-ouvertes.fr/index.php?langue=en&amp;halsid=214iku2pn9ft27fcl6rrct4jb5</v>
      </c>
      <c r="AC166" s="3">
        <v>38889</v>
      </c>
      <c r="AD166" s="3">
        <v>38889</v>
      </c>
      <c r="AE166" s="3">
        <v>41366</v>
      </c>
      <c r="AF166" s="3" t="s">
        <v>177</v>
      </c>
      <c r="AG166" s="3" t="s">
        <v>333</v>
      </c>
      <c r="AH166" s="3" t="s">
        <v>180</v>
      </c>
      <c r="AI166" s="3" t="s">
        <v>181</v>
      </c>
      <c r="AJ166" s="3" t="s">
        <v>182</v>
      </c>
      <c r="AK166" s="3" t="s">
        <v>244</v>
      </c>
      <c r="AL166" s="3" t="s">
        <v>288</v>
      </c>
      <c r="AM166" s="3" t="s">
        <v>479</v>
      </c>
      <c r="AN166" s="3" t="s">
        <v>189</v>
      </c>
      <c r="AO166" s="3" t="s">
        <v>181</v>
      </c>
      <c r="AP166" s="3" t="s">
        <v>244</v>
      </c>
      <c r="AQ166" s="3" t="s">
        <v>386</v>
      </c>
      <c r="AR166" s="3" t="s">
        <v>288</v>
      </c>
      <c r="AS166" s="3" t="s">
        <v>189</v>
      </c>
      <c r="AT166" s="3" t="s">
        <v>244</v>
      </c>
      <c r="AU166" s="3" t="s">
        <v>244</v>
      </c>
      <c r="AV166" s="3" t="s">
        <v>288</v>
      </c>
      <c r="AW166" s="3" t="s">
        <v>339</v>
      </c>
      <c r="AX166" s="3" t="s">
        <v>341</v>
      </c>
      <c r="AY166" s="3" t="s">
        <v>247</v>
      </c>
    </row>
    <row r="167" spans="1:51" ht="15.75" customHeight="1">
      <c r="A167" s="3">
        <v>634</v>
      </c>
      <c r="B167" s="5" t="str">
        <f t="shared" si="0"/>
        <v>http://roarmap.eprints.org/634/</v>
      </c>
      <c r="C167" s="3">
        <v>3</v>
      </c>
      <c r="D167" s="3" t="s">
        <v>98</v>
      </c>
      <c r="E167" s="3">
        <v>1</v>
      </c>
      <c r="F167" s="3" t="s">
        <v>901</v>
      </c>
      <c r="G167" s="3">
        <v>41988.924270833333</v>
      </c>
      <c r="H167" s="3">
        <v>41988.924270833333</v>
      </c>
      <c r="I167" s="3">
        <v>41988.924270833333</v>
      </c>
      <c r="J167" s="3" t="s">
        <v>103</v>
      </c>
      <c r="K167" s="3" t="s">
        <v>105</v>
      </c>
      <c r="L167" s="3" t="s">
        <v>902</v>
      </c>
      <c r="M167" s="3" t="s">
        <v>374</v>
      </c>
      <c r="N167" s="3" t="s">
        <v>903</v>
      </c>
      <c r="P167" s="3" t="s">
        <v>215</v>
      </c>
      <c r="Q167" t="str">
        <f t="shared" si="10"/>
        <v>http://roarmap.eprints.org/view/country/250.html</v>
      </c>
      <c r="R167" s="3">
        <v>250</v>
      </c>
      <c r="S167" s="6" t="s">
        <v>153</v>
      </c>
      <c r="T167" s="9">
        <v>250</v>
      </c>
      <c r="U167" s="7" t="s">
        <v>123</v>
      </c>
      <c r="V167" s="6" t="s">
        <v>108</v>
      </c>
      <c r="W167" s="3" t="s">
        <v>158</v>
      </c>
      <c r="X167" s="3" t="s">
        <v>376</v>
      </c>
      <c r="Y167" s="3" t="s">
        <v>902</v>
      </c>
      <c r="Z167" s="8" t="str">
        <f>HYPERLINK("http://www.eur-oceans.eu/","http://www.eur-oceans.eu/")</f>
        <v>http://www.eur-oceans.eu/</v>
      </c>
      <c r="AA167" s="8" t="str">
        <f>HYPERLINK("http://www.eur-oceans.eu/LogosPolicies","http://www.eur-oceans.eu/LogosPolicies")</f>
        <v>http://www.eur-oceans.eu/LogosPolicies</v>
      </c>
      <c r="AB167" s="8" t="str">
        <f>HYPERLINK("https://www.openaire.eu/","https://www.openaire.eu/")</f>
        <v>https://www.openaire.eu/</v>
      </c>
      <c r="AC167" s="3">
        <v>40476</v>
      </c>
      <c r="AF167" s="3" t="s">
        <v>177</v>
      </c>
      <c r="AG167" s="3" t="s">
        <v>178</v>
      </c>
      <c r="AH167" s="3" t="s">
        <v>370</v>
      </c>
      <c r="AI167" s="3" t="s">
        <v>244</v>
      </c>
      <c r="AJ167" s="3" t="s">
        <v>182</v>
      </c>
      <c r="AK167" s="3" t="s">
        <v>393</v>
      </c>
      <c r="AL167" s="3" t="s">
        <v>244</v>
      </c>
      <c r="AM167" s="3" t="s">
        <v>247</v>
      </c>
      <c r="AN167" s="3" t="s">
        <v>244</v>
      </c>
      <c r="AO167" s="3" t="s">
        <v>247</v>
      </c>
      <c r="AP167" s="3" t="s">
        <v>244</v>
      </c>
      <c r="AQ167" s="3" t="s">
        <v>247</v>
      </c>
      <c r="AR167" s="3" t="s">
        <v>288</v>
      </c>
      <c r="AS167" s="3" t="s">
        <v>288</v>
      </c>
      <c r="AT167" s="3" t="s">
        <v>379</v>
      </c>
      <c r="AU167" s="3" t="s">
        <v>379</v>
      </c>
      <c r="AV167" s="3" t="s">
        <v>288</v>
      </c>
      <c r="AW167" s="3" t="s">
        <v>339</v>
      </c>
      <c r="AX167" s="3" t="s">
        <v>244</v>
      </c>
      <c r="AY167" s="3" t="s">
        <v>247</v>
      </c>
    </row>
    <row r="168" spans="1:51" ht="15.75" customHeight="1">
      <c r="A168" s="3">
        <v>140</v>
      </c>
      <c r="B168" s="5" t="str">
        <f t="shared" si="0"/>
        <v>http://roarmap.eprints.org/140/</v>
      </c>
      <c r="C168" s="3">
        <v>3</v>
      </c>
      <c r="D168" s="3" t="s">
        <v>98</v>
      </c>
      <c r="E168" s="3">
        <v>1</v>
      </c>
      <c r="F168" s="3" t="s">
        <v>904</v>
      </c>
      <c r="G168" s="3">
        <v>41988.92328703704</v>
      </c>
      <c r="H168" s="3">
        <v>41988.92328703704</v>
      </c>
      <c r="I168" s="3">
        <v>41988.92328703704</v>
      </c>
      <c r="J168" s="3" t="s">
        <v>103</v>
      </c>
      <c r="K168" s="3" t="s">
        <v>105</v>
      </c>
      <c r="L168" s="3" t="s">
        <v>905</v>
      </c>
      <c r="M168" s="3" t="s">
        <v>532</v>
      </c>
      <c r="N168" s="3" t="s">
        <v>906</v>
      </c>
      <c r="O168" s="3" t="s">
        <v>907</v>
      </c>
      <c r="P168" s="3" t="s">
        <v>215</v>
      </c>
      <c r="Q168" t="str">
        <f t="shared" si="10"/>
        <v>http://roarmap.eprints.org/view/country/250.html</v>
      </c>
      <c r="R168" s="3">
        <v>250</v>
      </c>
      <c r="S168" s="6" t="s">
        <v>153</v>
      </c>
      <c r="T168" s="9">
        <v>250</v>
      </c>
      <c r="U168" s="7" t="s">
        <v>123</v>
      </c>
      <c r="V168" s="6" t="s">
        <v>108</v>
      </c>
      <c r="W168" s="3" t="s">
        <v>158</v>
      </c>
      <c r="X168" s="3" t="s">
        <v>160</v>
      </c>
      <c r="Y168" s="3" t="s">
        <v>905</v>
      </c>
      <c r="Z168" s="8" t="str">
        <f>HYPERLINK("http://institut.inra.fr/en","http://institut.inra.fr/en")</f>
        <v>http://institut.inra.fr/en</v>
      </c>
      <c r="AB168" s="8" t="str">
        <f>HYPERLINK("http://prodinra.inra.fr/?locale=en","http://prodinra.inra.fr/?locale=en")</f>
        <v>http://prodinra.inra.fr/?locale=en</v>
      </c>
      <c r="AC168" s="3">
        <v>40269</v>
      </c>
      <c r="AD168" s="3">
        <v>40544</v>
      </c>
      <c r="AF168" s="3" t="s">
        <v>177</v>
      </c>
      <c r="AG168" s="3" t="s">
        <v>178</v>
      </c>
      <c r="AH168" s="3" t="s">
        <v>180</v>
      </c>
      <c r="AI168" s="3" t="s">
        <v>181</v>
      </c>
      <c r="AJ168" s="3" t="s">
        <v>182</v>
      </c>
      <c r="AK168" s="3" t="s">
        <v>244</v>
      </c>
      <c r="AL168" s="3" t="s">
        <v>185</v>
      </c>
      <c r="AM168" s="3" t="s">
        <v>178</v>
      </c>
      <c r="AN168" s="3" t="s">
        <v>189</v>
      </c>
      <c r="AO168" s="3" t="s">
        <v>181</v>
      </c>
      <c r="AP168" s="3" t="s">
        <v>244</v>
      </c>
      <c r="AQ168" s="3" t="s">
        <v>648</v>
      </c>
      <c r="AR168" s="3" t="s">
        <v>244</v>
      </c>
      <c r="AS168" s="3" t="s">
        <v>189</v>
      </c>
      <c r="AT168" s="3" t="s">
        <v>244</v>
      </c>
      <c r="AU168" s="3" t="s">
        <v>244</v>
      </c>
      <c r="AV168" s="3" t="s">
        <v>288</v>
      </c>
      <c r="AW168" s="3" t="s">
        <v>908</v>
      </c>
      <c r="AX168" s="3" t="s">
        <v>442</v>
      </c>
      <c r="AY168" s="3" t="s">
        <v>247</v>
      </c>
    </row>
    <row r="169" spans="1:51" ht="15.75" customHeight="1">
      <c r="A169" s="3">
        <v>141</v>
      </c>
      <c r="B169" s="5" t="str">
        <f t="shared" si="0"/>
        <v>http://roarmap.eprints.org/141/</v>
      </c>
      <c r="C169" s="3">
        <v>3</v>
      </c>
      <c r="D169" s="3" t="s">
        <v>98</v>
      </c>
      <c r="E169" s="3">
        <v>1</v>
      </c>
      <c r="F169" s="3" t="s">
        <v>909</v>
      </c>
      <c r="G169" s="3">
        <v>41988.92328703704</v>
      </c>
      <c r="H169" s="3">
        <v>41988.92328703704</v>
      </c>
      <c r="I169" s="3">
        <v>41988.92328703704</v>
      </c>
      <c r="J169" s="3" t="s">
        <v>103</v>
      </c>
      <c r="K169" s="3" t="s">
        <v>105</v>
      </c>
      <c r="L169" s="3" t="s">
        <v>910</v>
      </c>
      <c r="M169" s="3" t="s">
        <v>469</v>
      </c>
      <c r="N169" s="3" t="s">
        <v>911</v>
      </c>
      <c r="O169" s="3" t="s">
        <v>912</v>
      </c>
      <c r="P169" s="3" t="s">
        <v>215</v>
      </c>
      <c r="Q169" t="str">
        <f t="shared" si="10"/>
        <v>http://roarmap.eprints.org/view/country/250.html</v>
      </c>
      <c r="R169" s="3">
        <v>250</v>
      </c>
      <c r="S169" s="6" t="s">
        <v>153</v>
      </c>
      <c r="T169" s="9">
        <v>250</v>
      </c>
      <c r="U169" s="7" t="s">
        <v>123</v>
      </c>
      <c r="V169" s="6" t="s">
        <v>108</v>
      </c>
      <c r="W169" s="3" t="s">
        <v>158</v>
      </c>
      <c r="X169" s="3" t="s">
        <v>384</v>
      </c>
      <c r="Y169" s="3" t="s">
        <v>910</v>
      </c>
      <c r="Z169" s="8" t="str">
        <f>HYPERLINK("http://www.inra.fr/","http://www.inra.fr/")</f>
        <v>http://www.inra.fr/</v>
      </c>
      <c r="AA169" s="8" t="str">
        <f>HYPERLINK("http://roarmap.eprints.org/6/","http://roarmap.eprints.org/6/")</f>
        <v>http://roarmap.eprints.org/6/</v>
      </c>
      <c r="AC169" s="3">
        <v>38078</v>
      </c>
      <c r="AD169" s="3">
        <v>38078</v>
      </c>
      <c r="AF169" s="3" t="s">
        <v>177</v>
      </c>
      <c r="AG169" s="3" t="s">
        <v>178</v>
      </c>
      <c r="AH169" s="3" t="s">
        <v>180</v>
      </c>
      <c r="AI169" s="3" t="s">
        <v>181</v>
      </c>
      <c r="AJ169" s="3" t="s">
        <v>182</v>
      </c>
      <c r="AK169" s="3" t="s">
        <v>393</v>
      </c>
      <c r="AL169" s="3" t="s">
        <v>189</v>
      </c>
      <c r="AM169" s="3" t="s">
        <v>178</v>
      </c>
      <c r="AN169" s="3" t="s">
        <v>189</v>
      </c>
      <c r="AO169" s="3" t="s">
        <v>181</v>
      </c>
      <c r="AP169" s="3" t="s">
        <v>185</v>
      </c>
      <c r="AQ169" s="3" t="s">
        <v>386</v>
      </c>
      <c r="AR169" s="3" t="s">
        <v>288</v>
      </c>
      <c r="AS169" s="3" t="s">
        <v>189</v>
      </c>
      <c r="AT169" s="3" t="s">
        <v>244</v>
      </c>
      <c r="AU169" s="3" t="s">
        <v>244</v>
      </c>
      <c r="AV169" s="3" t="s">
        <v>288</v>
      </c>
      <c r="AW169" s="3" t="s">
        <v>339</v>
      </c>
      <c r="AX169" s="3" t="s">
        <v>244</v>
      </c>
      <c r="AY169" s="3" t="s">
        <v>247</v>
      </c>
    </row>
    <row r="170" spans="1:51" ht="15.75" customHeight="1">
      <c r="A170" s="3">
        <v>142</v>
      </c>
      <c r="B170" s="5" t="str">
        <f t="shared" si="0"/>
        <v>http://roarmap.eprints.org/142/</v>
      </c>
      <c r="C170" s="3">
        <v>3</v>
      </c>
      <c r="D170" s="3" t="s">
        <v>98</v>
      </c>
      <c r="E170" s="3">
        <v>1</v>
      </c>
      <c r="F170" s="3" t="s">
        <v>913</v>
      </c>
      <c r="G170" s="3">
        <v>41988.92328703704</v>
      </c>
      <c r="H170" s="3">
        <v>41988.92328703704</v>
      </c>
      <c r="I170" s="3">
        <v>41988.92328703704</v>
      </c>
      <c r="J170" s="3" t="s">
        <v>103</v>
      </c>
      <c r="K170" s="3" t="s">
        <v>105</v>
      </c>
      <c r="L170" s="3" t="s">
        <v>914</v>
      </c>
      <c r="M170" s="3" t="s">
        <v>469</v>
      </c>
      <c r="N170" s="3" t="s">
        <v>915</v>
      </c>
      <c r="O170" s="3" t="s">
        <v>916</v>
      </c>
      <c r="P170" s="3" t="s">
        <v>215</v>
      </c>
      <c r="Q170" t="str">
        <f t="shared" si="10"/>
        <v>http://roarmap.eprints.org/view/country/250.html</v>
      </c>
      <c r="R170" s="3">
        <v>250</v>
      </c>
      <c r="S170" s="6" t="s">
        <v>153</v>
      </c>
      <c r="T170" s="9">
        <v>250</v>
      </c>
      <c r="U170" s="7" t="s">
        <v>123</v>
      </c>
      <c r="V170" s="6" t="s">
        <v>108</v>
      </c>
      <c r="W170" s="3" t="s">
        <v>158</v>
      </c>
      <c r="X170" s="3" t="s">
        <v>160</v>
      </c>
      <c r="Y170" s="3" t="s">
        <v>914</v>
      </c>
      <c r="Z170" s="8" t="str">
        <f>HYPERLINK("http://www.inria.fr/en/","http://www.inria.fr/en/")</f>
        <v>http://www.inria.fr/en/</v>
      </c>
      <c r="AA170" s="8" t="str">
        <f>HYPERLINK("http://seism.inria.fr/hal/aide/spip.php?article328&amp;lang=en","http://seism.inria.fr/hal/aide/spip.php?article328&amp;lang=en")</f>
        <v>http://seism.inria.fr/hal/aide/spip.php?article328&amp;lang=en</v>
      </c>
      <c r="AB170" s="8" t="str">
        <f>HYPERLINK("http://hal.inria.fr/","http://hal.inria.fr/")</f>
        <v>http://hal.inria.fr/</v>
      </c>
      <c r="AC170" s="3">
        <v>38441</v>
      </c>
      <c r="AD170" s="3">
        <v>38469</v>
      </c>
      <c r="AE170" s="3" t="s">
        <v>917</v>
      </c>
      <c r="AF170" s="3" t="s">
        <v>177</v>
      </c>
      <c r="AG170" s="3" t="s">
        <v>178</v>
      </c>
      <c r="AH170" s="3" t="s">
        <v>180</v>
      </c>
      <c r="AI170" s="3" t="s">
        <v>244</v>
      </c>
      <c r="AJ170" s="3" t="s">
        <v>182</v>
      </c>
      <c r="AK170" s="3" t="s">
        <v>244</v>
      </c>
      <c r="AL170" s="3" t="s">
        <v>185</v>
      </c>
      <c r="AM170" s="3" t="s">
        <v>178</v>
      </c>
      <c r="AN170" s="3" t="s">
        <v>185</v>
      </c>
      <c r="AO170" s="3" t="s">
        <v>181</v>
      </c>
      <c r="AP170" s="3" t="s">
        <v>189</v>
      </c>
      <c r="AQ170" s="3" t="s">
        <v>394</v>
      </c>
      <c r="AR170" s="3" t="s">
        <v>288</v>
      </c>
      <c r="AS170" s="3" t="s">
        <v>185</v>
      </c>
      <c r="AT170" s="3" t="s">
        <v>244</v>
      </c>
      <c r="AU170" s="3" t="s">
        <v>244</v>
      </c>
      <c r="AV170" s="3" t="s">
        <v>288</v>
      </c>
      <c r="AW170" s="3" t="s">
        <v>520</v>
      </c>
      <c r="AX170" s="3" t="s">
        <v>341</v>
      </c>
      <c r="AY170" s="3" t="s">
        <v>247</v>
      </c>
    </row>
    <row r="171" spans="1:51" ht="15.75" customHeight="1">
      <c r="A171" s="3">
        <v>143</v>
      </c>
      <c r="B171" s="5" t="str">
        <f t="shared" si="0"/>
        <v>http://roarmap.eprints.org/143/</v>
      </c>
      <c r="C171" s="3">
        <v>3</v>
      </c>
      <c r="D171" s="3" t="s">
        <v>98</v>
      </c>
      <c r="E171" s="3">
        <v>1</v>
      </c>
      <c r="F171" s="3" t="s">
        <v>918</v>
      </c>
      <c r="G171" s="3">
        <v>41988.92328703704</v>
      </c>
      <c r="H171" s="3">
        <v>41988.92328703704</v>
      </c>
      <c r="I171" s="3">
        <v>41988.92328703704</v>
      </c>
      <c r="J171" s="3" t="s">
        <v>103</v>
      </c>
      <c r="K171" s="3" t="s">
        <v>105</v>
      </c>
      <c r="L171" s="3" t="s">
        <v>919</v>
      </c>
      <c r="M171" s="3" t="s">
        <v>637</v>
      </c>
      <c r="N171" s="3" t="s">
        <v>920</v>
      </c>
      <c r="O171" s="3" t="s">
        <v>921</v>
      </c>
      <c r="P171" s="3" t="s">
        <v>215</v>
      </c>
      <c r="Q171" t="str">
        <f t="shared" si="10"/>
        <v>http://roarmap.eprints.org/view/country/250.html</v>
      </c>
      <c r="R171" s="3">
        <v>250</v>
      </c>
      <c r="S171" s="6" t="s">
        <v>153</v>
      </c>
      <c r="T171" s="9">
        <v>250</v>
      </c>
      <c r="U171" s="7" t="s">
        <v>123</v>
      </c>
      <c r="V171" s="6" t="s">
        <v>108</v>
      </c>
      <c r="W171" s="3" t="s">
        <v>158</v>
      </c>
      <c r="X171" s="3" t="s">
        <v>160</v>
      </c>
      <c r="Y171" s="3" t="s">
        <v>919</v>
      </c>
      <c r="Z171" s="8" t="str">
        <f>HYPERLINK("http://english.inserm.fr/","http://english.inserm.fr/")</f>
        <v>http://english.inserm.fr/</v>
      </c>
      <c r="AB171" s="8" t="str">
        <f>HYPERLINK("http://www.hal.inserm.fr/","http://www.hal.inserm.fr/")</f>
        <v>http://www.hal.inserm.fr/</v>
      </c>
      <c r="AC171" s="3" t="s">
        <v>922</v>
      </c>
      <c r="AD171" s="3" t="s">
        <v>923</v>
      </c>
      <c r="AF171" s="3" t="s">
        <v>177</v>
      </c>
      <c r="AG171" s="3" t="s">
        <v>178</v>
      </c>
      <c r="AH171" s="3" t="s">
        <v>180</v>
      </c>
      <c r="AI171" s="3" t="s">
        <v>187</v>
      </c>
      <c r="AJ171" s="3" t="s">
        <v>182</v>
      </c>
      <c r="AK171" s="3" t="s">
        <v>393</v>
      </c>
      <c r="AL171" s="3" t="s">
        <v>185</v>
      </c>
      <c r="AM171" s="3" t="s">
        <v>247</v>
      </c>
      <c r="AN171" s="3" t="s">
        <v>244</v>
      </c>
      <c r="AO171" s="3" t="s">
        <v>378</v>
      </c>
      <c r="AP171" s="3" t="s">
        <v>244</v>
      </c>
      <c r="AQ171" s="3" t="s">
        <v>386</v>
      </c>
      <c r="AR171" s="3" t="s">
        <v>288</v>
      </c>
      <c r="AS171" s="3" t="s">
        <v>288</v>
      </c>
      <c r="AT171" s="3" t="s">
        <v>379</v>
      </c>
      <c r="AU171" s="3" t="s">
        <v>244</v>
      </c>
      <c r="AV171" s="3" t="s">
        <v>288</v>
      </c>
      <c r="AW171" s="3" t="s">
        <v>339</v>
      </c>
      <c r="AX171" s="3" t="s">
        <v>244</v>
      </c>
      <c r="AY171" s="3" t="s">
        <v>247</v>
      </c>
    </row>
    <row r="172" spans="1:51" ht="15.75" customHeight="1">
      <c r="A172" s="3">
        <v>144</v>
      </c>
      <c r="B172" s="5" t="str">
        <f t="shared" si="0"/>
        <v>http://roarmap.eprints.org/144/</v>
      </c>
      <c r="C172" s="3">
        <v>4</v>
      </c>
      <c r="D172" s="3" t="s">
        <v>98</v>
      </c>
      <c r="E172" s="3">
        <v>249</v>
      </c>
      <c r="F172" s="3" t="s">
        <v>924</v>
      </c>
      <c r="G172" s="3">
        <v>41988.923298611109</v>
      </c>
      <c r="H172" s="3">
        <v>42046.98165509259</v>
      </c>
      <c r="I172" s="3">
        <v>41988.923298611109</v>
      </c>
      <c r="J172" s="3" t="s">
        <v>103</v>
      </c>
      <c r="K172" s="3" t="s">
        <v>105</v>
      </c>
      <c r="L172" s="3" t="s">
        <v>925</v>
      </c>
      <c r="M172" s="3" t="s">
        <v>532</v>
      </c>
      <c r="N172" s="3" t="s">
        <v>926</v>
      </c>
      <c r="O172" s="3" t="s">
        <v>927</v>
      </c>
      <c r="P172" s="3" t="s">
        <v>215</v>
      </c>
      <c r="Q172" t="str">
        <f t="shared" si="10"/>
        <v>http://roarmap.eprints.org/view/country/250.html</v>
      </c>
      <c r="R172" s="3">
        <v>250</v>
      </c>
      <c r="S172" s="6" t="s">
        <v>153</v>
      </c>
      <c r="T172" s="9">
        <v>250</v>
      </c>
      <c r="U172" s="7" t="s">
        <v>123</v>
      </c>
      <c r="V172" s="6" t="s">
        <v>108</v>
      </c>
      <c r="W172" s="3" t="s">
        <v>158</v>
      </c>
      <c r="X172" s="3" t="s">
        <v>160</v>
      </c>
      <c r="Y172" s="3" t="s">
        <v>925</v>
      </c>
      <c r="Z172" s="8" t="str">
        <f>HYPERLINK("http://www.ifsttar.fr/","http://www.ifsttar.fr/")</f>
        <v>http://www.ifsttar.fr/</v>
      </c>
      <c r="AB172" s="8" t="str">
        <f>HYPERLINK("http://hal.archives-ouvertes.fr/IFSTTAR","http://hal.archives-ouvertes.fr/IFSTTAR")</f>
        <v>http://hal.archives-ouvertes.fr/IFSTTAR</v>
      </c>
      <c r="AC172" s="3">
        <v>41366</v>
      </c>
      <c r="AD172" s="3">
        <v>41366</v>
      </c>
      <c r="AF172" s="3" t="s">
        <v>177</v>
      </c>
      <c r="AG172" s="3" t="s">
        <v>333</v>
      </c>
      <c r="AH172" s="3" t="s">
        <v>180</v>
      </c>
      <c r="AI172" s="3" t="s">
        <v>187</v>
      </c>
      <c r="AJ172" s="3" t="s">
        <v>182</v>
      </c>
      <c r="AK172" s="3" t="s">
        <v>393</v>
      </c>
      <c r="AL172" s="3" t="s">
        <v>288</v>
      </c>
      <c r="AM172" s="3" t="s">
        <v>247</v>
      </c>
      <c r="AN172" s="3" t="s">
        <v>244</v>
      </c>
      <c r="AO172" s="3" t="s">
        <v>247</v>
      </c>
      <c r="AP172" s="3" t="s">
        <v>244</v>
      </c>
      <c r="AQ172" s="3" t="s">
        <v>247</v>
      </c>
      <c r="AR172" s="3" t="s">
        <v>288</v>
      </c>
      <c r="AS172" s="3" t="s">
        <v>288</v>
      </c>
      <c r="AT172" s="3" t="s">
        <v>244</v>
      </c>
      <c r="AU172" s="3" t="s">
        <v>244</v>
      </c>
      <c r="AV172" s="3" t="s">
        <v>288</v>
      </c>
      <c r="AW172" s="3" t="s">
        <v>339</v>
      </c>
      <c r="AX172" s="3" t="s">
        <v>244</v>
      </c>
      <c r="AY172" s="3" t="s">
        <v>247</v>
      </c>
    </row>
    <row r="173" spans="1:51" ht="15.75" customHeight="1">
      <c r="A173" s="3">
        <v>145</v>
      </c>
      <c r="B173" s="5" t="str">
        <f t="shared" si="0"/>
        <v>http://roarmap.eprints.org/145/</v>
      </c>
      <c r="C173" s="3">
        <v>3</v>
      </c>
      <c r="D173" s="3" t="s">
        <v>98</v>
      </c>
      <c r="E173" s="3">
        <v>1</v>
      </c>
      <c r="F173" s="3" t="s">
        <v>928</v>
      </c>
      <c r="G173" s="3">
        <v>41988.923298611109</v>
      </c>
      <c r="H173" s="3">
        <v>41988.923298611109</v>
      </c>
      <c r="I173" s="3">
        <v>41988.923298611109</v>
      </c>
      <c r="J173" s="3" t="s">
        <v>103</v>
      </c>
      <c r="K173" s="3" t="s">
        <v>105</v>
      </c>
      <c r="L173" s="3" t="s">
        <v>929</v>
      </c>
      <c r="M173" s="3" t="s">
        <v>532</v>
      </c>
      <c r="N173" s="3" t="s">
        <v>930</v>
      </c>
      <c r="O173" s="3" t="s">
        <v>931</v>
      </c>
      <c r="P173" s="3" t="s">
        <v>215</v>
      </c>
      <c r="Q173" t="str">
        <f t="shared" si="10"/>
        <v>http://roarmap.eprints.org/view/country/250.html</v>
      </c>
      <c r="R173" s="3">
        <v>250</v>
      </c>
      <c r="S173" s="6" t="s">
        <v>153</v>
      </c>
      <c r="T173" s="9">
        <v>250</v>
      </c>
      <c r="U173" s="7" t="s">
        <v>123</v>
      </c>
      <c r="V173" s="6" t="s">
        <v>108</v>
      </c>
      <c r="W173" s="3" t="s">
        <v>158</v>
      </c>
      <c r="X173" s="3" t="s">
        <v>384</v>
      </c>
      <c r="Y173" s="3" t="s">
        <v>929</v>
      </c>
      <c r="Z173" s="8" t="str">
        <f>HYPERLINK("http://www.institutnicod.org/","http://www.institutnicod.org/")</f>
        <v>http://www.institutnicod.org/</v>
      </c>
      <c r="AA173" s="8" t="str">
        <f>HYPERLINK("http://www.eprints.org/openaccess/policysignup/fullinfo.php?inst=Institut%20Jean%20Nicod","http://www.eprints.org/openaccess/policysignup/fullinfo.php?inst=Institut%20Jean%20Nicod")</f>
        <v>http://www.eprints.org/openaccess/policysignup/fullinfo.php?inst=Institut%20Jean%20Nicod</v>
      </c>
      <c r="AB173" s="8" t="str">
        <f>HYPERLINK("http://jeannicod.ccsd.cnrs.fr/","http://jeannicod.ccsd.cnrs.fr/")</f>
        <v>http://jeannicod.ccsd.cnrs.fr/</v>
      </c>
      <c r="AC173" s="3">
        <v>38026</v>
      </c>
      <c r="AD173" s="3">
        <v>38232</v>
      </c>
      <c r="AG173" s="3" t="s">
        <v>178</v>
      </c>
      <c r="AH173" s="3" t="s">
        <v>180</v>
      </c>
      <c r="AI173" s="3" t="s">
        <v>244</v>
      </c>
      <c r="AJ173" s="3" t="s">
        <v>182</v>
      </c>
      <c r="AK173" s="3" t="s">
        <v>393</v>
      </c>
      <c r="AL173" s="3" t="s">
        <v>244</v>
      </c>
      <c r="AM173" s="3" t="s">
        <v>178</v>
      </c>
      <c r="AN173" s="3" t="s">
        <v>244</v>
      </c>
      <c r="AO173" s="3" t="s">
        <v>247</v>
      </c>
      <c r="AP173" s="3" t="s">
        <v>244</v>
      </c>
      <c r="AQ173" s="3" t="s">
        <v>247</v>
      </c>
      <c r="AR173" s="3" t="s">
        <v>288</v>
      </c>
      <c r="AS173" s="3" t="s">
        <v>288</v>
      </c>
      <c r="AT173" s="3" t="s">
        <v>244</v>
      </c>
      <c r="AU173" s="3" t="s">
        <v>244</v>
      </c>
      <c r="AV173" s="3" t="s">
        <v>288</v>
      </c>
      <c r="AW173" s="3" t="s">
        <v>339</v>
      </c>
      <c r="AX173" s="3" t="s">
        <v>244</v>
      </c>
      <c r="AY173" s="3" t="s">
        <v>247</v>
      </c>
    </row>
    <row r="174" spans="1:51" ht="15.75" customHeight="1">
      <c r="A174" s="3">
        <v>146</v>
      </c>
      <c r="B174" s="5" t="str">
        <f t="shared" si="0"/>
        <v>http://roarmap.eprints.org/146/</v>
      </c>
      <c r="C174" s="3">
        <v>3</v>
      </c>
      <c r="D174" s="3" t="s">
        <v>98</v>
      </c>
      <c r="E174" s="3">
        <v>1</v>
      </c>
      <c r="F174" s="3" t="s">
        <v>932</v>
      </c>
      <c r="G174" s="3">
        <v>41988.923298611109</v>
      </c>
      <c r="H174" s="3">
        <v>41988.923298611109</v>
      </c>
      <c r="I174" s="3">
        <v>41988.923298611109</v>
      </c>
      <c r="J174" s="3" t="s">
        <v>103</v>
      </c>
      <c r="K174" s="3" t="s">
        <v>105</v>
      </c>
      <c r="L174" s="3" t="s">
        <v>933</v>
      </c>
      <c r="M174" s="3" t="s">
        <v>532</v>
      </c>
      <c r="N174" s="3" t="s">
        <v>934</v>
      </c>
      <c r="O174" s="3" t="s">
        <v>935</v>
      </c>
      <c r="P174" s="3" t="s">
        <v>215</v>
      </c>
      <c r="Q174" t="str">
        <f t="shared" si="10"/>
        <v>http://roarmap.eprints.org/view/country/250.html</v>
      </c>
      <c r="R174" s="3">
        <v>250</v>
      </c>
      <c r="S174" s="6" t="s">
        <v>153</v>
      </c>
      <c r="T174" s="9">
        <v>250</v>
      </c>
      <c r="U174" s="7" t="s">
        <v>123</v>
      </c>
      <c r="V174" s="6" t="s">
        <v>108</v>
      </c>
      <c r="W174" s="3" t="s">
        <v>158</v>
      </c>
      <c r="X174" s="3" t="s">
        <v>160</v>
      </c>
      <c r="Y174" s="3" t="s">
        <v>933</v>
      </c>
      <c r="Z174" s="8" t="str">
        <f>HYPERLINK("http://wwz.ifremer.fr/institut","http://wwz.ifremer.fr/institut")</f>
        <v>http://wwz.ifremer.fr/institut</v>
      </c>
      <c r="AA174" s="8" t="str">
        <f>HYPERLINK("http://archimer.ifremer.fr/depot.htm","http://archimer.ifremer.fr/depot.htm")</f>
        <v>http://archimer.ifremer.fr/depot.htm</v>
      </c>
      <c r="AB174" s="8" t="str">
        <f>HYPERLINK("http://archimer.ifremer.fr/default.jsp?la=en","http://archimer.ifremer.fr/default.jsp?la=en")</f>
        <v>http://archimer.ifremer.fr/default.jsp?la=en</v>
      </c>
      <c r="AC174" s="3">
        <v>40428</v>
      </c>
      <c r="AD174" s="3">
        <v>40428</v>
      </c>
      <c r="AF174" s="3" t="s">
        <v>177</v>
      </c>
      <c r="AG174" s="3" t="s">
        <v>178</v>
      </c>
      <c r="AH174" s="3" t="s">
        <v>180</v>
      </c>
      <c r="AI174" s="3" t="s">
        <v>187</v>
      </c>
      <c r="AJ174" s="3" t="s">
        <v>182</v>
      </c>
      <c r="AK174" s="3" t="s">
        <v>393</v>
      </c>
      <c r="AL174" s="3" t="s">
        <v>185</v>
      </c>
      <c r="AM174" s="3" t="s">
        <v>178</v>
      </c>
      <c r="AN174" s="3" t="s">
        <v>189</v>
      </c>
      <c r="AO174" s="3" t="s">
        <v>181</v>
      </c>
      <c r="AP174" s="3" t="s">
        <v>189</v>
      </c>
      <c r="AQ174" s="3" t="s">
        <v>386</v>
      </c>
      <c r="AR174" s="3" t="s">
        <v>288</v>
      </c>
      <c r="AS174" s="3" t="s">
        <v>185</v>
      </c>
      <c r="AT174" s="3" t="s">
        <v>244</v>
      </c>
      <c r="AU174" s="3" t="s">
        <v>244</v>
      </c>
      <c r="AV174" s="3" t="s">
        <v>288</v>
      </c>
      <c r="AW174" s="3" t="s">
        <v>339</v>
      </c>
      <c r="AX174" s="3" t="s">
        <v>244</v>
      </c>
      <c r="AY174" s="3" t="s">
        <v>247</v>
      </c>
    </row>
    <row r="175" spans="1:51" ht="15.75" customHeight="1">
      <c r="A175" s="3">
        <v>147</v>
      </c>
      <c r="B175" s="5" t="str">
        <f t="shared" si="0"/>
        <v>http://roarmap.eprints.org/147/</v>
      </c>
      <c r="C175" s="3">
        <v>3</v>
      </c>
      <c r="D175" s="3" t="s">
        <v>98</v>
      </c>
      <c r="E175" s="3">
        <v>1</v>
      </c>
      <c r="F175" s="3" t="s">
        <v>936</v>
      </c>
      <c r="G175" s="3">
        <v>41988.923298611109</v>
      </c>
      <c r="H175" s="3">
        <v>41988.923298611109</v>
      </c>
      <c r="I175" s="3">
        <v>41988.923298611109</v>
      </c>
      <c r="J175" s="3" t="s">
        <v>103</v>
      </c>
      <c r="K175" s="3" t="s">
        <v>105</v>
      </c>
      <c r="L175" s="3" t="s">
        <v>937</v>
      </c>
      <c r="M175" s="3" t="s">
        <v>637</v>
      </c>
      <c r="N175" s="3" t="s">
        <v>938</v>
      </c>
      <c r="O175" s="3" t="s">
        <v>939</v>
      </c>
      <c r="P175" s="3" t="s">
        <v>215</v>
      </c>
      <c r="Q175" t="str">
        <f t="shared" si="10"/>
        <v>http://roarmap.eprints.org/view/country/250.html</v>
      </c>
      <c r="R175" s="3">
        <v>250</v>
      </c>
      <c r="S175" s="6" t="s">
        <v>153</v>
      </c>
      <c r="T175" s="9">
        <v>250</v>
      </c>
      <c r="U175" s="7" t="s">
        <v>123</v>
      </c>
      <c r="V175" s="6" t="s">
        <v>108</v>
      </c>
      <c r="W175" s="3" t="s">
        <v>158</v>
      </c>
      <c r="X175" s="3" t="s">
        <v>384</v>
      </c>
      <c r="Y175" s="3" t="s">
        <v>937</v>
      </c>
      <c r="Z175" s="8" t="str">
        <f>HYPERLINK("http://www.psychologie.parisdescartes.fr/","http://www.psychologie.parisdescartes.fr/")</f>
        <v>http://www.psychologie.parisdescartes.fr/</v>
      </c>
      <c r="AB175" s="8" t="str">
        <f>HYPERLINK("http://hal-descartes.archives-ouvertes.fr/","http://hal-descartes.archives-ouvertes.fr/")</f>
        <v>http://hal-descartes.archives-ouvertes.fr/</v>
      </c>
      <c r="AC175" s="3">
        <v>39106</v>
      </c>
      <c r="AD175" s="3">
        <v>39106</v>
      </c>
      <c r="AF175" s="3" t="s">
        <v>177</v>
      </c>
      <c r="AG175" s="3" t="s">
        <v>178</v>
      </c>
      <c r="AH175" s="3" t="s">
        <v>180</v>
      </c>
      <c r="AI175" s="3" t="s">
        <v>244</v>
      </c>
      <c r="AJ175" s="3" t="s">
        <v>182</v>
      </c>
      <c r="AK175" s="3" t="s">
        <v>393</v>
      </c>
      <c r="AL175" s="3" t="s">
        <v>185</v>
      </c>
      <c r="AM175" s="3" t="s">
        <v>247</v>
      </c>
      <c r="AN175" s="3" t="s">
        <v>244</v>
      </c>
      <c r="AO175" s="3" t="s">
        <v>247</v>
      </c>
      <c r="AP175" s="3" t="s">
        <v>189</v>
      </c>
      <c r="AQ175" s="3" t="s">
        <v>386</v>
      </c>
      <c r="AR175" s="3" t="s">
        <v>288</v>
      </c>
      <c r="AS175" s="3" t="s">
        <v>288</v>
      </c>
      <c r="AT175" s="3" t="s">
        <v>244</v>
      </c>
      <c r="AU175" s="3" t="s">
        <v>244</v>
      </c>
      <c r="AV175" s="3" t="s">
        <v>288</v>
      </c>
      <c r="AW175" s="3" t="s">
        <v>339</v>
      </c>
      <c r="AX175" s="3" t="s">
        <v>244</v>
      </c>
      <c r="AY175" s="3" t="s">
        <v>247</v>
      </c>
    </row>
    <row r="176" spans="1:51" ht="15.75" customHeight="1">
      <c r="A176" s="3">
        <v>636</v>
      </c>
      <c r="B176" s="5" t="str">
        <f t="shared" si="0"/>
        <v>http://roarmap.eprints.org/636/</v>
      </c>
      <c r="C176" s="3">
        <v>3</v>
      </c>
      <c r="D176" s="3" t="s">
        <v>98</v>
      </c>
      <c r="E176" s="3">
        <v>1</v>
      </c>
      <c r="F176" s="3" t="s">
        <v>940</v>
      </c>
      <c r="G176" s="3">
        <v>41988.924270833333</v>
      </c>
      <c r="H176" s="3">
        <v>41988.924270833333</v>
      </c>
      <c r="I176" s="3">
        <v>41988.924270833333</v>
      </c>
      <c r="J176" s="3" t="s">
        <v>103</v>
      </c>
      <c r="K176" s="3" t="s">
        <v>105</v>
      </c>
      <c r="L176" s="3" t="s">
        <v>941</v>
      </c>
      <c r="M176" s="3" t="s">
        <v>374</v>
      </c>
      <c r="N176" s="3" t="s">
        <v>942</v>
      </c>
      <c r="P176" s="3" t="s">
        <v>215</v>
      </c>
      <c r="Q176" t="str">
        <f t="shared" si="10"/>
        <v>http://roarmap.eprints.org/view/country/250.html</v>
      </c>
      <c r="R176" s="3">
        <v>250</v>
      </c>
      <c r="S176" s="6" t="s">
        <v>153</v>
      </c>
      <c r="T176" s="9">
        <v>250</v>
      </c>
      <c r="U176" s="7" t="s">
        <v>123</v>
      </c>
      <c r="V176" s="6" t="s">
        <v>108</v>
      </c>
      <c r="W176" s="3" t="s">
        <v>158</v>
      </c>
      <c r="X176" s="3" t="s">
        <v>160</v>
      </c>
      <c r="Y176" s="3" t="s">
        <v>941</v>
      </c>
      <c r="Z176" s="8" t="str">
        <f>HYPERLINK("http://en.unesco.org/","http://en.unesco.org/")</f>
        <v>http://en.unesco.org/</v>
      </c>
      <c r="AA176" s="8" t="str">
        <f>HYPERLINK("http://www.unesco.org/new/fileadmin/MULTIMEDIA/HQ/ERI/pdf/oa_policy_rev2.pdf","http://www.unesco.org/new/fileadmin/MULTIMEDIA/HQ/ERI/pdf/oa_policy_rev2.pdf")</f>
        <v>http://www.unesco.org/new/fileadmin/MULTIMEDIA/HQ/ERI/pdf/oa_policy_rev2.pdf</v>
      </c>
      <c r="AB176" s="8" t="str">
        <f>HYPERLINK("http://en.unesco.org/open-access/","http://en.unesco.org/open-access/")</f>
        <v>http://en.unesco.org/open-access/</v>
      </c>
      <c r="AD176" s="3">
        <v>41486</v>
      </c>
      <c r="AF176" s="3" t="s">
        <v>244</v>
      </c>
      <c r="AG176" s="3" t="s">
        <v>244</v>
      </c>
      <c r="AH176" s="3" t="s">
        <v>180</v>
      </c>
      <c r="AI176" s="3" t="s">
        <v>392</v>
      </c>
      <c r="AJ176" s="3" t="s">
        <v>244</v>
      </c>
      <c r="AK176" s="3" t="s">
        <v>244</v>
      </c>
      <c r="AL176" s="3" t="s">
        <v>244</v>
      </c>
      <c r="AM176" s="3" t="s">
        <v>371</v>
      </c>
      <c r="AN176" s="3" t="s">
        <v>244</v>
      </c>
      <c r="AO176" s="3" t="s">
        <v>247</v>
      </c>
      <c r="AP176" s="3" t="s">
        <v>244</v>
      </c>
      <c r="AQ176" s="3" t="s">
        <v>190</v>
      </c>
      <c r="AR176" s="3" t="s">
        <v>288</v>
      </c>
      <c r="AS176" s="3" t="s">
        <v>288</v>
      </c>
      <c r="AT176" s="3" t="s">
        <v>395</v>
      </c>
      <c r="AU176" s="3" t="s">
        <v>395</v>
      </c>
      <c r="AV176" s="3" t="s">
        <v>288</v>
      </c>
      <c r="AW176" s="3" t="s">
        <v>520</v>
      </c>
      <c r="AX176" s="3" t="s">
        <v>244</v>
      </c>
      <c r="AY176" s="3" t="s">
        <v>247</v>
      </c>
    </row>
    <row r="177" spans="1:52" ht="15.75" customHeight="1">
      <c r="A177" s="3">
        <v>148</v>
      </c>
      <c r="B177" s="5" t="str">
        <f t="shared" si="0"/>
        <v>http://roarmap.eprints.org/148/</v>
      </c>
      <c r="C177" s="3">
        <v>3</v>
      </c>
      <c r="D177" s="3" t="s">
        <v>98</v>
      </c>
      <c r="E177" s="3">
        <v>1</v>
      </c>
      <c r="F177" s="3" t="s">
        <v>943</v>
      </c>
      <c r="G177" s="3">
        <v>41988.923298611109</v>
      </c>
      <c r="H177" s="3">
        <v>41988.923298611109</v>
      </c>
      <c r="I177" s="3">
        <v>41988.923298611109</v>
      </c>
      <c r="J177" s="3" t="s">
        <v>103</v>
      </c>
      <c r="K177" s="3" t="s">
        <v>105</v>
      </c>
      <c r="L177" s="3" t="s">
        <v>944</v>
      </c>
      <c r="M177" s="3" t="s">
        <v>352</v>
      </c>
      <c r="N177" s="3" t="s">
        <v>945</v>
      </c>
      <c r="O177" s="3" t="s">
        <v>946</v>
      </c>
      <c r="P177" s="3" t="s">
        <v>215</v>
      </c>
      <c r="Q177" t="str">
        <f t="shared" si="10"/>
        <v>http://roarmap.eprints.org/view/country/250.html</v>
      </c>
      <c r="R177" s="3">
        <v>250</v>
      </c>
      <c r="S177" s="6" t="s">
        <v>153</v>
      </c>
      <c r="T177" s="9">
        <v>250</v>
      </c>
      <c r="U177" s="7" t="s">
        <v>123</v>
      </c>
      <c r="V177" s="6" t="s">
        <v>108</v>
      </c>
      <c r="W177" s="3" t="s">
        <v>158</v>
      </c>
      <c r="X177" s="3" t="s">
        <v>160</v>
      </c>
      <c r="Y177" s="3" t="s">
        <v>944</v>
      </c>
      <c r="Z177" s="8" t="str">
        <f>HYPERLINK("http://www.univ-lyon2.fr/","http://www.univ-lyon2.fr/")</f>
        <v>http://www.univ-lyon2.fr/</v>
      </c>
      <c r="AB177" s="8" t="str">
        <f>HYPERLINK("http://halshs.archives-ouvertes.fr/UNIV-LYON2/fr/","http://halshs.archives-ouvertes.fr/UNIV-LYON2/fr/")</f>
        <v>http://halshs.archives-ouvertes.fr/UNIV-LYON2/fr/</v>
      </c>
      <c r="AF177" s="3" t="s">
        <v>244</v>
      </c>
      <c r="AG177" s="3" t="s">
        <v>244</v>
      </c>
      <c r="AH177" s="3" t="s">
        <v>180</v>
      </c>
      <c r="AI177" s="3" t="s">
        <v>181</v>
      </c>
      <c r="AJ177" s="3" t="s">
        <v>182</v>
      </c>
      <c r="AK177" s="3" t="s">
        <v>244</v>
      </c>
      <c r="AL177" s="3" t="s">
        <v>244</v>
      </c>
      <c r="AM177" s="3" t="s">
        <v>479</v>
      </c>
      <c r="AN177" s="3" t="s">
        <v>244</v>
      </c>
      <c r="AO177" s="3" t="s">
        <v>181</v>
      </c>
      <c r="AP177" s="3" t="s">
        <v>244</v>
      </c>
      <c r="AQ177" s="3" t="s">
        <v>386</v>
      </c>
      <c r="AR177" s="3" t="s">
        <v>288</v>
      </c>
      <c r="AS177" s="3" t="s">
        <v>288</v>
      </c>
      <c r="AT177" s="3" t="s">
        <v>244</v>
      </c>
      <c r="AU177" s="3" t="s">
        <v>244</v>
      </c>
      <c r="AV177" s="3" t="s">
        <v>288</v>
      </c>
      <c r="AW177" s="3" t="s">
        <v>339</v>
      </c>
      <c r="AX177" s="3" t="s">
        <v>244</v>
      </c>
      <c r="AY177" s="3" t="s">
        <v>247</v>
      </c>
    </row>
    <row r="178" spans="1:52" ht="15.75" customHeight="1">
      <c r="A178" s="3">
        <v>149</v>
      </c>
      <c r="B178" s="5" t="str">
        <f t="shared" si="0"/>
        <v>http://roarmap.eprints.org/149/</v>
      </c>
      <c r="C178" s="3">
        <v>3</v>
      </c>
      <c r="D178" s="3" t="s">
        <v>98</v>
      </c>
      <c r="E178" s="3">
        <v>1</v>
      </c>
      <c r="F178" s="3" t="s">
        <v>947</v>
      </c>
      <c r="G178" s="3">
        <v>41988.923298611109</v>
      </c>
      <c r="H178" s="3">
        <v>41988.923298611109</v>
      </c>
      <c r="I178" s="3">
        <v>41988.923298611109</v>
      </c>
      <c r="J178" s="3" t="s">
        <v>103</v>
      </c>
      <c r="K178" s="3" t="s">
        <v>105</v>
      </c>
      <c r="L178" s="3" t="s">
        <v>948</v>
      </c>
      <c r="M178" s="3" t="s">
        <v>532</v>
      </c>
      <c r="N178" s="3" t="s">
        <v>949</v>
      </c>
      <c r="O178" s="3" t="s">
        <v>950</v>
      </c>
      <c r="P178" s="3" t="s">
        <v>215</v>
      </c>
      <c r="Q178" t="str">
        <f t="shared" si="10"/>
        <v>http://roarmap.eprints.org/view/country/250.html</v>
      </c>
      <c r="R178" s="3">
        <v>250</v>
      </c>
      <c r="S178" s="6" t="s">
        <v>153</v>
      </c>
      <c r="T178" s="9">
        <v>250</v>
      </c>
      <c r="U178" s="7" t="s">
        <v>123</v>
      </c>
      <c r="V178" s="6" t="s">
        <v>108</v>
      </c>
      <c r="W178" s="3" t="s">
        <v>158</v>
      </c>
      <c r="X178" s="3" t="s">
        <v>160</v>
      </c>
      <c r="Y178" s="3" t="s">
        <v>948</v>
      </c>
      <c r="Z178" s="8" t="str">
        <f>HYPERLINK("http://www.univ-angers.fr/en/index.html","http://www.univ-angers.fr/en/index.html")</f>
        <v>http://www.univ-angers.fr/en/index.html</v>
      </c>
      <c r="AB178" s="8" t="str">
        <f>HYPERLINK("http://hal.archives-ouvertes.fr/","http://hal.archives-ouvertes.fr/")</f>
        <v>http://hal.archives-ouvertes.fr/</v>
      </c>
      <c r="AC178" s="3">
        <v>41361</v>
      </c>
      <c r="AD178" s="3">
        <v>41361</v>
      </c>
      <c r="AF178" s="3" t="s">
        <v>478</v>
      </c>
      <c r="AG178" s="3" t="s">
        <v>178</v>
      </c>
      <c r="AH178" s="3" t="s">
        <v>180</v>
      </c>
      <c r="AI178" s="3" t="s">
        <v>181</v>
      </c>
      <c r="AJ178" s="3" t="s">
        <v>244</v>
      </c>
      <c r="AK178" s="3" t="s">
        <v>244</v>
      </c>
      <c r="AL178" s="3" t="s">
        <v>185</v>
      </c>
      <c r="AM178" s="3" t="s">
        <v>178</v>
      </c>
      <c r="AN178" s="3" t="s">
        <v>189</v>
      </c>
      <c r="AO178" s="3" t="s">
        <v>181</v>
      </c>
      <c r="AP178" s="3" t="s">
        <v>185</v>
      </c>
      <c r="AQ178" s="3" t="s">
        <v>386</v>
      </c>
      <c r="AR178" s="3" t="s">
        <v>288</v>
      </c>
      <c r="AS178" s="3" t="s">
        <v>189</v>
      </c>
      <c r="AT178" s="3" t="s">
        <v>244</v>
      </c>
      <c r="AU178" s="3" t="s">
        <v>244</v>
      </c>
      <c r="AV178" s="3" t="s">
        <v>288</v>
      </c>
      <c r="AW178" s="3" t="s">
        <v>339</v>
      </c>
      <c r="AX178" s="3" t="s">
        <v>244</v>
      </c>
      <c r="AY178" s="3" t="s">
        <v>247</v>
      </c>
    </row>
    <row r="179" spans="1:52" ht="15.75" customHeight="1">
      <c r="A179" s="3">
        <v>150</v>
      </c>
      <c r="B179" s="5" t="str">
        <f t="shared" si="0"/>
        <v>http://roarmap.eprints.org/150/</v>
      </c>
      <c r="C179" s="3">
        <v>3</v>
      </c>
      <c r="D179" s="3" t="s">
        <v>98</v>
      </c>
      <c r="E179" s="3">
        <v>1</v>
      </c>
      <c r="F179" s="3" t="s">
        <v>951</v>
      </c>
      <c r="G179" s="3">
        <v>41988.923298611109</v>
      </c>
      <c r="H179" s="3">
        <v>41988.923298611109</v>
      </c>
      <c r="I179" s="3">
        <v>41988.923298611109</v>
      </c>
      <c r="J179" s="3" t="s">
        <v>103</v>
      </c>
      <c r="K179" s="3" t="s">
        <v>105</v>
      </c>
      <c r="L179" s="3" t="s">
        <v>952</v>
      </c>
      <c r="M179" s="3" t="s">
        <v>352</v>
      </c>
      <c r="N179" s="3" t="s">
        <v>953</v>
      </c>
      <c r="O179" s="3" t="s">
        <v>954</v>
      </c>
      <c r="P179" s="3" t="s">
        <v>215</v>
      </c>
      <c r="Q179" t="str">
        <f t="shared" si="10"/>
        <v>http://roarmap.eprints.org/view/country/250.html</v>
      </c>
      <c r="R179" s="3">
        <v>250</v>
      </c>
      <c r="S179" s="6" t="s">
        <v>153</v>
      </c>
      <c r="T179" s="9">
        <v>250</v>
      </c>
      <c r="U179" s="7" t="s">
        <v>123</v>
      </c>
      <c r="V179" s="6" t="s">
        <v>108</v>
      </c>
      <c r="W179" s="3" t="s">
        <v>158</v>
      </c>
      <c r="X179" s="3" t="s">
        <v>160</v>
      </c>
      <c r="Y179" s="3" t="s">
        <v>952</v>
      </c>
      <c r="Z179" s="8" t="str">
        <f>HYPERLINK("http://www.univ-lorraine.fr/","http://www.univ-lorraine.fr/")</f>
        <v>http://www.univ-lorraine.fr/</v>
      </c>
      <c r="AA179" s="8" t="str">
        <f>HYPERLINK("http://bu.univ-lorraine.fr/ressources/theses-et-memoires/procedure-de-depot-final-de-votre-these-de-doctorat","http://bu.univ-lorraine.fr/ressources/theses-et-memoires/procedure-de-depot-final-de-votre-these-de-doctorat")</f>
        <v>http://bu.univ-lorraine.fr/ressources/theses-et-memoires/procedure-de-depot-final-de-votre-these-de-doctorat</v>
      </c>
      <c r="AB179" s="3" t="s">
        <v>955</v>
      </c>
      <c r="AC179" s="3">
        <v>38953</v>
      </c>
      <c r="AD179" s="3">
        <v>38953</v>
      </c>
      <c r="AF179" s="3" t="s">
        <v>177</v>
      </c>
      <c r="AG179" s="3" t="s">
        <v>178</v>
      </c>
      <c r="AH179" s="3" t="s">
        <v>180</v>
      </c>
      <c r="AI179" s="3" t="s">
        <v>244</v>
      </c>
      <c r="AJ179" s="3" t="s">
        <v>385</v>
      </c>
      <c r="AK179" s="3" t="s">
        <v>244</v>
      </c>
      <c r="AL179" s="3" t="s">
        <v>185</v>
      </c>
      <c r="AM179" s="3" t="s">
        <v>479</v>
      </c>
      <c r="AN179" s="3" t="s">
        <v>189</v>
      </c>
      <c r="AO179" s="3" t="s">
        <v>371</v>
      </c>
      <c r="AP179" s="3" t="s">
        <v>185</v>
      </c>
      <c r="AQ179" s="3" t="s">
        <v>394</v>
      </c>
      <c r="AR179" s="3" t="s">
        <v>288</v>
      </c>
      <c r="AS179" s="3" t="s">
        <v>189</v>
      </c>
      <c r="AT179" s="3" t="s">
        <v>244</v>
      </c>
      <c r="AU179" s="3" t="s">
        <v>244</v>
      </c>
      <c r="AV179" s="3" t="s">
        <v>288</v>
      </c>
      <c r="AW179" s="3" t="s">
        <v>339</v>
      </c>
      <c r="AX179" s="3" t="s">
        <v>244</v>
      </c>
      <c r="AY179" s="3" t="s">
        <v>247</v>
      </c>
    </row>
    <row r="180" spans="1:52" ht="15.75" customHeight="1">
      <c r="A180" s="3">
        <v>151</v>
      </c>
      <c r="B180" s="5" t="str">
        <f t="shared" si="0"/>
        <v>http://roarmap.eprints.org/151/</v>
      </c>
      <c r="C180" s="3">
        <v>3</v>
      </c>
      <c r="D180" s="3" t="s">
        <v>98</v>
      </c>
      <c r="E180" s="3">
        <v>1</v>
      </c>
      <c r="F180" s="3" t="s">
        <v>956</v>
      </c>
      <c r="G180" s="3">
        <v>41988.923298611109</v>
      </c>
      <c r="H180" s="3">
        <v>41988.923310185186</v>
      </c>
      <c r="I180" s="3">
        <v>41988.923298611109</v>
      </c>
      <c r="J180" s="3" t="s">
        <v>103</v>
      </c>
      <c r="K180" s="3" t="s">
        <v>105</v>
      </c>
      <c r="L180" s="3" t="s">
        <v>957</v>
      </c>
      <c r="M180" s="3" t="s">
        <v>637</v>
      </c>
      <c r="N180" s="3" t="s">
        <v>958</v>
      </c>
      <c r="Q180" t="str">
        <f t="shared" si="10"/>
        <v>http://roarmap.eprints.org/view/country/276.html</v>
      </c>
      <c r="R180" s="3">
        <v>276</v>
      </c>
      <c r="S180" s="6" t="s">
        <v>163</v>
      </c>
      <c r="T180" s="9">
        <v>276</v>
      </c>
      <c r="U180" s="7" t="s">
        <v>123</v>
      </c>
      <c r="V180" s="6" t="s">
        <v>108</v>
      </c>
      <c r="W180" s="3" t="s">
        <v>158</v>
      </c>
      <c r="X180" s="3" t="s">
        <v>160</v>
      </c>
      <c r="Y180" s="3" t="s">
        <v>957</v>
      </c>
      <c r="Z180" s="8" t="str">
        <f>HYPERLINK("https://www.uni-bielefeld.de/(en)/","https://www.uni-bielefeld.de/(en)/")</f>
        <v>https://www.uni-bielefeld.de/(en)/</v>
      </c>
      <c r="AA180" s="8" t="str">
        <f>HYPERLINK("http://oa.uni-bielefeld.de/","http://oa.uni-bielefeld.de/")</f>
        <v>http://oa.uni-bielefeld.de/</v>
      </c>
      <c r="AB180" s="8" t="str">
        <f>HYPERLINK("http://pub.uni-bielefeld.de/","http://pub.uni-bielefeld.de/")</f>
        <v>http://pub.uni-bielefeld.de/</v>
      </c>
      <c r="AC180" s="3">
        <v>38510</v>
      </c>
      <c r="AF180" s="3" t="s">
        <v>177</v>
      </c>
      <c r="AG180" s="3" t="s">
        <v>333</v>
      </c>
      <c r="AH180" s="3" t="s">
        <v>180</v>
      </c>
      <c r="AI180" s="3" t="s">
        <v>392</v>
      </c>
      <c r="AJ180" s="3" t="s">
        <v>244</v>
      </c>
      <c r="AK180" s="3" t="s">
        <v>183</v>
      </c>
      <c r="AL180" s="3" t="s">
        <v>288</v>
      </c>
      <c r="AM180" s="3" t="s">
        <v>247</v>
      </c>
      <c r="AN180" s="3" t="s">
        <v>244</v>
      </c>
      <c r="AO180" s="3" t="s">
        <v>181</v>
      </c>
      <c r="AP180" s="3" t="s">
        <v>244</v>
      </c>
      <c r="AQ180" s="3" t="s">
        <v>247</v>
      </c>
      <c r="AR180" s="3" t="s">
        <v>288</v>
      </c>
      <c r="AS180" s="3" t="s">
        <v>288</v>
      </c>
      <c r="AT180" s="3" t="s">
        <v>244</v>
      </c>
      <c r="AU180" s="3" t="s">
        <v>244</v>
      </c>
      <c r="AV180" s="3" t="s">
        <v>288</v>
      </c>
      <c r="AW180" s="3" t="s">
        <v>195</v>
      </c>
      <c r="AX180" s="3" t="s">
        <v>244</v>
      </c>
      <c r="AY180" s="3" t="s">
        <v>428</v>
      </c>
      <c r="AZ180" s="8" t="str">
        <f>HYPERLINK("http://oa.uni-bielefeld.de/publikationsfonds.html","http://oa.uni-bielefeld.de/publikationsfonds.html")</f>
        <v>http://oa.uni-bielefeld.de/publikationsfonds.html</v>
      </c>
    </row>
    <row r="181" spans="1:52" ht="15.75" customHeight="1">
      <c r="A181" s="3">
        <v>152</v>
      </c>
      <c r="B181" s="5" t="str">
        <f t="shared" si="0"/>
        <v>http://roarmap.eprints.org/152/</v>
      </c>
      <c r="C181" s="3">
        <v>3</v>
      </c>
      <c r="D181" s="3" t="s">
        <v>98</v>
      </c>
      <c r="E181" s="3">
        <v>1</v>
      </c>
      <c r="F181" s="3" t="s">
        <v>959</v>
      </c>
      <c r="G181" s="3">
        <v>41988.923310185186</v>
      </c>
      <c r="H181" s="3">
        <v>41988.923310185186</v>
      </c>
      <c r="I181" s="3">
        <v>41988.923310185186</v>
      </c>
      <c r="J181" s="3" t="s">
        <v>103</v>
      </c>
      <c r="K181" s="3" t="s">
        <v>105</v>
      </c>
      <c r="L181" s="3" t="s">
        <v>960</v>
      </c>
      <c r="M181" s="3" t="s">
        <v>374</v>
      </c>
      <c r="Q181" t="str">
        <f t="shared" si="10"/>
        <v>http://roarmap.eprints.org/view/country/276.html</v>
      </c>
      <c r="R181" s="3">
        <v>276</v>
      </c>
      <c r="S181" s="6" t="s">
        <v>163</v>
      </c>
      <c r="T181" s="9">
        <v>276</v>
      </c>
      <c r="U181" s="7" t="s">
        <v>123</v>
      </c>
      <c r="V181" s="6" t="s">
        <v>108</v>
      </c>
      <c r="W181" s="3" t="s">
        <v>158</v>
      </c>
      <c r="X181" s="3" t="s">
        <v>364</v>
      </c>
      <c r="Y181" s="3" t="s">
        <v>960</v>
      </c>
      <c r="Z181" s="8" t="str">
        <f>HYPERLINK("http://www.dfg.de/en/","http://www.dfg.de/en/")</f>
        <v>http://www.dfg.de/en/</v>
      </c>
      <c r="AG181" s="3" t="s">
        <v>244</v>
      </c>
      <c r="AH181" s="3" t="s">
        <v>244</v>
      </c>
      <c r="AI181" s="3" t="s">
        <v>244</v>
      </c>
      <c r="AJ181" s="3" t="s">
        <v>244</v>
      </c>
      <c r="AK181" s="3" t="s">
        <v>244</v>
      </c>
      <c r="AL181" s="3" t="s">
        <v>244</v>
      </c>
      <c r="AM181" s="3" t="s">
        <v>247</v>
      </c>
      <c r="AN181" s="3" t="s">
        <v>244</v>
      </c>
      <c r="AO181" s="3" t="s">
        <v>247</v>
      </c>
      <c r="AP181" s="3" t="s">
        <v>244</v>
      </c>
      <c r="AQ181" s="3" t="s">
        <v>247</v>
      </c>
      <c r="AR181" s="3" t="s">
        <v>288</v>
      </c>
      <c r="AS181" s="3" t="s">
        <v>244</v>
      </c>
      <c r="AT181" s="3" t="s">
        <v>244</v>
      </c>
      <c r="AU181" s="3" t="s">
        <v>244</v>
      </c>
      <c r="AV181" s="3" t="s">
        <v>288</v>
      </c>
      <c r="AW181" s="3" t="s">
        <v>244</v>
      </c>
      <c r="AX181" s="3" t="s">
        <v>244</v>
      </c>
      <c r="AY181" s="3" t="s">
        <v>247</v>
      </c>
    </row>
    <row r="182" spans="1:52" ht="15.75" customHeight="1">
      <c r="A182" s="3">
        <v>153</v>
      </c>
      <c r="B182" s="5" t="str">
        <f t="shared" si="0"/>
        <v>http://roarmap.eprints.org/153/</v>
      </c>
      <c r="C182" s="3">
        <v>3</v>
      </c>
      <c r="D182" s="3" t="s">
        <v>98</v>
      </c>
      <c r="E182" s="3">
        <v>1</v>
      </c>
      <c r="F182" s="3" t="s">
        <v>961</v>
      </c>
      <c r="G182" s="3">
        <v>41988.923310185186</v>
      </c>
      <c r="H182" s="3">
        <v>41988.923310185186</v>
      </c>
      <c r="I182" s="3">
        <v>41988.923310185186</v>
      </c>
      <c r="J182" s="3" t="s">
        <v>103</v>
      </c>
      <c r="K182" s="3" t="s">
        <v>105</v>
      </c>
      <c r="L182" s="3" t="s">
        <v>962</v>
      </c>
      <c r="M182" s="3" t="s">
        <v>352</v>
      </c>
      <c r="P182" s="3" t="s">
        <v>215</v>
      </c>
      <c r="Q182" t="str">
        <f t="shared" si="10"/>
        <v>http://roarmap.eprints.org/view/country/276.html</v>
      </c>
      <c r="R182" s="3">
        <v>276</v>
      </c>
      <c r="S182" s="6" t="s">
        <v>163</v>
      </c>
      <c r="T182" s="9">
        <v>276</v>
      </c>
      <c r="U182" s="7" t="s">
        <v>123</v>
      </c>
      <c r="V182" s="6" t="s">
        <v>108</v>
      </c>
      <c r="W182" s="3" t="s">
        <v>158</v>
      </c>
      <c r="X182" s="3" t="s">
        <v>160</v>
      </c>
      <c r="Y182" s="3" t="s">
        <v>962</v>
      </c>
      <c r="Z182" s="8" t="str">
        <f>HYPERLINK("http://www.fraunhofer.de/","http://www.fraunhofer.de/")</f>
        <v>http://www.fraunhofer.de/</v>
      </c>
      <c r="AA182" s="8" t="str">
        <f>HYPERLINK("http://www.fraunhofer.de/content/dam/zv/en/documents/OpenAccessPolicy_tcm63-828.pdf","http://www.fraunhofer.de/content/dam/zv/en/documents/OpenAccessPolicy_tcm63-828.pdf")</f>
        <v>http://www.fraunhofer.de/content/dam/zv/en/documents/OpenAccessPolicy_tcm63-828.pdf</v>
      </c>
      <c r="AB182" s="8" t="str">
        <f>HYPERLINK("http://publica.fraunhofer.de/starweb/ep08/en/index.htm","http://publica.fraunhofer.de/starweb/ep08/en/index.htm")</f>
        <v>http://publica.fraunhofer.de/starweb/ep08/en/index.htm</v>
      </c>
      <c r="AC182" s="3">
        <v>39454</v>
      </c>
      <c r="AF182" s="3" t="s">
        <v>244</v>
      </c>
      <c r="AG182" s="3" t="s">
        <v>333</v>
      </c>
      <c r="AH182" s="3" t="s">
        <v>180</v>
      </c>
      <c r="AI182" s="3" t="s">
        <v>181</v>
      </c>
      <c r="AJ182" s="3" t="s">
        <v>182</v>
      </c>
      <c r="AK182" s="3" t="s">
        <v>393</v>
      </c>
      <c r="AL182" s="3" t="s">
        <v>288</v>
      </c>
      <c r="AM182" s="3" t="s">
        <v>247</v>
      </c>
      <c r="AN182" s="3" t="s">
        <v>244</v>
      </c>
      <c r="AO182" s="3" t="s">
        <v>181</v>
      </c>
      <c r="AP182" s="3" t="s">
        <v>244</v>
      </c>
      <c r="AQ182" s="3" t="s">
        <v>394</v>
      </c>
      <c r="AR182" s="3" t="s">
        <v>288</v>
      </c>
      <c r="AS182" s="3" t="s">
        <v>288</v>
      </c>
      <c r="AT182" s="3" t="s">
        <v>395</v>
      </c>
      <c r="AU182" s="3" t="s">
        <v>395</v>
      </c>
      <c r="AV182" s="3" t="s">
        <v>288</v>
      </c>
      <c r="AW182" s="3" t="s">
        <v>339</v>
      </c>
      <c r="AX182" s="3" t="s">
        <v>244</v>
      </c>
      <c r="AY182" s="3" t="s">
        <v>247</v>
      </c>
    </row>
    <row r="183" spans="1:52" ht="15.75" customHeight="1">
      <c r="A183" s="3">
        <v>155</v>
      </c>
      <c r="B183" s="5" t="str">
        <f t="shared" si="0"/>
        <v>http://roarmap.eprints.org/155/</v>
      </c>
      <c r="C183" s="3">
        <v>3</v>
      </c>
      <c r="D183" s="3" t="s">
        <v>98</v>
      </c>
      <c r="E183" s="3">
        <v>1</v>
      </c>
      <c r="F183" s="3" t="s">
        <v>963</v>
      </c>
      <c r="G183" s="3">
        <v>41988.923310185186</v>
      </c>
      <c r="H183" s="3">
        <v>41988.923310185186</v>
      </c>
      <c r="I183" s="3">
        <v>41988.923310185186</v>
      </c>
      <c r="J183" s="3" t="s">
        <v>103</v>
      </c>
      <c r="K183" s="3" t="s">
        <v>105</v>
      </c>
      <c r="L183" s="3" t="s">
        <v>964</v>
      </c>
      <c r="M183" s="3" t="s">
        <v>374</v>
      </c>
      <c r="N183" s="3" t="s">
        <v>965</v>
      </c>
      <c r="P183" s="3" t="s">
        <v>966</v>
      </c>
      <c r="Q183" t="str">
        <f t="shared" si="10"/>
        <v>http://roarmap.eprints.org/view/country/276.html</v>
      </c>
      <c r="R183" s="3">
        <v>276</v>
      </c>
      <c r="S183" s="6" t="s">
        <v>163</v>
      </c>
      <c r="T183" s="9">
        <v>276</v>
      </c>
      <c r="U183" s="7" t="s">
        <v>123</v>
      </c>
      <c r="V183" s="6" t="s">
        <v>108</v>
      </c>
      <c r="W183" s="3" t="s">
        <v>158</v>
      </c>
      <c r="X183" s="3" t="s">
        <v>160</v>
      </c>
      <c r="Y183" s="3" t="s">
        <v>964</v>
      </c>
      <c r="Z183" s="8" t="str">
        <f>HYPERLINK("http://www.uni-freiburg.de/","http://www.uni-freiburg.de/")</f>
        <v>http://www.uni-freiburg.de/</v>
      </c>
      <c r="AA183" s="8" t="str">
        <f>HYPERLINK("http://www.ub.uni-freiburg.de/index.php?id=3651","http://www.ub.uni-freiburg.de/index.php?id=3651")</f>
        <v>http://www.ub.uni-freiburg.de/index.php?id=3651</v>
      </c>
      <c r="AB183" s="8" t="str">
        <f>HYPERLINK("https://www.freidok.uni-freiburg.de/","https://www.freidok.uni-freiburg.de/")</f>
        <v>https://www.freidok.uni-freiburg.de/</v>
      </c>
      <c r="AC183" s="3">
        <v>40268</v>
      </c>
      <c r="AF183" s="3" t="s">
        <v>177</v>
      </c>
      <c r="AG183" s="3" t="s">
        <v>333</v>
      </c>
      <c r="AH183" s="3" t="s">
        <v>370</v>
      </c>
      <c r="AI183" s="3" t="s">
        <v>244</v>
      </c>
      <c r="AJ183" s="3" t="s">
        <v>182</v>
      </c>
      <c r="AK183" s="3" t="s">
        <v>244</v>
      </c>
      <c r="AL183" s="3" t="s">
        <v>288</v>
      </c>
      <c r="AM183" s="3" t="s">
        <v>247</v>
      </c>
      <c r="AN183" s="3" t="s">
        <v>244</v>
      </c>
      <c r="AO183" s="3" t="s">
        <v>247</v>
      </c>
      <c r="AP183" s="3" t="s">
        <v>244</v>
      </c>
      <c r="AQ183" s="3" t="s">
        <v>247</v>
      </c>
      <c r="AR183" s="3" t="s">
        <v>288</v>
      </c>
      <c r="AS183" s="3" t="s">
        <v>288</v>
      </c>
      <c r="AT183" s="3" t="s">
        <v>244</v>
      </c>
      <c r="AU183" s="3" t="s">
        <v>244</v>
      </c>
      <c r="AV183" s="3" t="s">
        <v>288</v>
      </c>
      <c r="AW183" s="3" t="s">
        <v>371</v>
      </c>
      <c r="AX183" s="3" t="s">
        <v>341</v>
      </c>
      <c r="AY183" s="3" t="s">
        <v>428</v>
      </c>
      <c r="AZ183" s="8" t="str">
        <f>HYPERLINK("http://www.ub.uni-freiburg.de/index.php?id=oapf","http://www.ub.uni-freiburg.de/index.php?id=oapf")</f>
        <v>http://www.ub.uni-freiburg.de/index.php?id=oapf</v>
      </c>
    </row>
    <row r="184" spans="1:52" ht="15.75" customHeight="1">
      <c r="A184" s="3">
        <v>154</v>
      </c>
      <c r="B184" s="5" t="str">
        <f t="shared" si="0"/>
        <v>http://roarmap.eprints.org/154/</v>
      </c>
      <c r="C184" s="3">
        <v>4</v>
      </c>
      <c r="D184" s="3" t="s">
        <v>98</v>
      </c>
      <c r="E184" s="3">
        <v>1</v>
      </c>
      <c r="F184" s="3" t="s">
        <v>967</v>
      </c>
      <c r="G184" s="3">
        <v>41988.923310185186</v>
      </c>
      <c r="H184" s="3">
        <v>42026.611712962964</v>
      </c>
      <c r="I184" s="3">
        <v>41988.923310185186</v>
      </c>
      <c r="J184" s="3" t="s">
        <v>103</v>
      </c>
      <c r="K184" s="3" t="s">
        <v>105</v>
      </c>
      <c r="L184" s="3" t="s">
        <v>968</v>
      </c>
      <c r="N184" s="3" t="s">
        <v>969</v>
      </c>
      <c r="P184" s="3" t="s">
        <v>966</v>
      </c>
      <c r="Q184" t="str">
        <f t="shared" si="10"/>
        <v>http://roarmap.eprints.org/view/country/276.html</v>
      </c>
      <c r="R184" s="3">
        <v>276</v>
      </c>
      <c r="S184" s="6" t="s">
        <v>163</v>
      </c>
      <c r="T184" s="9">
        <v>276</v>
      </c>
      <c r="U184" s="7" t="s">
        <v>123</v>
      </c>
      <c r="V184" s="6" t="s">
        <v>108</v>
      </c>
      <c r="W184" s="3" t="s">
        <v>158</v>
      </c>
      <c r="X184" s="3" t="s">
        <v>160</v>
      </c>
      <c r="Y184" s="3" t="s">
        <v>968</v>
      </c>
      <c r="Z184" s="8" t="str">
        <f>HYPERLINK("http://www.fu-berlin.de/en","http://www.fu-berlin.de/en")</f>
        <v>http://www.fu-berlin.de/en</v>
      </c>
      <c r="AA184" s="8" t="str">
        <f>HYPERLINK("http://www.fu-berlin.de/sites/open_access/","http://www.fu-berlin.de/sites/open_access/")</f>
        <v>http://www.fu-berlin.de/sites/open_access/</v>
      </c>
      <c r="AB184" s="8" t="str">
        <f>HYPERLINK("http://edocs.fu-berlin.de/docs/content/below/index.xml","http://edocs.fu-berlin.de/docs/content/below/index.xml")</f>
        <v>http://edocs.fu-berlin.de/docs/content/below/index.xml</v>
      </c>
      <c r="AC184" s="3">
        <v>39600</v>
      </c>
      <c r="AF184" s="3" t="s">
        <v>177</v>
      </c>
      <c r="AG184" s="3" t="s">
        <v>178</v>
      </c>
      <c r="AH184" s="3" t="s">
        <v>370</v>
      </c>
      <c r="AI184" s="3" t="s">
        <v>392</v>
      </c>
      <c r="AJ184" s="3" t="s">
        <v>182</v>
      </c>
      <c r="AK184" s="3" t="s">
        <v>244</v>
      </c>
      <c r="AL184" s="3" t="s">
        <v>244</v>
      </c>
      <c r="AM184" s="3" t="s">
        <v>247</v>
      </c>
      <c r="AN184" s="3" t="s">
        <v>244</v>
      </c>
      <c r="AO184" s="3" t="s">
        <v>621</v>
      </c>
      <c r="AP184" s="3" t="s">
        <v>244</v>
      </c>
      <c r="AQ184" s="3" t="s">
        <v>247</v>
      </c>
      <c r="AR184" s="3" t="s">
        <v>288</v>
      </c>
      <c r="AS184" s="3" t="s">
        <v>185</v>
      </c>
      <c r="AT184" s="3" t="s">
        <v>244</v>
      </c>
      <c r="AU184" s="3" t="s">
        <v>244</v>
      </c>
      <c r="AV184" s="3" t="s">
        <v>288</v>
      </c>
      <c r="AW184" s="3" t="s">
        <v>195</v>
      </c>
      <c r="AX184" s="3" t="s">
        <v>442</v>
      </c>
      <c r="AY184" s="3" t="s">
        <v>428</v>
      </c>
      <c r="AZ184" s="8" t="str">
        <f>HYPERLINK("http://www.fu-berlin.de/sites/open_access/dienstleistungen/publikationsfonds/","http://www.fu-berlin.de/sites/open_access/dienstleistungen/publikationsfonds/")</f>
        <v>http://www.fu-berlin.de/sites/open_access/dienstleistungen/publikationsfonds/</v>
      </c>
    </row>
    <row r="185" spans="1:52" ht="15.75" customHeight="1">
      <c r="A185" s="3">
        <v>156</v>
      </c>
      <c r="B185" s="5" t="str">
        <f t="shared" si="0"/>
        <v>http://roarmap.eprints.org/156/</v>
      </c>
      <c r="C185" s="3">
        <v>3</v>
      </c>
      <c r="D185" s="3" t="s">
        <v>98</v>
      </c>
      <c r="E185" s="3">
        <v>1</v>
      </c>
      <c r="F185" s="3" t="s">
        <v>970</v>
      </c>
      <c r="G185" s="3">
        <v>41988.923310185186</v>
      </c>
      <c r="H185" s="3">
        <v>41988.923310185186</v>
      </c>
      <c r="I185" s="3">
        <v>41988.923310185186</v>
      </c>
      <c r="J185" s="3" t="s">
        <v>103</v>
      </c>
      <c r="K185" s="3" t="s">
        <v>105</v>
      </c>
      <c r="L185" s="3" t="s">
        <v>971</v>
      </c>
      <c r="M185" s="3" t="s">
        <v>374</v>
      </c>
      <c r="N185" s="3" t="s">
        <v>972</v>
      </c>
      <c r="P185" s="3" t="s">
        <v>966</v>
      </c>
      <c r="Q185" t="str">
        <f t="shared" si="10"/>
        <v>http://roarmap.eprints.org/view/country/276.html</v>
      </c>
      <c r="R185" s="3">
        <v>276</v>
      </c>
      <c r="S185" s="6" t="s">
        <v>163</v>
      </c>
      <c r="T185" s="9">
        <v>276</v>
      </c>
      <c r="U185" s="7" t="s">
        <v>123</v>
      </c>
      <c r="V185" s="6" t="s">
        <v>108</v>
      </c>
      <c r="W185" s="3" t="s">
        <v>158</v>
      </c>
      <c r="X185" s="3" t="s">
        <v>160</v>
      </c>
      <c r="Y185" s="3" t="s">
        <v>971</v>
      </c>
      <c r="Z185" s="8" t="str">
        <f>HYPERLINK("http://www.uni-goettingen.de/","http://www.uni-goettingen.de/")</f>
        <v>http://www.uni-goettingen.de/</v>
      </c>
      <c r="AA185" s="8" t="str">
        <f>HYPERLINK("http://www.sub.uni-goettingen.de/en/electronic-publishing/open-access/","http://www.sub.uni-goettingen.de/en/electronic-publishing/open-access/")</f>
        <v>http://www.sub.uni-goettingen.de/en/electronic-publishing/open-access/</v>
      </c>
      <c r="AB185" s="8" t="str">
        <f>HYPERLINK("http://www.univerlag.uni-goettingen.de/","http://www.univerlag.uni-goettingen.de/")</f>
        <v>http://www.univerlag.uni-goettingen.de/</v>
      </c>
      <c r="AC185" s="3">
        <v>38687</v>
      </c>
      <c r="AF185" s="3" t="s">
        <v>177</v>
      </c>
      <c r="AG185" s="3" t="s">
        <v>333</v>
      </c>
      <c r="AH185" s="3" t="s">
        <v>180</v>
      </c>
      <c r="AI185" s="3" t="s">
        <v>244</v>
      </c>
      <c r="AJ185" s="3" t="s">
        <v>244</v>
      </c>
      <c r="AK185" s="3" t="s">
        <v>244</v>
      </c>
      <c r="AL185" s="3" t="s">
        <v>288</v>
      </c>
      <c r="AM185" s="3" t="s">
        <v>247</v>
      </c>
      <c r="AN185" s="3" t="s">
        <v>244</v>
      </c>
      <c r="AO185" s="3" t="s">
        <v>247</v>
      </c>
      <c r="AP185" s="3" t="s">
        <v>244</v>
      </c>
      <c r="AQ185" s="3" t="s">
        <v>247</v>
      </c>
      <c r="AR185" s="3" t="s">
        <v>288</v>
      </c>
      <c r="AS185" s="3" t="s">
        <v>288</v>
      </c>
      <c r="AT185" s="3" t="s">
        <v>244</v>
      </c>
      <c r="AU185" s="3" t="s">
        <v>244</v>
      </c>
      <c r="AV185" s="3" t="s">
        <v>288</v>
      </c>
      <c r="AW185" s="3" t="s">
        <v>371</v>
      </c>
      <c r="AX185" s="3" t="s">
        <v>244</v>
      </c>
      <c r="AY185" s="3" t="s">
        <v>428</v>
      </c>
      <c r="AZ185" s="8" t="str">
        <f>HYPERLINK("http://www.sub.uni-goettingen.de/fileadmin/media/texte/informationsversorgung_z/epu/oa-policy_goettingen-edu_de_110211.pdf","http://www.sub.uni-goettingen.de/fileadmin/media/texte/informationsversorgung_z/epu/oa-policy_goettingen-edu_de_110211.pdf")</f>
        <v>http://www.sub.uni-goettingen.de/fileadmin/media/texte/informationsversorgung_z/epu/oa-policy_goettingen-edu_de_110211.pdf</v>
      </c>
    </row>
    <row r="186" spans="1:52" ht="15.75" customHeight="1">
      <c r="A186" s="3">
        <v>157</v>
      </c>
      <c r="B186" s="5" t="str">
        <f t="shared" si="0"/>
        <v>http://roarmap.eprints.org/157/</v>
      </c>
      <c r="C186" s="3">
        <v>4</v>
      </c>
      <c r="D186" s="3" t="s">
        <v>98</v>
      </c>
      <c r="E186" s="3">
        <v>1</v>
      </c>
      <c r="F186" s="3" t="s">
        <v>973</v>
      </c>
      <c r="G186" s="3">
        <v>41988.923310185186</v>
      </c>
      <c r="H186" s="3">
        <v>42026.6246875</v>
      </c>
      <c r="I186" s="3">
        <v>41988.923310185186</v>
      </c>
      <c r="J186" s="3" t="s">
        <v>103</v>
      </c>
      <c r="K186" s="3" t="s">
        <v>105</v>
      </c>
      <c r="L186" s="3" t="s">
        <v>974</v>
      </c>
      <c r="M186" s="3" t="s">
        <v>352</v>
      </c>
      <c r="N186" s="3" t="s">
        <v>975</v>
      </c>
      <c r="O186" s="3" t="s">
        <v>976</v>
      </c>
      <c r="P186" s="3" t="s">
        <v>966</v>
      </c>
      <c r="Q186" t="str">
        <f t="shared" si="10"/>
        <v>http://roarmap.eprints.org/view/country/276.html</v>
      </c>
      <c r="R186" s="3">
        <v>276</v>
      </c>
      <c r="S186" s="6" t="s">
        <v>163</v>
      </c>
      <c r="T186" s="9">
        <v>276</v>
      </c>
      <c r="U186" s="7" t="s">
        <v>123</v>
      </c>
      <c r="V186" s="6" t="s">
        <v>108</v>
      </c>
      <c r="W186" s="3" t="s">
        <v>158</v>
      </c>
      <c r="X186" s="3" t="s">
        <v>160</v>
      </c>
      <c r="Y186" s="3" t="s">
        <v>974</v>
      </c>
      <c r="Z186" s="8" t="str">
        <f>HYPERLINK("http://www.tib-hannover.de/en/","http://www.tib-hannover.de/en/")</f>
        <v>http://www.tib-hannover.de/en/</v>
      </c>
      <c r="AA186" s="8" t="str">
        <f>HYPERLINK("http://www.tib-hannover.de/fileadmin/dokumentlieferung/openaccess/TIB-OA-Policy-EN.pdf","http://www.tib-hannover.de/fileadmin/dokumentlieferung/openaccess/TIB-OA-Policy-EN.pdf")</f>
        <v>http://www.tib-hannover.de/fileadmin/dokumentlieferung/openaccess/TIB-OA-Policy-EN.pdf</v>
      </c>
      <c r="AB186" s="8" t="str">
        <f>HYPERLINK("http://www.leibnizopen.de/en/home/","http://www.leibnizopen.de/en/home/")</f>
        <v>http://www.leibnizopen.de/en/home/</v>
      </c>
      <c r="AE186" s="3">
        <v>41306</v>
      </c>
      <c r="AF186" s="3" t="s">
        <v>177</v>
      </c>
      <c r="AG186" s="3" t="s">
        <v>333</v>
      </c>
      <c r="AH186" s="3" t="s">
        <v>370</v>
      </c>
      <c r="AI186" s="3" t="s">
        <v>244</v>
      </c>
      <c r="AJ186" s="3" t="s">
        <v>244</v>
      </c>
      <c r="AK186" s="3" t="s">
        <v>244</v>
      </c>
      <c r="AL186" s="3" t="s">
        <v>288</v>
      </c>
      <c r="AM186" s="3" t="s">
        <v>247</v>
      </c>
      <c r="AN186" s="3" t="s">
        <v>244</v>
      </c>
      <c r="AO186" s="3" t="s">
        <v>247</v>
      </c>
      <c r="AP186" s="3" t="s">
        <v>244</v>
      </c>
      <c r="AQ186" s="3" t="s">
        <v>247</v>
      </c>
      <c r="AR186" s="3" t="s">
        <v>288</v>
      </c>
      <c r="AS186" s="3" t="s">
        <v>288</v>
      </c>
      <c r="AT186" s="3" t="s">
        <v>244</v>
      </c>
      <c r="AU186" s="3" t="s">
        <v>244</v>
      </c>
      <c r="AV186" s="3" t="s">
        <v>288</v>
      </c>
      <c r="AW186" s="3" t="s">
        <v>371</v>
      </c>
      <c r="AX186" s="3" t="s">
        <v>244</v>
      </c>
      <c r="AY186" s="3" t="s">
        <v>247</v>
      </c>
    </row>
    <row r="187" spans="1:52" ht="15.75" customHeight="1">
      <c r="A187" s="3">
        <v>158</v>
      </c>
      <c r="B187" s="5" t="str">
        <f t="shared" si="0"/>
        <v>http://roarmap.eprints.org/158/</v>
      </c>
      <c r="C187" s="3">
        <v>3</v>
      </c>
      <c r="D187" s="3" t="s">
        <v>98</v>
      </c>
      <c r="E187" s="3">
        <v>1</v>
      </c>
      <c r="F187" s="3" t="s">
        <v>977</v>
      </c>
      <c r="G187" s="3">
        <v>41988.923310185186</v>
      </c>
      <c r="H187" s="3">
        <v>41988.923310185186</v>
      </c>
      <c r="I187" s="3">
        <v>41988.923310185186</v>
      </c>
      <c r="J187" s="3" t="s">
        <v>103</v>
      </c>
      <c r="K187" s="3" t="s">
        <v>105</v>
      </c>
      <c r="L187" s="3" t="s">
        <v>978</v>
      </c>
      <c r="M187" s="3" t="s">
        <v>374</v>
      </c>
      <c r="N187" s="3" t="s">
        <v>979</v>
      </c>
      <c r="O187" s="3" t="s">
        <v>980</v>
      </c>
      <c r="P187" s="3" t="s">
        <v>215</v>
      </c>
      <c r="Q187" t="str">
        <f t="shared" si="10"/>
        <v>http://roarmap.eprints.org/view/country/276.html</v>
      </c>
      <c r="R187" s="3">
        <v>276</v>
      </c>
      <c r="S187" s="6" t="s">
        <v>163</v>
      </c>
      <c r="T187" s="9">
        <v>276</v>
      </c>
      <c r="U187" s="7" t="s">
        <v>123</v>
      </c>
      <c r="V187" s="6" t="s">
        <v>108</v>
      </c>
      <c r="W187" s="3" t="s">
        <v>158</v>
      </c>
      <c r="X187" s="3" t="s">
        <v>160</v>
      </c>
      <c r="Y187" s="3" t="s">
        <v>978</v>
      </c>
      <c r="Z187" s="8" t="str">
        <f>HYPERLINK("http://www.helmholtz.de/en/home/","http://www.helmholtz.de/en/home/")</f>
        <v>http://www.helmholtz.de/en/home/</v>
      </c>
      <c r="AA187" s="8" t="str">
        <f>HYPERLINK("http://www.helmholtz.de/fileadmin/user_upload/01_forschung/2013-10-14_oa-policy-ivf_e.pdf","http://www.helmholtz.de/fileadmin/user_upload/01_forschung/2013-10-14_oa-policy-ivf_e.pdf")</f>
        <v>http://www.helmholtz.de/fileadmin/user_upload/01_forschung/2013-10-14_oa-policy-ivf_e.pdf</v>
      </c>
      <c r="AB187" s="8" t="str">
        <f>HYPERLINK("http://oa.helmholtz.de/open-science-in-der-helmholtz-gemeinschaft/open-access-der-gruene-weg.html","http://oa.helmholtz.de/open-science-in-der-helmholtz-gemeinschaft/open-access-der-gruene-weg.html")</f>
        <v>http://oa.helmholtz.de/open-science-in-der-helmholtz-gemeinschaft/open-access-der-gruene-weg.html</v>
      </c>
      <c r="AC187" s="3">
        <v>41561</v>
      </c>
      <c r="AF187" s="3" t="s">
        <v>177</v>
      </c>
      <c r="AG187" s="3" t="s">
        <v>178</v>
      </c>
      <c r="AH187" s="3" t="s">
        <v>370</v>
      </c>
      <c r="AI187" s="3" t="s">
        <v>392</v>
      </c>
      <c r="AJ187" s="3" t="s">
        <v>182</v>
      </c>
      <c r="AK187" s="3" t="s">
        <v>393</v>
      </c>
      <c r="AL187" s="3" t="s">
        <v>244</v>
      </c>
      <c r="AM187" s="3" t="s">
        <v>247</v>
      </c>
      <c r="AN187" s="3" t="s">
        <v>244</v>
      </c>
      <c r="AO187" s="3" t="s">
        <v>378</v>
      </c>
      <c r="AP187" s="3" t="s">
        <v>244</v>
      </c>
      <c r="AQ187" s="3" t="s">
        <v>247</v>
      </c>
      <c r="AR187" s="3" t="s">
        <v>288</v>
      </c>
      <c r="AS187" s="3" t="s">
        <v>288</v>
      </c>
      <c r="AT187" s="3" t="s">
        <v>379</v>
      </c>
      <c r="AU187" s="3" t="s">
        <v>395</v>
      </c>
      <c r="AV187" s="3" t="s">
        <v>288</v>
      </c>
      <c r="AW187" s="3" t="s">
        <v>520</v>
      </c>
      <c r="AX187" s="3" t="s">
        <v>371</v>
      </c>
      <c r="AY187" s="3" t="s">
        <v>371</v>
      </c>
      <c r="AZ187" s="8" t="str">
        <f>HYPERLINK("http://oa.helmholtz.de/open-science-in-der-helmholtz-gemeinschaft/open-access-der-goldene-weg.html","http://oa.helmholtz.de/open-science-in-der-helmholtz-gemeinschaft/open-access-der-goldene-weg.html")</f>
        <v>http://oa.helmholtz.de/open-science-in-der-helmholtz-gemeinschaft/open-access-der-goldene-weg.html</v>
      </c>
    </row>
    <row r="188" spans="1:52" ht="15.75" customHeight="1">
      <c r="A188" s="3">
        <v>159</v>
      </c>
      <c r="B188" s="5" t="str">
        <f t="shared" si="0"/>
        <v>http://roarmap.eprints.org/159/</v>
      </c>
      <c r="C188" s="3">
        <v>3</v>
      </c>
      <c r="D188" s="3" t="s">
        <v>98</v>
      </c>
      <c r="E188" s="3">
        <v>1</v>
      </c>
      <c r="F188" s="3" t="s">
        <v>981</v>
      </c>
      <c r="G188" s="3">
        <v>41988.923310185186</v>
      </c>
      <c r="H188" s="3">
        <v>41988.923310185186</v>
      </c>
      <c r="I188" s="3">
        <v>41988.923310185186</v>
      </c>
      <c r="J188" s="3" t="s">
        <v>103</v>
      </c>
      <c r="K188" s="3" t="s">
        <v>105</v>
      </c>
      <c r="L188" s="3" t="s">
        <v>982</v>
      </c>
      <c r="M188" s="3" t="s">
        <v>374</v>
      </c>
      <c r="N188" s="3" t="s">
        <v>983</v>
      </c>
      <c r="P188" s="3" t="s">
        <v>215</v>
      </c>
      <c r="Q188" t="str">
        <f t="shared" si="10"/>
        <v>http://roarmap.eprints.org/view/country/276.html</v>
      </c>
      <c r="R188" s="3">
        <v>276</v>
      </c>
      <c r="S188" s="6" t="s">
        <v>163</v>
      </c>
      <c r="T188" s="9">
        <v>276</v>
      </c>
      <c r="U188" s="7" t="s">
        <v>123</v>
      </c>
      <c r="V188" s="6" t="s">
        <v>108</v>
      </c>
      <c r="W188" s="3" t="s">
        <v>158</v>
      </c>
      <c r="X188" s="3" t="s">
        <v>160</v>
      </c>
      <c r="Y188" s="3" t="s">
        <v>982</v>
      </c>
      <c r="Z188" s="8" t="str">
        <f>HYPERLINK("http://www.hu-berlin.de/","http://www.hu-berlin.de/")</f>
        <v>http://www.hu-berlin.de/</v>
      </c>
      <c r="AA188" s="8" t="str">
        <f>HYPERLINK("http://edoc.hu-berlin.de/e_info_en/oa-declaration.php","http://edoc.hu-berlin.de/e_info_en/oa-declaration.php")</f>
        <v>http://edoc.hu-berlin.de/e_info_en/oa-declaration.php</v>
      </c>
      <c r="AB188" s="8" t="str">
        <f>HYPERLINK("http://edoc.hu-berlin.de/","http://edoc.hu-berlin.de/")</f>
        <v>http://edoc.hu-berlin.de/</v>
      </c>
      <c r="AC188" s="3">
        <v>38846</v>
      </c>
      <c r="AF188" s="3" t="s">
        <v>478</v>
      </c>
      <c r="AG188" s="3" t="s">
        <v>333</v>
      </c>
      <c r="AH188" s="3" t="s">
        <v>180</v>
      </c>
      <c r="AI188" s="3" t="s">
        <v>244</v>
      </c>
      <c r="AJ188" s="3" t="s">
        <v>182</v>
      </c>
      <c r="AK188" s="3" t="s">
        <v>393</v>
      </c>
      <c r="AL188" s="3" t="s">
        <v>288</v>
      </c>
      <c r="AM188" s="3" t="s">
        <v>479</v>
      </c>
      <c r="AN188" s="3" t="s">
        <v>244</v>
      </c>
      <c r="AO188" s="3" t="s">
        <v>247</v>
      </c>
      <c r="AP188" s="3" t="s">
        <v>244</v>
      </c>
      <c r="AQ188" s="3" t="s">
        <v>247</v>
      </c>
      <c r="AR188" s="3" t="s">
        <v>288</v>
      </c>
      <c r="AS188" s="3" t="s">
        <v>288</v>
      </c>
      <c r="AT188" s="3" t="s">
        <v>244</v>
      </c>
      <c r="AU188" s="3" t="s">
        <v>244</v>
      </c>
      <c r="AV188" s="3" t="s">
        <v>288</v>
      </c>
      <c r="AW188" s="3" t="s">
        <v>339</v>
      </c>
      <c r="AX188" s="3" t="s">
        <v>244</v>
      </c>
      <c r="AY188" s="3" t="s">
        <v>247</v>
      </c>
    </row>
    <row r="189" spans="1:52" ht="15.75" customHeight="1">
      <c r="A189" s="3">
        <v>160</v>
      </c>
      <c r="B189" s="5" t="str">
        <f t="shared" si="0"/>
        <v>http://roarmap.eprints.org/160/</v>
      </c>
      <c r="C189" s="3">
        <v>4</v>
      </c>
      <c r="D189" s="3" t="s">
        <v>98</v>
      </c>
      <c r="E189" s="3">
        <v>1</v>
      </c>
      <c r="F189" s="3" t="s">
        <v>984</v>
      </c>
      <c r="G189" s="3">
        <v>41988.923310185186</v>
      </c>
      <c r="H189" s="3">
        <v>42029.746215277781</v>
      </c>
      <c r="I189" s="3">
        <v>41988.923310185186</v>
      </c>
      <c r="J189" s="3" t="s">
        <v>103</v>
      </c>
      <c r="K189" s="3" t="s">
        <v>105</v>
      </c>
      <c r="L189" s="3" t="s">
        <v>985</v>
      </c>
      <c r="M189" s="3" t="s">
        <v>352</v>
      </c>
      <c r="O189" s="3" t="s">
        <v>986</v>
      </c>
      <c r="P189" s="3" t="s">
        <v>215</v>
      </c>
      <c r="Q189" t="str">
        <f t="shared" si="10"/>
        <v>http://roarmap.eprints.org/view/country/276.html</v>
      </c>
      <c r="R189" s="3">
        <v>276</v>
      </c>
      <c r="S189" s="6" t="s">
        <v>163</v>
      </c>
      <c r="T189" s="9">
        <v>276</v>
      </c>
      <c r="U189" s="7" t="s">
        <v>123</v>
      </c>
      <c r="V189" s="6" t="s">
        <v>108</v>
      </c>
      <c r="W189" s="3" t="s">
        <v>158</v>
      </c>
      <c r="X189" s="3" t="s">
        <v>384</v>
      </c>
      <c r="Y189" s="3" t="s">
        <v>985</v>
      </c>
      <c r="Z189" s="8" t="str">
        <f>HYPERLINK("http://www.isn-oldenburg.de/en/","http://www.isn-oldenburg.de/en/")</f>
        <v>http://www.isn-oldenburg.de/en/</v>
      </c>
      <c r="AA189" s="8" t="str">
        <f>HYPERLINK("http://www.isn-oldenburg.de/uploads/publications/2013/oa-doc-and-content.pdf","http://www.isn-oldenburg.de/uploads/publications/2013/oa-doc-and-content.pdf")</f>
        <v>http://www.isn-oldenburg.de/uploads/publications/2013/oa-doc-and-content.pdf</v>
      </c>
      <c r="AG189" s="3" t="s">
        <v>244</v>
      </c>
      <c r="AH189" s="3" t="s">
        <v>244</v>
      </c>
      <c r="AI189" s="3" t="s">
        <v>244</v>
      </c>
      <c r="AJ189" s="3" t="s">
        <v>244</v>
      </c>
      <c r="AK189" s="3" t="s">
        <v>244</v>
      </c>
      <c r="AL189" s="3" t="s">
        <v>244</v>
      </c>
      <c r="AM189" s="3" t="s">
        <v>247</v>
      </c>
      <c r="AN189" s="3" t="s">
        <v>244</v>
      </c>
      <c r="AO189" s="3" t="s">
        <v>247</v>
      </c>
      <c r="AP189" s="3" t="s">
        <v>244</v>
      </c>
      <c r="AQ189" s="3" t="s">
        <v>247</v>
      </c>
      <c r="AR189" s="3" t="s">
        <v>288</v>
      </c>
      <c r="AS189" s="3" t="s">
        <v>244</v>
      </c>
      <c r="AT189" s="3" t="s">
        <v>244</v>
      </c>
      <c r="AU189" s="3" t="s">
        <v>244</v>
      </c>
      <c r="AV189" s="3" t="s">
        <v>288</v>
      </c>
      <c r="AW189" s="3" t="s">
        <v>244</v>
      </c>
      <c r="AX189" s="3" t="s">
        <v>244</v>
      </c>
      <c r="AY189" s="3" t="s">
        <v>247</v>
      </c>
    </row>
    <row r="190" spans="1:52" ht="15.75" customHeight="1">
      <c r="A190" s="3">
        <v>161</v>
      </c>
      <c r="B190" s="5" t="str">
        <f t="shared" si="0"/>
        <v>http://roarmap.eprints.org/161/</v>
      </c>
      <c r="C190" s="3">
        <v>3</v>
      </c>
      <c r="D190" s="3" t="s">
        <v>98</v>
      </c>
      <c r="E190" s="3">
        <v>1</v>
      </c>
      <c r="F190" s="3" t="s">
        <v>987</v>
      </c>
      <c r="G190" s="3">
        <v>41988.923310185186</v>
      </c>
      <c r="H190" s="3">
        <v>41988.923310185186</v>
      </c>
      <c r="I190" s="3">
        <v>41988.923310185186</v>
      </c>
      <c r="J190" s="3" t="s">
        <v>103</v>
      </c>
      <c r="K190" s="3" t="s">
        <v>105</v>
      </c>
      <c r="L190" s="3" t="s">
        <v>988</v>
      </c>
      <c r="M190" s="3" t="s">
        <v>374</v>
      </c>
      <c r="O190" s="3" t="s">
        <v>989</v>
      </c>
      <c r="P190" s="3" t="s">
        <v>215</v>
      </c>
      <c r="Q190" t="str">
        <f t="shared" si="10"/>
        <v>http://roarmap.eprints.org/view/country/276.html</v>
      </c>
      <c r="R190" s="3">
        <v>276</v>
      </c>
      <c r="S190" s="6" t="s">
        <v>163</v>
      </c>
      <c r="T190" s="9">
        <v>276</v>
      </c>
      <c r="U190" s="7" t="s">
        <v>123</v>
      </c>
      <c r="V190" s="6" t="s">
        <v>108</v>
      </c>
      <c r="W190" s="3" t="s">
        <v>158</v>
      </c>
      <c r="X190" s="3" t="s">
        <v>160</v>
      </c>
      <c r="Y190" s="3" t="s">
        <v>988</v>
      </c>
      <c r="Z190" s="8" t="str">
        <f>HYPERLINK("http://www.uni-giessen.de/","http://www.uni-giessen.de/")</f>
        <v>http://www.uni-giessen.de/</v>
      </c>
      <c r="AA190" s="3" t="s">
        <v>990</v>
      </c>
      <c r="AG190" s="3" t="s">
        <v>244</v>
      </c>
      <c r="AH190" s="3" t="s">
        <v>244</v>
      </c>
      <c r="AI190" s="3" t="s">
        <v>244</v>
      </c>
      <c r="AJ190" s="3" t="s">
        <v>244</v>
      </c>
      <c r="AK190" s="3" t="s">
        <v>244</v>
      </c>
      <c r="AL190" s="3" t="s">
        <v>244</v>
      </c>
      <c r="AM190" s="3" t="s">
        <v>247</v>
      </c>
      <c r="AN190" s="3" t="s">
        <v>244</v>
      </c>
      <c r="AO190" s="3" t="s">
        <v>247</v>
      </c>
      <c r="AP190" s="3" t="s">
        <v>244</v>
      </c>
      <c r="AQ190" s="3" t="s">
        <v>247</v>
      </c>
      <c r="AR190" s="3" t="s">
        <v>288</v>
      </c>
      <c r="AS190" s="3" t="s">
        <v>244</v>
      </c>
      <c r="AT190" s="3" t="s">
        <v>244</v>
      </c>
      <c r="AU190" s="3" t="s">
        <v>244</v>
      </c>
      <c r="AV190" s="3" t="s">
        <v>288</v>
      </c>
      <c r="AW190" s="3" t="s">
        <v>244</v>
      </c>
      <c r="AX190" s="3" t="s">
        <v>244</v>
      </c>
      <c r="AY190" s="3" t="s">
        <v>247</v>
      </c>
    </row>
    <row r="191" spans="1:52" ht="15.75" customHeight="1">
      <c r="A191" s="3">
        <v>162</v>
      </c>
      <c r="B191" s="5" t="str">
        <f t="shared" si="0"/>
        <v>http://roarmap.eprints.org/162/</v>
      </c>
      <c r="C191" s="3">
        <v>3</v>
      </c>
      <c r="D191" s="3" t="s">
        <v>98</v>
      </c>
      <c r="E191" s="3">
        <v>1</v>
      </c>
      <c r="F191" s="3" t="s">
        <v>991</v>
      </c>
      <c r="G191" s="3">
        <v>41988.923310185186</v>
      </c>
      <c r="H191" s="3">
        <v>41988.923310185186</v>
      </c>
      <c r="I191" s="3">
        <v>41988.923310185186</v>
      </c>
      <c r="J191" s="3" t="s">
        <v>103</v>
      </c>
      <c r="K191" s="3" t="s">
        <v>105</v>
      </c>
      <c r="L191" s="3" t="s">
        <v>992</v>
      </c>
      <c r="M191" s="3" t="s">
        <v>374</v>
      </c>
      <c r="N191" s="3" t="s">
        <v>993</v>
      </c>
      <c r="O191" s="3" t="s">
        <v>994</v>
      </c>
      <c r="P191" s="3" t="s">
        <v>215</v>
      </c>
      <c r="Q191" t="str">
        <f t="shared" si="10"/>
        <v>http://roarmap.eprints.org/view/country/276.html</v>
      </c>
      <c r="R191" s="3">
        <v>276</v>
      </c>
      <c r="S191" s="6" t="s">
        <v>163</v>
      </c>
      <c r="T191" s="9">
        <v>276</v>
      </c>
      <c r="U191" s="7" t="s">
        <v>123</v>
      </c>
      <c r="V191" s="6" t="s">
        <v>108</v>
      </c>
      <c r="W191" s="3" t="s">
        <v>158</v>
      </c>
      <c r="X191" s="3" t="s">
        <v>160</v>
      </c>
      <c r="Y191" s="3" t="s">
        <v>992</v>
      </c>
      <c r="Z191" s="8" t="str">
        <f>HYPERLINK("http://www.kit.edu/","http://www.kit.edu/")</f>
        <v>http://www.kit.edu/</v>
      </c>
      <c r="AA191" s="8" t="str">
        <f>HYPERLINK("http://www.bibliothek.kit.edu/cms/english/open-access.php","http://www.bibliothek.kit.edu/cms/english/open-access.php")</f>
        <v>http://www.bibliothek.kit.edu/cms/english/open-access.php</v>
      </c>
      <c r="AB191" s="8" t="str">
        <f>HYPERLINK("http://www.bibliothek.kit.edu/cms/english/kit-publications.php","http://www.bibliothek.kit.edu/cms/english/kit-publications.php")</f>
        <v>http://www.bibliothek.kit.edu/cms/english/kit-publications.php</v>
      </c>
      <c r="AC191" s="3">
        <v>37175</v>
      </c>
      <c r="AF191" s="3" t="s">
        <v>244</v>
      </c>
      <c r="AG191" s="3" t="s">
        <v>333</v>
      </c>
      <c r="AH191" s="3" t="s">
        <v>180</v>
      </c>
      <c r="AI191" s="3" t="s">
        <v>244</v>
      </c>
      <c r="AJ191" s="3" t="s">
        <v>244</v>
      </c>
      <c r="AK191" s="3" t="s">
        <v>244</v>
      </c>
      <c r="AL191" s="3" t="s">
        <v>244</v>
      </c>
      <c r="AM191" s="3" t="s">
        <v>247</v>
      </c>
      <c r="AN191" s="3" t="s">
        <v>244</v>
      </c>
      <c r="AO191" s="3" t="s">
        <v>247</v>
      </c>
      <c r="AP191" s="3" t="s">
        <v>244</v>
      </c>
      <c r="AQ191" s="3" t="s">
        <v>247</v>
      </c>
      <c r="AR191" s="3" t="s">
        <v>288</v>
      </c>
      <c r="AS191" s="3" t="s">
        <v>244</v>
      </c>
      <c r="AT191" s="3" t="s">
        <v>244</v>
      </c>
      <c r="AU191" s="3" t="s">
        <v>244</v>
      </c>
      <c r="AV191" s="3" t="s">
        <v>288</v>
      </c>
      <c r="AW191" s="3" t="s">
        <v>244</v>
      </c>
      <c r="AX191" s="3" t="s">
        <v>442</v>
      </c>
      <c r="AY191" s="3" t="s">
        <v>428</v>
      </c>
      <c r="AZ191" s="8" t="str">
        <f>HYPERLINK("http://www.bibliothek.kit.edu/cms/english/kit-publication-fund.php","http://www.bibliothek.kit.edu/cms/english/kit-publication-fund.php")</f>
        <v>http://www.bibliothek.kit.edu/cms/english/kit-publication-fund.php</v>
      </c>
    </row>
    <row r="192" spans="1:52" ht="15.75" customHeight="1">
      <c r="A192" s="3">
        <v>163</v>
      </c>
      <c r="B192" s="5" t="str">
        <f t="shared" si="0"/>
        <v>http://roarmap.eprints.org/163/</v>
      </c>
      <c r="C192" s="3">
        <v>3</v>
      </c>
      <c r="D192" s="3" t="s">
        <v>98</v>
      </c>
      <c r="E192" s="3">
        <v>1</v>
      </c>
      <c r="F192" s="3" t="s">
        <v>995</v>
      </c>
      <c r="G192" s="3">
        <v>41988.923310185186</v>
      </c>
      <c r="H192" s="3">
        <v>41988.923321759263</v>
      </c>
      <c r="I192" s="3">
        <v>41988.923310185186</v>
      </c>
      <c r="J192" s="3" t="s">
        <v>103</v>
      </c>
      <c r="K192" s="3" t="s">
        <v>105</v>
      </c>
      <c r="L192" s="3" t="s">
        <v>996</v>
      </c>
      <c r="M192" s="3" t="s">
        <v>374</v>
      </c>
      <c r="N192" s="3" t="s">
        <v>997</v>
      </c>
      <c r="P192" s="3" t="s">
        <v>215</v>
      </c>
      <c r="Q192" t="str">
        <f t="shared" si="10"/>
        <v>http://roarmap.eprints.org/view/country/276.html</v>
      </c>
      <c r="R192" s="3">
        <v>276</v>
      </c>
      <c r="S192" s="6" t="s">
        <v>163</v>
      </c>
      <c r="T192" s="9">
        <v>276</v>
      </c>
      <c r="U192" s="7" t="s">
        <v>123</v>
      </c>
      <c r="V192" s="6" t="s">
        <v>108</v>
      </c>
      <c r="W192" s="3" t="s">
        <v>158</v>
      </c>
      <c r="X192" s="3" t="s">
        <v>384</v>
      </c>
      <c r="Y192" s="3" t="s">
        <v>996</v>
      </c>
      <c r="Z192" s="8" t="str">
        <f>HYPERLINK("http://www.uni-kassel.de/","http://www.uni-kassel.de/")</f>
        <v>http://www.uni-kassel.de/</v>
      </c>
      <c r="AA192" s="8" t="str">
        <f>HYPERLINK("http://www.uni-kassel.de/ub/publizieren/open-access/policy-der-universitaet-kassel.html","http://www.uni-kassel.de/ub/publizieren/open-access/policy-der-universitaet-kassel.html")</f>
        <v>http://www.uni-kassel.de/ub/publizieren/open-access/policy-der-universitaet-kassel.html</v>
      </c>
      <c r="AB192" s="8" t="str">
        <f>HYPERLINK("https://kobra.bibliothek.uni-kassel.de/","https://kobra.bibliothek.uni-kassel.de/")</f>
        <v>https://kobra.bibliothek.uni-kassel.de/</v>
      </c>
      <c r="AC192" s="3">
        <v>38684</v>
      </c>
      <c r="AF192" s="3" t="s">
        <v>478</v>
      </c>
      <c r="AG192" s="3" t="s">
        <v>333</v>
      </c>
      <c r="AH192" s="3" t="s">
        <v>180</v>
      </c>
      <c r="AI192" s="3" t="s">
        <v>244</v>
      </c>
      <c r="AJ192" s="3" t="s">
        <v>244</v>
      </c>
      <c r="AK192" s="3" t="s">
        <v>244</v>
      </c>
      <c r="AL192" s="3" t="s">
        <v>288</v>
      </c>
      <c r="AM192" s="3" t="s">
        <v>247</v>
      </c>
      <c r="AN192" s="3" t="s">
        <v>244</v>
      </c>
      <c r="AO192" s="3" t="s">
        <v>247</v>
      </c>
      <c r="AP192" s="3" t="s">
        <v>244</v>
      </c>
      <c r="AQ192" s="3" t="s">
        <v>247</v>
      </c>
      <c r="AR192" s="3" t="s">
        <v>288</v>
      </c>
      <c r="AS192" s="3" t="s">
        <v>288</v>
      </c>
      <c r="AT192" s="3" t="s">
        <v>244</v>
      </c>
      <c r="AU192" s="3" t="s">
        <v>244</v>
      </c>
      <c r="AV192" s="3" t="s">
        <v>288</v>
      </c>
      <c r="AW192" s="3" t="s">
        <v>339</v>
      </c>
      <c r="AX192" s="3" t="s">
        <v>442</v>
      </c>
      <c r="AY192" s="3" t="s">
        <v>428</v>
      </c>
      <c r="AZ192" s="8" t="str">
        <f>HYPERLINK("http://www.uni-kassel.de/ub/publizieren/open-access/publikationsfonds.html","http://www.uni-kassel.de/ub/publizieren/open-access/publikationsfonds.html")</f>
        <v>http://www.uni-kassel.de/ub/publizieren/open-access/publikationsfonds.html</v>
      </c>
    </row>
    <row r="193" spans="1:52" ht="15.75" customHeight="1">
      <c r="A193" s="3">
        <v>164</v>
      </c>
      <c r="B193" s="5" t="str">
        <f t="shared" si="0"/>
        <v>http://roarmap.eprints.org/164/</v>
      </c>
      <c r="C193" s="3">
        <v>3</v>
      </c>
      <c r="D193" s="3" t="s">
        <v>98</v>
      </c>
      <c r="E193" s="3">
        <v>1</v>
      </c>
      <c r="F193" s="3" t="s">
        <v>998</v>
      </c>
      <c r="G193" s="3">
        <v>41988.923321759263</v>
      </c>
      <c r="H193" s="3">
        <v>41988.923321759263</v>
      </c>
      <c r="I193" s="3">
        <v>41988.923321759263</v>
      </c>
      <c r="J193" s="3" t="s">
        <v>103</v>
      </c>
      <c r="K193" s="3" t="s">
        <v>105</v>
      </c>
      <c r="L193" s="3" t="s">
        <v>999</v>
      </c>
      <c r="M193" s="3" t="s">
        <v>374</v>
      </c>
      <c r="N193" s="3" t="s">
        <v>1000</v>
      </c>
      <c r="P193" s="3" t="s">
        <v>966</v>
      </c>
      <c r="Q193" t="str">
        <f t="shared" si="10"/>
        <v>http://roarmap.eprints.org/view/country/276.html</v>
      </c>
      <c r="R193" s="3">
        <v>276</v>
      </c>
      <c r="S193" s="6" t="s">
        <v>163</v>
      </c>
      <c r="T193" s="9">
        <v>276</v>
      </c>
      <c r="U193" s="7" t="s">
        <v>123</v>
      </c>
      <c r="V193" s="6" t="s">
        <v>108</v>
      </c>
      <c r="W193" s="3" t="s">
        <v>158</v>
      </c>
      <c r="X193" s="3" t="s">
        <v>757</v>
      </c>
      <c r="Y193" s="3" t="s">
        <v>999</v>
      </c>
      <c r="Z193" s="8" t="str">
        <f>HYPERLINK("http://www.leibniz-gemeinschaft.de/en/home/","http://www.leibniz-gemeinschaft.de/en/home/")</f>
        <v>http://www.leibniz-gemeinschaft.de/en/home/</v>
      </c>
      <c r="AA193" s="8" t="str">
        <f>HYPERLINK("http://www.leibniz-gemeinschaft.de/fileadmin/user_upload/downloads/Infrastruktur/Leibniz_OpenAccess-Leitlinie_-_ENGLISH.pdf","http://www.leibniz-gemeinschaft.de/fileadmin/user_upload/downloads/Infrastruktur/Leibniz_OpenAccess-Leitlinie_-_ENGLISH.pdf")</f>
        <v>http://www.leibniz-gemeinschaft.de/fileadmin/user_upload/downloads/Infrastruktur/Leibniz_OpenAccess-Leitlinie_-_ENGLISH.pdf</v>
      </c>
      <c r="AB193" s="8" t="str">
        <f>HYPERLINK("http://www.leibnizopen.de/en/home/","http://www.leibnizopen.de/en/home/")</f>
        <v>http://www.leibnizopen.de/en/home/</v>
      </c>
      <c r="AC193" s="3">
        <v>39409</v>
      </c>
      <c r="AF193" s="3" t="s">
        <v>177</v>
      </c>
      <c r="AG193" s="3" t="s">
        <v>333</v>
      </c>
      <c r="AH193" s="3" t="s">
        <v>370</v>
      </c>
      <c r="AI193" s="3" t="s">
        <v>371</v>
      </c>
      <c r="AJ193" s="3" t="s">
        <v>244</v>
      </c>
      <c r="AK193" s="3" t="s">
        <v>244</v>
      </c>
      <c r="AL193" s="3" t="s">
        <v>288</v>
      </c>
      <c r="AM193" s="3" t="s">
        <v>247</v>
      </c>
      <c r="AN193" s="3" t="s">
        <v>244</v>
      </c>
      <c r="AO193" s="3" t="s">
        <v>247</v>
      </c>
      <c r="AP193" s="3" t="s">
        <v>244</v>
      </c>
      <c r="AQ193" s="3" t="s">
        <v>247</v>
      </c>
      <c r="AR193" s="3" t="s">
        <v>288</v>
      </c>
      <c r="AS193" s="3" t="s">
        <v>288</v>
      </c>
      <c r="AT193" s="3" t="s">
        <v>244</v>
      </c>
      <c r="AU193" s="3" t="s">
        <v>244</v>
      </c>
      <c r="AV193" s="3" t="s">
        <v>288</v>
      </c>
      <c r="AW193" s="3" t="s">
        <v>371</v>
      </c>
      <c r="AX193" s="3" t="s">
        <v>442</v>
      </c>
      <c r="AY193" s="3" t="s">
        <v>247</v>
      </c>
    </row>
    <row r="194" spans="1:52" ht="15.75" customHeight="1">
      <c r="A194" s="3">
        <v>165</v>
      </c>
      <c r="B194" s="5" t="str">
        <f t="shared" si="0"/>
        <v>http://roarmap.eprints.org/165/</v>
      </c>
      <c r="C194" s="3">
        <v>3</v>
      </c>
      <c r="D194" s="3" t="s">
        <v>98</v>
      </c>
      <c r="E194" s="3">
        <v>1</v>
      </c>
      <c r="F194" s="3" t="s">
        <v>1001</v>
      </c>
      <c r="G194" s="3">
        <v>41988.923321759263</v>
      </c>
      <c r="H194" s="3">
        <v>41988.923321759263</v>
      </c>
      <c r="I194" s="3">
        <v>41988.923321759263</v>
      </c>
      <c r="J194" s="3" t="s">
        <v>103</v>
      </c>
      <c r="K194" s="3" t="s">
        <v>105</v>
      </c>
      <c r="L194" s="3" t="s">
        <v>1002</v>
      </c>
      <c r="M194" s="3" t="s">
        <v>374</v>
      </c>
      <c r="N194" s="3" t="s">
        <v>1003</v>
      </c>
      <c r="O194" s="3" t="s">
        <v>1004</v>
      </c>
      <c r="P194" s="3" t="s">
        <v>966</v>
      </c>
      <c r="Q194" t="str">
        <f t="shared" si="10"/>
        <v>http://roarmap.eprints.org/view/country/276.html</v>
      </c>
      <c r="R194" s="3">
        <v>276</v>
      </c>
      <c r="S194" s="6" t="s">
        <v>163</v>
      </c>
      <c r="T194" s="9">
        <v>276</v>
      </c>
      <c r="U194" s="7" t="s">
        <v>123</v>
      </c>
      <c r="V194" s="6" t="s">
        <v>108</v>
      </c>
      <c r="W194" s="3" t="s">
        <v>158</v>
      </c>
      <c r="X194" s="3" t="s">
        <v>757</v>
      </c>
      <c r="Y194" s="3" t="s">
        <v>1002</v>
      </c>
      <c r="Z194" s="8" t="str">
        <f>HYPERLINK("http://www.mpg.de/en","http://www.mpg.de/en")</f>
        <v>http://www.mpg.de/en</v>
      </c>
      <c r="AA194" s="8" t="str">
        <f>HYPERLINK("http://openaccess.mpg.de/1085472/Mission-Statement-final-en.pdf","http://openaccess.mpg.de/1085472/Mission-Statement-final-en.pdf")</f>
        <v>http://openaccess.mpg.de/1085472/Mission-Statement-final-en.pdf</v>
      </c>
      <c r="AB194" s="8" t="str">
        <f>HYPERLINK("http://pubman.mpdl.mpg.de","http://pubman.mpdl.mpg.de")</f>
        <v>http://pubman.mpdl.mpg.de</v>
      </c>
      <c r="AE194" s="3">
        <v>41579</v>
      </c>
      <c r="AF194" s="3" t="s">
        <v>177</v>
      </c>
      <c r="AG194" s="3" t="s">
        <v>333</v>
      </c>
      <c r="AH194" s="3" t="s">
        <v>370</v>
      </c>
      <c r="AI194" s="3" t="s">
        <v>244</v>
      </c>
      <c r="AJ194" s="3" t="s">
        <v>182</v>
      </c>
      <c r="AK194" s="3" t="s">
        <v>244</v>
      </c>
      <c r="AL194" s="3" t="s">
        <v>288</v>
      </c>
      <c r="AM194" s="3" t="s">
        <v>247</v>
      </c>
      <c r="AN194" s="3" t="s">
        <v>244</v>
      </c>
      <c r="AO194" s="3" t="s">
        <v>247</v>
      </c>
      <c r="AP194" s="3" t="s">
        <v>185</v>
      </c>
      <c r="AQ194" s="3" t="s">
        <v>247</v>
      </c>
      <c r="AR194" s="3" t="s">
        <v>288</v>
      </c>
      <c r="AS194" s="3" t="s">
        <v>189</v>
      </c>
      <c r="AT194" s="3" t="s">
        <v>244</v>
      </c>
      <c r="AU194" s="3" t="s">
        <v>244</v>
      </c>
      <c r="AV194" s="3" t="s">
        <v>288</v>
      </c>
      <c r="AW194" s="3" t="s">
        <v>195</v>
      </c>
      <c r="AX194" s="3" t="s">
        <v>442</v>
      </c>
      <c r="AY194" s="3" t="s">
        <v>428</v>
      </c>
      <c r="AZ194" s="8" t="str">
        <f>HYPERLINK("http://www.mpdl.mpg.de/services/oa_policy_de.htm","http://www.mpdl.mpg.de/services/oa_policy_de.htm")</f>
        <v>http://www.mpdl.mpg.de/services/oa_policy_de.htm</v>
      </c>
    </row>
    <row r="195" spans="1:52" ht="15.75" customHeight="1">
      <c r="A195" s="3">
        <v>166</v>
      </c>
      <c r="B195" s="5" t="str">
        <f t="shared" si="0"/>
        <v>http://roarmap.eprints.org/166/</v>
      </c>
      <c r="C195" s="3">
        <v>3</v>
      </c>
      <c r="D195" s="3" t="s">
        <v>98</v>
      </c>
      <c r="E195" s="3">
        <v>1</v>
      </c>
      <c r="F195" s="3" t="s">
        <v>1005</v>
      </c>
      <c r="G195" s="3">
        <v>41988.923321759263</v>
      </c>
      <c r="H195" s="3">
        <v>41988.923321759263</v>
      </c>
      <c r="I195" s="3">
        <v>41988.923321759263</v>
      </c>
      <c r="J195" s="3" t="s">
        <v>103</v>
      </c>
      <c r="K195" s="3" t="s">
        <v>105</v>
      </c>
      <c r="L195" s="3" t="s">
        <v>1006</v>
      </c>
      <c r="M195" s="3" t="s">
        <v>352</v>
      </c>
      <c r="N195" s="3" t="s">
        <v>1007</v>
      </c>
      <c r="O195" s="3" t="s">
        <v>1008</v>
      </c>
      <c r="P195" s="3" t="s">
        <v>966</v>
      </c>
      <c r="Q195" t="str">
        <f t="shared" ref="Q195:Q258" si="17">CONCATENATE("http://roarmap.eprints.org/view/country/",T195,".html")</f>
        <v>http://roarmap.eprints.org/view/country/276.html</v>
      </c>
      <c r="R195" s="3">
        <v>276</v>
      </c>
      <c r="S195" s="6" t="s">
        <v>163</v>
      </c>
      <c r="T195" s="9">
        <v>276</v>
      </c>
      <c r="U195" s="7" t="s">
        <v>123</v>
      </c>
      <c r="V195" s="6" t="s">
        <v>108</v>
      </c>
      <c r="W195" s="3" t="s">
        <v>158</v>
      </c>
      <c r="X195" s="3" t="s">
        <v>160</v>
      </c>
      <c r="Y195" s="3" t="s">
        <v>1006</v>
      </c>
      <c r="Z195" s="8" t="str">
        <f>HYPERLINK("http://www.maxweberstiftung.de/en/startseite.html","http://www.maxweberstiftung.de/en/startseite.html")</f>
        <v>http://www.maxweberstiftung.de/en/startseite.html</v>
      </c>
      <c r="AA195" s="8" t="str">
        <f>HYPERLINK("http://www.maxweberstiftung.de/en/ueber-uns.html","http://www.maxweberstiftung.de/en/ueber-uns.html")</f>
        <v>http://www.maxweberstiftung.de/en/ueber-uns.html</v>
      </c>
      <c r="AB195" s="8" t="str">
        <f>HYPERLINK("http://www.perspectivia.net/","http://www.perspectivia.net/")</f>
        <v>http://www.perspectivia.net/</v>
      </c>
      <c r="AF195" s="3" t="s">
        <v>177</v>
      </c>
      <c r="AG195" s="3" t="s">
        <v>333</v>
      </c>
      <c r="AH195" s="3" t="s">
        <v>180</v>
      </c>
      <c r="AI195" s="3" t="s">
        <v>244</v>
      </c>
      <c r="AJ195" s="3" t="s">
        <v>244</v>
      </c>
      <c r="AK195" s="3" t="s">
        <v>244</v>
      </c>
      <c r="AL195" s="3" t="s">
        <v>288</v>
      </c>
      <c r="AM195" s="3" t="s">
        <v>247</v>
      </c>
      <c r="AN195" s="3" t="s">
        <v>244</v>
      </c>
      <c r="AO195" s="3" t="s">
        <v>247</v>
      </c>
      <c r="AP195" s="3" t="s">
        <v>244</v>
      </c>
      <c r="AQ195" s="3" t="s">
        <v>247</v>
      </c>
      <c r="AR195" s="3" t="s">
        <v>288</v>
      </c>
      <c r="AS195" s="3" t="s">
        <v>288</v>
      </c>
      <c r="AT195" s="3" t="s">
        <v>244</v>
      </c>
      <c r="AU195" s="3" t="s">
        <v>244</v>
      </c>
      <c r="AV195" s="3" t="s">
        <v>288</v>
      </c>
      <c r="AW195" s="3" t="s">
        <v>371</v>
      </c>
      <c r="AX195" s="3" t="s">
        <v>244</v>
      </c>
      <c r="AY195" s="3" t="s">
        <v>247</v>
      </c>
    </row>
    <row r="196" spans="1:52" ht="15.75" customHeight="1">
      <c r="A196" s="3">
        <v>167</v>
      </c>
      <c r="B196" s="5" t="str">
        <f t="shared" si="0"/>
        <v>http://roarmap.eprints.org/167/</v>
      </c>
      <c r="C196" s="3">
        <v>3</v>
      </c>
      <c r="D196" s="3" t="s">
        <v>98</v>
      </c>
      <c r="E196" s="3">
        <v>1</v>
      </c>
      <c r="F196" s="3" t="s">
        <v>1009</v>
      </c>
      <c r="G196" s="3">
        <v>41988.923321759263</v>
      </c>
      <c r="H196" s="3">
        <v>41988.923321759263</v>
      </c>
      <c r="I196" s="3">
        <v>41988.923321759263</v>
      </c>
      <c r="J196" s="3" t="s">
        <v>103</v>
      </c>
      <c r="K196" s="3" t="s">
        <v>105</v>
      </c>
      <c r="L196" s="3" t="s">
        <v>1010</v>
      </c>
      <c r="M196" s="3" t="s">
        <v>374</v>
      </c>
      <c r="N196" s="3" t="s">
        <v>1011</v>
      </c>
      <c r="O196" s="3" t="s">
        <v>1012</v>
      </c>
      <c r="P196" s="3" t="s">
        <v>215</v>
      </c>
      <c r="Q196" t="str">
        <f t="shared" si="17"/>
        <v>http://roarmap.eprints.org/view/country/276.html</v>
      </c>
      <c r="R196" s="3">
        <v>276</v>
      </c>
      <c r="S196" s="6" t="s">
        <v>163</v>
      </c>
      <c r="T196" s="9">
        <v>276</v>
      </c>
      <c r="U196" s="7" t="s">
        <v>123</v>
      </c>
      <c r="V196" s="6" t="s">
        <v>108</v>
      </c>
      <c r="W196" s="3" t="s">
        <v>158</v>
      </c>
      <c r="X196" s="3" t="s">
        <v>160</v>
      </c>
      <c r="Y196" s="3" t="s">
        <v>1010</v>
      </c>
      <c r="Z196" s="8" t="str">
        <f>HYPERLINK("http://www.uni-potsdam.de/","http://www.uni-potsdam.de/")</f>
        <v>http://www.uni-potsdam.de/</v>
      </c>
      <c r="AA196" s="8" t="str">
        <f>HYPERLINK("http://opus.kobv.de/ubp/doku/openacc.php","http://opus.kobv.de/ubp/doku/openacc.php")</f>
        <v>http://opus.kobv.de/ubp/doku/openacc.php</v>
      </c>
      <c r="AB196" s="8" t="str">
        <f>HYPERLINK("http://opus.kobv.de/ubp/","http://opus.kobv.de/ubp/")</f>
        <v>http://opus.kobv.de/ubp/</v>
      </c>
      <c r="AC196" s="3">
        <v>38855</v>
      </c>
      <c r="AF196" s="3" t="s">
        <v>177</v>
      </c>
      <c r="AG196" s="3" t="s">
        <v>333</v>
      </c>
      <c r="AH196" s="3" t="s">
        <v>180</v>
      </c>
      <c r="AI196" s="3" t="s">
        <v>244</v>
      </c>
      <c r="AJ196" s="3" t="s">
        <v>182</v>
      </c>
      <c r="AK196" s="3" t="s">
        <v>393</v>
      </c>
      <c r="AL196" s="3" t="s">
        <v>288</v>
      </c>
      <c r="AM196" s="3" t="s">
        <v>371</v>
      </c>
      <c r="AN196" s="3" t="s">
        <v>189</v>
      </c>
      <c r="AO196" s="3" t="s">
        <v>247</v>
      </c>
      <c r="AP196" s="3" t="s">
        <v>244</v>
      </c>
      <c r="AQ196" s="3" t="s">
        <v>247</v>
      </c>
      <c r="AR196" s="3" t="s">
        <v>288</v>
      </c>
      <c r="AS196" s="3" t="s">
        <v>189</v>
      </c>
      <c r="AT196" s="3" t="s">
        <v>244</v>
      </c>
      <c r="AU196" s="3" t="s">
        <v>244</v>
      </c>
      <c r="AV196" s="3" t="s">
        <v>288</v>
      </c>
      <c r="AW196" s="3" t="s">
        <v>371</v>
      </c>
      <c r="AX196" s="3" t="s">
        <v>341</v>
      </c>
      <c r="AY196" s="3" t="s">
        <v>247</v>
      </c>
    </row>
    <row r="197" spans="1:52" ht="15.75" customHeight="1">
      <c r="A197" s="3">
        <v>168</v>
      </c>
      <c r="B197" s="5" t="str">
        <f t="shared" si="0"/>
        <v>http://roarmap.eprints.org/168/</v>
      </c>
      <c r="C197" s="3">
        <v>3</v>
      </c>
      <c r="D197" s="3" t="s">
        <v>98</v>
      </c>
      <c r="E197" s="3">
        <v>1</v>
      </c>
      <c r="F197" s="3" t="s">
        <v>1013</v>
      </c>
      <c r="G197" s="3">
        <v>41988.923321759263</v>
      </c>
      <c r="H197" s="3">
        <v>41988.923321759263</v>
      </c>
      <c r="I197" s="3">
        <v>41988.923321759263</v>
      </c>
      <c r="J197" s="3" t="s">
        <v>103</v>
      </c>
      <c r="K197" s="3" t="s">
        <v>105</v>
      </c>
      <c r="L197" s="3" t="s">
        <v>1014</v>
      </c>
      <c r="M197" s="3" t="s">
        <v>374</v>
      </c>
      <c r="N197" s="3" t="s">
        <v>1015</v>
      </c>
      <c r="O197" s="3" t="s">
        <v>1016</v>
      </c>
      <c r="P197" s="3" t="s">
        <v>215</v>
      </c>
      <c r="Q197" t="str">
        <f t="shared" si="17"/>
        <v>http://roarmap.eprints.org/view/country/276.html</v>
      </c>
      <c r="R197" s="3">
        <v>276</v>
      </c>
      <c r="S197" s="6" t="s">
        <v>163</v>
      </c>
      <c r="T197" s="9">
        <v>276</v>
      </c>
      <c r="U197" s="7" t="s">
        <v>123</v>
      </c>
      <c r="V197" s="6" t="s">
        <v>108</v>
      </c>
      <c r="W197" s="3" t="s">
        <v>158</v>
      </c>
      <c r="X197" s="3" t="s">
        <v>160</v>
      </c>
      <c r="Y197" s="3" t="s">
        <v>1014</v>
      </c>
      <c r="Z197" s="8" t="str">
        <f>HYPERLINK("https://www.uni-tuebingen.de","https://www.uni-tuebingen.de")</f>
        <v>https://www.uni-tuebingen.de</v>
      </c>
      <c r="AA197" s="8" t="str">
        <f>HYPERLINK("http://www.uni-tuebingen.de/en/facilities/university-library/students-lecturers-researchers/open-access-policy.html","http://www.uni-tuebingen.de/en/facilities/university-library/students-lecturers-researchers/open-access-policy.html")</f>
        <v>http://www.uni-tuebingen.de/en/facilities/university-library/students-lecturers-researchers/open-access-policy.html</v>
      </c>
      <c r="AB197" s="8" t="str">
        <f>HYPERLINK("http://www.clarin.eu/","http://www.clarin.eu/")</f>
        <v>http://www.clarin.eu/</v>
      </c>
      <c r="AC197" s="3">
        <v>41326</v>
      </c>
      <c r="AF197" s="3" t="s">
        <v>177</v>
      </c>
      <c r="AG197" s="3" t="s">
        <v>333</v>
      </c>
      <c r="AH197" s="3" t="s">
        <v>244</v>
      </c>
      <c r="AI197" s="3" t="s">
        <v>244</v>
      </c>
      <c r="AJ197" s="3" t="s">
        <v>244</v>
      </c>
      <c r="AK197" s="3" t="s">
        <v>244</v>
      </c>
      <c r="AL197" s="3" t="s">
        <v>288</v>
      </c>
      <c r="AM197" s="3" t="s">
        <v>247</v>
      </c>
      <c r="AN197" s="3" t="s">
        <v>244</v>
      </c>
      <c r="AO197" s="3" t="s">
        <v>247</v>
      </c>
      <c r="AP197" s="3" t="s">
        <v>244</v>
      </c>
      <c r="AQ197" s="3" t="s">
        <v>247</v>
      </c>
      <c r="AR197" s="3" t="s">
        <v>288</v>
      </c>
      <c r="AS197" s="3" t="s">
        <v>288</v>
      </c>
      <c r="AT197" s="3" t="s">
        <v>244</v>
      </c>
      <c r="AU197" s="3" t="s">
        <v>244</v>
      </c>
      <c r="AV197" s="3" t="s">
        <v>288</v>
      </c>
      <c r="AW197" s="3" t="s">
        <v>371</v>
      </c>
      <c r="AX197" s="3" t="s">
        <v>244</v>
      </c>
      <c r="AY197" s="3" t="s">
        <v>371</v>
      </c>
      <c r="AZ197" s="8" t="str">
        <f>HYPERLINK("http://www.uni-tuebingen.de/en/facilities/university-library/students-lecturers-researchers/open-access-publikationsfonds.html","http://www.uni-tuebingen.de/en/facilities/university-library/students-lecturers-researchers/open-access-publikationsfonds.html")</f>
        <v>http://www.uni-tuebingen.de/en/facilities/university-library/students-lecturers-researchers/open-access-publikationsfonds.html</v>
      </c>
    </row>
    <row r="198" spans="1:52" ht="15.75" customHeight="1">
      <c r="A198" s="3">
        <v>169</v>
      </c>
      <c r="B198" s="5" t="str">
        <f t="shared" si="0"/>
        <v>http://roarmap.eprints.org/169/</v>
      </c>
      <c r="C198" s="3">
        <v>3</v>
      </c>
      <c r="D198" s="3" t="s">
        <v>98</v>
      </c>
      <c r="E198" s="3">
        <v>1</v>
      </c>
      <c r="F198" s="3" t="s">
        <v>1017</v>
      </c>
      <c r="G198" s="3">
        <v>41988.923321759263</v>
      </c>
      <c r="H198" s="3">
        <v>41988.923321759263</v>
      </c>
      <c r="I198" s="3">
        <v>41988.923321759263</v>
      </c>
      <c r="J198" s="3" t="s">
        <v>103</v>
      </c>
      <c r="K198" s="3" t="s">
        <v>105</v>
      </c>
      <c r="L198" s="3" t="s">
        <v>1018</v>
      </c>
      <c r="M198" s="3" t="s">
        <v>637</v>
      </c>
      <c r="N198" s="3" t="s">
        <v>1019</v>
      </c>
      <c r="O198" s="3" t="s">
        <v>1020</v>
      </c>
      <c r="P198" s="3" t="s">
        <v>215</v>
      </c>
      <c r="Q198" t="str">
        <f t="shared" si="17"/>
        <v>http://roarmap.eprints.org/view/country/276.html</v>
      </c>
      <c r="R198" s="3">
        <v>276</v>
      </c>
      <c r="S198" s="6" t="s">
        <v>163</v>
      </c>
      <c r="T198" s="9">
        <v>276</v>
      </c>
      <c r="U198" s="7" t="s">
        <v>123</v>
      </c>
      <c r="V198" s="6" t="s">
        <v>108</v>
      </c>
      <c r="W198" s="3" t="s">
        <v>158</v>
      </c>
      <c r="X198" s="3" t="s">
        <v>160</v>
      </c>
      <c r="Y198" s="3" t="s">
        <v>1018</v>
      </c>
      <c r="Z198" s="8" t="str">
        <f>HYPERLINK("http://www.uni-bremen.de","http://www.uni-bremen.de")</f>
        <v>http://www.uni-bremen.de</v>
      </c>
      <c r="AA198" s="8" t="str">
        <f>HYPERLINK("http://www.uni-bremen.de/aktuelle-meldungen/einzelanzeige/article/universitaet-foerdert-open-access-publikationen.html?cHash=ef1c94248d51c169573e86edf3b1c4ef&amp;sword_list%5b%5d=open&amp;sword_list%5b%5d=access&amp;no_cache=1","http://www.uni-bremen.de/aktuelle-meldungen/einzelanzeige/article/universitaet-foerdert-open-access-publikationen.html?cHash=ef1c94248d51c169573e86edf3b1c4ef&amp;sword_list[]=open&amp;sword_list[]=access&amp;no_cache=1")</f>
        <v>http://www.uni-bremen.de/aktuelle-meldungen/einzelanzeige/article/universitaet-foerdert-open-access-publikationen.html?cHash=ef1c94248d51c169573e86edf3b1c4ef&amp;sword_list[]=open&amp;sword_list[]=access&amp;no_cache=1</v>
      </c>
      <c r="AB198" s="8" t="str">
        <f>HYPERLINK("http://elib.suub.uni-bremen.de/","http://elib.suub.uni-bremen.de/")</f>
        <v>http://elib.suub.uni-bremen.de/</v>
      </c>
      <c r="AG198" s="3" t="s">
        <v>244</v>
      </c>
      <c r="AH198" s="3" t="s">
        <v>244</v>
      </c>
      <c r="AI198" s="3" t="s">
        <v>244</v>
      </c>
      <c r="AJ198" s="3" t="s">
        <v>244</v>
      </c>
      <c r="AK198" s="3" t="s">
        <v>244</v>
      </c>
      <c r="AL198" s="3" t="s">
        <v>244</v>
      </c>
      <c r="AM198" s="3" t="s">
        <v>247</v>
      </c>
      <c r="AN198" s="3" t="s">
        <v>244</v>
      </c>
      <c r="AO198" s="3" t="s">
        <v>247</v>
      </c>
      <c r="AP198" s="3" t="s">
        <v>244</v>
      </c>
      <c r="AQ198" s="3" t="s">
        <v>247</v>
      </c>
      <c r="AR198" s="3" t="s">
        <v>288</v>
      </c>
      <c r="AS198" s="3" t="s">
        <v>244</v>
      </c>
      <c r="AT198" s="3" t="s">
        <v>244</v>
      </c>
      <c r="AU198" s="3" t="s">
        <v>244</v>
      </c>
      <c r="AV198" s="3" t="s">
        <v>288</v>
      </c>
      <c r="AW198" s="3" t="s">
        <v>244</v>
      </c>
      <c r="AX198" s="3" t="s">
        <v>244</v>
      </c>
      <c r="AY198" s="3" t="s">
        <v>428</v>
      </c>
    </row>
    <row r="199" spans="1:52" ht="15.75" customHeight="1">
      <c r="A199" s="3">
        <v>170</v>
      </c>
      <c r="B199" s="5" t="str">
        <f t="shared" si="0"/>
        <v>http://roarmap.eprints.org/170/</v>
      </c>
      <c r="C199" s="3">
        <v>3</v>
      </c>
      <c r="D199" s="3" t="s">
        <v>98</v>
      </c>
      <c r="E199" s="3">
        <v>1</v>
      </c>
      <c r="F199" s="3" t="s">
        <v>1021</v>
      </c>
      <c r="G199" s="3">
        <v>41988.923321759263</v>
      </c>
      <c r="H199" s="3">
        <v>41988.923321759263</v>
      </c>
      <c r="I199" s="3">
        <v>41988.923321759263</v>
      </c>
      <c r="J199" s="3" t="s">
        <v>103</v>
      </c>
      <c r="K199" s="3" t="s">
        <v>105</v>
      </c>
      <c r="L199" s="3" t="s">
        <v>1022</v>
      </c>
      <c r="M199" s="3" t="s">
        <v>637</v>
      </c>
      <c r="N199" s="3" t="s">
        <v>1023</v>
      </c>
      <c r="O199" s="3" t="s">
        <v>1024</v>
      </c>
      <c r="P199" s="3" t="s">
        <v>215</v>
      </c>
      <c r="Q199" t="str">
        <f t="shared" si="17"/>
        <v>http://roarmap.eprints.org/view/country/276.html</v>
      </c>
      <c r="R199" s="3">
        <v>276</v>
      </c>
      <c r="S199" s="6" t="s">
        <v>163</v>
      </c>
      <c r="T199" s="9">
        <v>276</v>
      </c>
      <c r="U199" s="7" t="s">
        <v>123</v>
      </c>
      <c r="V199" s="6" t="s">
        <v>108</v>
      </c>
      <c r="W199" s="3" t="s">
        <v>158</v>
      </c>
      <c r="X199" s="3" t="s">
        <v>160</v>
      </c>
      <c r="Y199" s="3" t="s">
        <v>1022</v>
      </c>
      <c r="Z199" s="8" t="str">
        <f>HYPERLINK("http://www.uni-hamburg.de/","http://www.uni-hamburg.de/")</f>
        <v>http://www.uni-hamburg.de/</v>
      </c>
      <c r="AG199" s="3" t="s">
        <v>244</v>
      </c>
      <c r="AH199" s="3" t="s">
        <v>244</v>
      </c>
      <c r="AI199" s="3" t="s">
        <v>244</v>
      </c>
      <c r="AJ199" s="3" t="s">
        <v>244</v>
      </c>
      <c r="AK199" s="3" t="s">
        <v>244</v>
      </c>
      <c r="AL199" s="3" t="s">
        <v>244</v>
      </c>
      <c r="AM199" s="3" t="s">
        <v>247</v>
      </c>
      <c r="AN199" s="3" t="s">
        <v>244</v>
      </c>
      <c r="AO199" s="3" t="s">
        <v>247</v>
      </c>
      <c r="AP199" s="3" t="s">
        <v>244</v>
      </c>
      <c r="AQ199" s="3" t="s">
        <v>247</v>
      </c>
      <c r="AR199" s="3" t="s">
        <v>288</v>
      </c>
      <c r="AS199" s="3" t="s">
        <v>244</v>
      </c>
      <c r="AT199" s="3" t="s">
        <v>244</v>
      </c>
      <c r="AU199" s="3" t="s">
        <v>244</v>
      </c>
      <c r="AV199" s="3" t="s">
        <v>288</v>
      </c>
      <c r="AW199" s="3" t="s">
        <v>244</v>
      </c>
      <c r="AX199" s="3" t="s">
        <v>244</v>
      </c>
      <c r="AY199" s="3" t="s">
        <v>247</v>
      </c>
    </row>
    <row r="200" spans="1:52" ht="15.75" customHeight="1">
      <c r="A200" s="3">
        <v>171</v>
      </c>
      <c r="B200" s="5" t="str">
        <f t="shared" si="0"/>
        <v>http://roarmap.eprints.org/171/</v>
      </c>
      <c r="C200" s="3">
        <v>3</v>
      </c>
      <c r="D200" s="3" t="s">
        <v>98</v>
      </c>
      <c r="E200" s="3">
        <v>1</v>
      </c>
      <c r="F200" s="3" t="s">
        <v>1025</v>
      </c>
      <c r="G200" s="3">
        <v>41988.923321759263</v>
      </c>
      <c r="H200" s="3">
        <v>41988.923321759263</v>
      </c>
      <c r="I200" s="3">
        <v>41988.923321759263</v>
      </c>
      <c r="J200" s="3" t="s">
        <v>103</v>
      </c>
      <c r="K200" s="3" t="s">
        <v>105</v>
      </c>
      <c r="L200" s="3" t="s">
        <v>1026</v>
      </c>
      <c r="M200" s="3" t="s">
        <v>374</v>
      </c>
      <c r="O200" s="3" t="s">
        <v>1027</v>
      </c>
      <c r="P200" s="3" t="s">
        <v>215</v>
      </c>
      <c r="Q200" t="str">
        <f t="shared" si="17"/>
        <v>http://roarmap.eprints.org/view/country/276.html</v>
      </c>
      <c r="R200" s="3">
        <v>276</v>
      </c>
      <c r="S200" s="6" t="s">
        <v>163</v>
      </c>
      <c r="T200" s="9">
        <v>276</v>
      </c>
      <c r="U200" s="7" t="s">
        <v>123</v>
      </c>
      <c r="V200" s="6" t="s">
        <v>108</v>
      </c>
      <c r="W200" s="3" t="s">
        <v>158</v>
      </c>
      <c r="X200" s="3" t="s">
        <v>160</v>
      </c>
      <c r="Y200" s="3" t="s">
        <v>1026</v>
      </c>
      <c r="Z200" s="8" t="str">
        <f>HYPERLINK("http://www.uni-heidelberg.de/","http://www.uni-heidelberg.de/")</f>
        <v>http://www.uni-heidelberg.de/</v>
      </c>
      <c r="AA200" s="8" t="str">
        <f>HYPERLINK("http://www.uni-heidelberg.de/university/profile/openaccess/index.html","http://www.uni-heidelberg.de/university/profile/openaccess/index.html")</f>
        <v>http://www.uni-heidelberg.de/university/profile/openaccess/index.html</v>
      </c>
      <c r="AB200" s="8" t="str">
        <f>HYPERLINK("http://archiv.ub.uni-heidelberg.de/volltextserver/","http://archiv.ub.uni-heidelberg.de/volltextserver/")</f>
        <v>http://archiv.ub.uni-heidelberg.de/volltextserver/</v>
      </c>
      <c r="AC200" s="3">
        <v>41325</v>
      </c>
      <c r="AF200" s="3" t="s">
        <v>244</v>
      </c>
      <c r="AG200" s="3" t="s">
        <v>333</v>
      </c>
      <c r="AH200" s="3" t="s">
        <v>180</v>
      </c>
      <c r="AI200" s="3" t="s">
        <v>244</v>
      </c>
      <c r="AJ200" s="3" t="s">
        <v>244</v>
      </c>
      <c r="AK200" s="3" t="s">
        <v>244</v>
      </c>
      <c r="AL200" s="3" t="s">
        <v>288</v>
      </c>
      <c r="AM200" s="3" t="s">
        <v>479</v>
      </c>
      <c r="AN200" s="3" t="s">
        <v>189</v>
      </c>
      <c r="AO200" s="3" t="s">
        <v>247</v>
      </c>
      <c r="AP200" s="3" t="s">
        <v>244</v>
      </c>
      <c r="AQ200" s="3" t="s">
        <v>394</v>
      </c>
      <c r="AR200" s="3" t="s">
        <v>288</v>
      </c>
      <c r="AS200" s="3" t="s">
        <v>189</v>
      </c>
      <c r="AT200" s="3" t="s">
        <v>244</v>
      </c>
      <c r="AU200" s="3" t="s">
        <v>244</v>
      </c>
      <c r="AV200" s="3" t="s">
        <v>288</v>
      </c>
      <c r="AW200" s="3" t="s">
        <v>371</v>
      </c>
      <c r="AX200" s="3" t="s">
        <v>244</v>
      </c>
      <c r="AY200" s="3" t="s">
        <v>428</v>
      </c>
      <c r="AZ200" s="8" t="str">
        <f>HYPERLINK("http://www.ub.uni-heidelberg.de/Englisch/service/openaccess/publikationsfonds.html","http://www.ub.uni-heidelberg.de/Englisch/service/openaccess/publikationsfonds.html")</f>
        <v>http://www.ub.uni-heidelberg.de/Englisch/service/openaccess/publikationsfonds.html</v>
      </c>
    </row>
    <row r="201" spans="1:52" ht="15.75" customHeight="1">
      <c r="A201" s="3">
        <v>172</v>
      </c>
      <c r="B201" s="5" t="str">
        <f t="shared" si="0"/>
        <v>http://roarmap.eprints.org/172/</v>
      </c>
      <c r="C201" s="3">
        <v>4</v>
      </c>
      <c r="D201" s="3" t="s">
        <v>98</v>
      </c>
      <c r="E201" s="3">
        <v>250</v>
      </c>
      <c r="F201" s="3" t="s">
        <v>1028</v>
      </c>
      <c r="G201" s="3">
        <v>41988.923321759263</v>
      </c>
      <c r="H201" s="3">
        <v>42046.98165509259</v>
      </c>
      <c r="I201" s="3">
        <v>41988.923321759263</v>
      </c>
      <c r="J201" s="3" t="s">
        <v>103</v>
      </c>
      <c r="K201" s="3" t="s">
        <v>105</v>
      </c>
      <c r="L201" s="3" t="s">
        <v>1029</v>
      </c>
      <c r="M201" s="3" t="s">
        <v>374</v>
      </c>
      <c r="N201" s="3" t="s">
        <v>1030</v>
      </c>
      <c r="O201" s="3" t="s">
        <v>1031</v>
      </c>
      <c r="P201" s="3" t="s">
        <v>215</v>
      </c>
      <c r="Q201" t="str">
        <f t="shared" si="17"/>
        <v>http://roarmap.eprints.org/view/country/276.html</v>
      </c>
      <c r="R201" s="3">
        <v>276</v>
      </c>
      <c r="S201" s="6" t="s">
        <v>163</v>
      </c>
      <c r="T201" s="9">
        <v>276</v>
      </c>
      <c r="U201" s="7" t="s">
        <v>123</v>
      </c>
      <c r="V201" s="6" t="s">
        <v>108</v>
      </c>
      <c r="W201" s="3" t="s">
        <v>158</v>
      </c>
      <c r="X201" s="3" t="s">
        <v>160</v>
      </c>
      <c r="Y201" s="3" t="s">
        <v>1029</v>
      </c>
      <c r="Z201" s="8" t="str">
        <f>HYPERLINK("http://www.uni-regensburg.de/","http://www.uni-regensburg.de/")</f>
        <v>http://www.uni-regensburg.de/</v>
      </c>
      <c r="AA201" s="8" t="str">
        <f>HYPERLINK("http://www.uni-regensburg.de/publikationen/medien/open-access-policy.pdf","http://www.uni-regensburg.de/publikationen/medien/open-access-policy.pdf")</f>
        <v>http://www.uni-regensburg.de/publikationen/medien/open-access-policy.pdf</v>
      </c>
      <c r="AB201" s="8" t="str">
        <f>HYPERLINK("http://epub.uni-regensburg.de/","http://epub.uni-regensburg.de/")</f>
        <v>http://epub.uni-regensburg.de/</v>
      </c>
      <c r="AC201" s="3">
        <v>40544</v>
      </c>
      <c r="AF201" s="3" t="s">
        <v>244</v>
      </c>
      <c r="AG201" s="3" t="s">
        <v>333</v>
      </c>
      <c r="AH201" s="3" t="s">
        <v>180</v>
      </c>
      <c r="AI201" s="3" t="s">
        <v>244</v>
      </c>
      <c r="AJ201" s="3" t="s">
        <v>244</v>
      </c>
      <c r="AK201" s="3" t="s">
        <v>244</v>
      </c>
      <c r="AL201" s="3" t="s">
        <v>288</v>
      </c>
      <c r="AM201" s="3" t="s">
        <v>247</v>
      </c>
      <c r="AN201" s="3" t="s">
        <v>244</v>
      </c>
      <c r="AO201" s="3" t="s">
        <v>247</v>
      </c>
      <c r="AP201" s="3" t="s">
        <v>244</v>
      </c>
      <c r="AQ201" s="3" t="s">
        <v>247</v>
      </c>
      <c r="AR201" s="3" t="s">
        <v>288</v>
      </c>
      <c r="AS201" s="3" t="s">
        <v>288</v>
      </c>
      <c r="AT201" s="3" t="s">
        <v>244</v>
      </c>
      <c r="AU201" s="3" t="s">
        <v>244</v>
      </c>
      <c r="AV201" s="3" t="s">
        <v>288</v>
      </c>
      <c r="AW201" s="3" t="s">
        <v>371</v>
      </c>
      <c r="AX201" s="3" t="s">
        <v>244</v>
      </c>
      <c r="AY201" s="3" t="s">
        <v>247</v>
      </c>
    </row>
    <row r="202" spans="1:52" ht="15.75" customHeight="1">
      <c r="A202" s="3">
        <v>1</v>
      </c>
      <c r="B202" s="5" t="str">
        <f t="shared" si="0"/>
        <v>http://roarmap.eprints.org/1/</v>
      </c>
      <c r="C202" s="3">
        <v>6</v>
      </c>
      <c r="D202" s="3" t="s">
        <v>98</v>
      </c>
      <c r="E202" s="3">
        <v>1</v>
      </c>
      <c r="F202" s="3" t="s">
        <v>1032</v>
      </c>
      <c r="G202" s="3">
        <v>41988.923067129632</v>
      </c>
      <c r="H202" s="3">
        <v>41988.923067129632</v>
      </c>
      <c r="I202" s="3">
        <v>41988.923067129632</v>
      </c>
      <c r="J202" s="3" t="s">
        <v>103</v>
      </c>
      <c r="K202" s="3" t="s">
        <v>105</v>
      </c>
      <c r="L202" s="3" t="s">
        <v>1033</v>
      </c>
      <c r="M202" s="3" t="s">
        <v>374</v>
      </c>
      <c r="N202" s="3" t="s">
        <v>1034</v>
      </c>
      <c r="P202" s="3" t="s">
        <v>215</v>
      </c>
      <c r="Q202" t="str">
        <f t="shared" si="17"/>
        <v>http://roarmap.eprints.org/view/country/288.html</v>
      </c>
      <c r="R202" s="3">
        <v>288</v>
      </c>
      <c r="S202" s="6" t="s">
        <v>164</v>
      </c>
      <c r="T202" s="9">
        <v>288</v>
      </c>
      <c r="U202" s="7" t="s">
        <v>51</v>
      </c>
      <c r="V202" s="6" t="s">
        <v>56</v>
      </c>
      <c r="W202" s="3" t="s">
        <v>158</v>
      </c>
      <c r="X202" s="3" t="s">
        <v>160</v>
      </c>
      <c r="Y202" s="3" t="s">
        <v>1033</v>
      </c>
      <c r="Z202" s="8" t="str">
        <f>HYPERLINK("http://www.knust.edu.gh","http://www.knust.edu.gh")</f>
        <v>http://www.knust.edu.gh</v>
      </c>
      <c r="AA202" s="8" t="str">
        <f>HYPERLINK("http://roarmap.eprints.org/484/1/KNUSTSpace_Policy_Document.pdf","http://roarmap.eprints.org/484/1/KNUSTSpace_Policy_Document.pdf")</f>
        <v>http://roarmap.eprints.org/484/1/KNUSTSpace_Policy_Document.pdf</v>
      </c>
      <c r="AB202" s="3" t="s">
        <v>1035</v>
      </c>
      <c r="AC202" s="3">
        <v>40848</v>
      </c>
      <c r="AF202" s="3" t="s">
        <v>177</v>
      </c>
      <c r="AG202" s="3" t="s">
        <v>333</v>
      </c>
      <c r="AH202" s="3" t="s">
        <v>180</v>
      </c>
      <c r="AI202" s="3" t="s">
        <v>187</v>
      </c>
      <c r="AJ202" s="3" t="s">
        <v>182</v>
      </c>
      <c r="AK202" s="3" t="s">
        <v>244</v>
      </c>
      <c r="AL202" s="3" t="s">
        <v>244</v>
      </c>
      <c r="AM202" s="3" t="s">
        <v>178</v>
      </c>
      <c r="AN202" s="3" t="s">
        <v>189</v>
      </c>
      <c r="AO202" s="3" t="s">
        <v>181</v>
      </c>
      <c r="AP202" s="3" t="s">
        <v>185</v>
      </c>
      <c r="AQ202" s="3" t="s">
        <v>386</v>
      </c>
      <c r="AR202" s="3" t="s">
        <v>288</v>
      </c>
      <c r="AS202" s="3" t="s">
        <v>288</v>
      </c>
      <c r="AT202" s="3" t="s">
        <v>244</v>
      </c>
      <c r="AU202" s="3" t="s">
        <v>244</v>
      </c>
      <c r="AV202" s="3" t="s">
        <v>288</v>
      </c>
      <c r="AW202" s="3" t="s">
        <v>339</v>
      </c>
      <c r="AX202" s="3" t="s">
        <v>244</v>
      </c>
      <c r="AY202" s="3" t="s">
        <v>247</v>
      </c>
    </row>
    <row r="203" spans="1:52" ht="15.75" customHeight="1">
      <c r="A203" s="3">
        <v>173</v>
      </c>
      <c r="B203" s="5" t="str">
        <f t="shared" si="0"/>
        <v>http://roarmap.eprints.org/173/</v>
      </c>
      <c r="C203" s="3">
        <v>6</v>
      </c>
      <c r="D203" s="3" t="s">
        <v>98</v>
      </c>
      <c r="E203" s="3">
        <v>251</v>
      </c>
      <c r="F203" s="3" t="s">
        <v>1036</v>
      </c>
      <c r="G203" s="3">
        <v>41988.923333333332</v>
      </c>
      <c r="H203" s="3">
        <v>42046.981666666667</v>
      </c>
      <c r="I203" s="3">
        <v>41988.923333333332</v>
      </c>
      <c r="J203" s="3" t="s">
        <v>103</v>
      </c>
      <c r="K203" s="3" t="s">
        <v>105</v>
      </c>
      <c r="L203" s="3" t="s">
        <v>1037</v>
      </c>
      <c r="M203" s="3" t="s">
        <v>352</v>
      </c>
      <c r="Q203" t="str">
        <f t="shared" si="17"/>
        <v>http://roarmap.eprints.org/view/country/300.html</v>
      </c>
      <c r="R203" s="3">
        <v>300</v>
      </c>
      <c r="S203" s="6" t="s">
        <v>167</v>
      </c>
      <c r="T203" s="9">
        <v>300</v>
      </c>
      <c r="U203" s="7" t="s">
        <v>123</v>
      </c>
      <c r="V203" s="6" t="s">
        <v>76</v>
      </c>
      <c r="W203" s="3" t="s">
        <v>158</v>
      </c>
      <c r="X203" s="3" t="s">
        <v>384</v>
      </c>
      <c r="Y203" s="3" t="s">
        <v>1037</v>
      </c>
      <c r="Z203" s="8" t="str">
        <f>HYPERLINK("http://www.acmac.uoc.gr/index.php","http://www.acmac.uoc.gr/index.php")</f>
        <v>http://www.acmac.uoc.gr/index.php</v>
      </c>
      <c r="AB203" s="8" t="str">
        <f>HYPERLINK("http://preprints.acmac.uoc.gr/","http://preprints.acmac.uoc.gr/")</f>
        <v>http://preprints.acmac.uoc.gr/</v>
      </c>
      <c r="AG203" s="3" t="s">
        <v>244</v>
      </c>
      <c r="AH203" s="3" t="s">
        <v>244</v>
      </c>
      <c r="AI203" s="3" t="s">
        <v>244</v>
      </c>
      <c r="AJ203" s="3" t="s">
        <v>244</v>
      </c>
      <c r="AK203" s="3" t="s">
        <v>393</v>
      </c>
      <c r="AL203" s="3" t="s">
        <v>244</v>
      </c>
      <c r="AM203" s="3" t="s">
        <v>247</v>
      </c>
      <c r="AN203" s="3" t="s">
        <v>244</v>
      </c>
      <c r="AO203" s="3" t="s">
        <v>247</v>
      </c>
      <c r="AP203" s="3" t="s">
        <v>244</v>
      </c>
      <c r="AQ203" s="3" t="s">
        <v>247</v>
      </c>
      <c r="AR203" s="3" t="s">
        <v>288</v>
      </c>
      <c r="AS203" s="3" t="s">
        <v>244</v>
      </c>
      <c r="AT203" s="3" t="s">
        <v>244</v>
      </c>
      <c r="AU203" s="3" t="s">
        <v>244</v>
      </c>
      <c r="AV203" s="3" t="s">
        <v>288</v>
      </c>
      <c r="AW203" s="3" t="s">
        <v>244</v>
      </c>
      <c r="AX203" s="3" t="s">
        <v>244</v>
      </c>
      <c r="AY203" s="3" t="s">
        <v>247</v>
      </c>
    </row>
    <row r="204" spans="1:52" ht="15.75" customHeight="1">
      <c r="A204" s="3">
        <v>174</v>
      </c>
      <c r="B204" s="5" t="str">
        <f t="shared" si="0"/>
        <v>http://roarmap.eprints.org/174/</v>
      </c>
      <c r="C204" s="3">
        <v>5</v>
      </c>
      <c r="D204" s="3" t="s">
        <v>98</v>
      </c>
      <c r="E204" s="3">
        <v>1</v>
      </c>
      <c r="F204" s="3" t="s">
        <v>1038</v>
      </c>
      <c r="G204" s="3">
        <v>41988.923333333332</v>
      </c>
      <c r="H204" s="3">
        <v>42020.711921296293</v>
      </c>
      <c r="I204" s="3">
        <v>41988.923333333332</v>
      </c>
      <c r="J204" s="3" t="s">
        <v>103</v>
      </c>
      <c r="K204" s="3" t="s">
        <v>105</v>
      </c>
      <c r="L204" s="3" t="s">
        <v>1039</v>
      </c>
      <c r="M204" s="3" t="s">
        <v>352</v>
      </c>
      <c r="Q204" t="str">
        <f t="shared" si="17"/>
        <v>http://roarmap.eprints.org/view/country/300.html</v>
      </c>
      <c r="R204" s="3">
        <v>300</v>
      </c>
      <c r="S204" s="6" t="s">
        <v>167</v>
      </c>
      <c r="T204" s="9">
        <v>300</v>
      </c>
      <c r="U204" s="7" t="s">
        <v>123</v>
      </c>
      <c r="V204" s="6" t="s">
        <v>76</v>
      </c>
      <c r="W204" s="3" t="s">
        <v>158</v>
      </c>
      <c r="X204" s="3" t="s">
        <v>160</v>
      </c>
      <c r="Y204" s="3" t="s">
        <v>1039</v>
      </c>
      <c r="Z204" s="8" t="str">
        <f>HYPERLINK("http://www.panteion.gr/","http://www.panteion.gr/")</f>
        <v>http://www.panteion.gr/</v>
      </c>
      <c r="AG204" s="3" t="s">
        <v>244</v>
      </c>
      <c r="AH204" s="3" t="s">
        <v>244</v>
      </c>
      <c r="AI204" s="3" t="s">
        <v>244</v>
      </c>
      <c r="AJ204" s="3" t="s">
        <v>244</v>
      </c>
      <c r="AK204" s="3" t="s">
        <v>244</v>
      </c>
      <c r="AL204" s="3" t="s">
        <v>244</v>
      </c>
      <c r="AM204" s="3" t="s">
        <v>247</v>
      </c>
      <c r="AN204" s="3" t="s">
        <v>244</v>
      </c>
      <c r="AO204" s="3" t="s">
        <v>247</v>
      </c>
      <c r="AP204" s="3" t="s">
        <v>244</v>
      </c>
      <c r="AQ204" s="3" t="s">
        <v>247</v>
      </c>
      <c r="AR204" s="3" t="s">
        <v>288</v>
      </c>
      <c r="AS204" s="3" t="s">
        <v>244</v>
      </c>
      <c r="AT204" s="3" t="s">
        <v>244</v>
      </c>
      <c r="AU204" s="3" t="s">
        <v>244</v>
      </c>
      <c r="AV204" s="3" t="s">
        <v>288</v>
      </c>
      <c r="AW204" s="3" t="s">
        <v>244</v>
      </c>
      <c r="AX204" s="3" t="s">
        <v>244</v>
      </c>
      <c r="AY204" s="3" t="s">
        <v>247</v>
      </c>
    </row>
    <row r="205" spans="1:52" ht="15.75" customHeight="1">
      <c r="A205" s="3">
        <v>17</v>
      </c>
      <c r="B205" s="5" t="str">
        <f t="shared" si="0"/>
        <v>http://roarmap.eprints.org/17/</v>
      </c>
      <c r="C205" s="3">
        <v>3</v>
      </c>
      <c r="D205" s="3" t="s">
        <v>98</v>
      </c>
      <c r="E205" s="3">
        <v>1</v>
      </c>
      <c r="F205" s="3" t="s">
        <v>1040</v>
      </c>
      <c r="G205" s="3">
        <v>41988.923090277778</v>
      </c>
      <c r="H205" s="3">
        <v>41988.923090277778</v>
      </c>
      <c r="I205" s="3">
        <v>41988.923090277778</v>
      </c>
      <c r="J205" s="3" t="s">
        <v>103</v>
      </c>
      <c r="K205" s="3" t="s">
        <v>105</v>
      </c>
      <c r="L205" s="3" t="s">
        <v>1041</v>
      </c>
      <c r="M205" s="3" t="s">
        <v>374</v>
      </c>
      <c r="N205" s="3" t="s">
        <v>1042</v>
      </c>
      <c r="P205" s="3" t="s">
        <v>215</v>
      </c>
      <c r="Q205" t="str">
        <f t="shared" si="17"/>
        <v>http://roarmap.eprints.org/view/country/344.html</v>
      </c>
      <c r="R205" s="3">
        <v>344</v>
      </c>
      <c r="S205" s="6" t="s">
        <v>184</v>
      </c>
      <c r="T205" s="9">
        <v>344</v>
      </c>
      <c r="U205" s="7" t="s">
        <v>118</v>
      </c>
      <c r="V205" s="6" t="s">
        <v>70</v>
      </c>
      <c r="W205" s="3" t="s">
        <v>158</v>
      </c>
      <c r="X205" s="3" t="s">
        <v>160</v>
      </c>
      <c r="Y205" s="3" t="s">
        <v>1041</v>
      </c>
      <c r="Z205" s="8" t="str">
        <f>HYPERLINK("http://www.polyu.edu.hk/cpa/polyu/index.php","http://www.polyu.edu.hk/cpa/polyu/index.php")</f>
        <v>http://www.polyu.edu.hk/cpa/polyu/index.php</v>
      </c>
      <c r="AA205" s="8" t="str">
        <f>HYPERLINK("http://www.polyu.edu.hk/ro/newRO415.html","http://www.polyu.edu.hk/ro/newRO415.html")</f>
        <v>http://www.polyu.edu.hk/ro/newRO415.html</v>
      </c>
      <c r="AB205" s="8" t="str">
        <f>HYPERLINK("http://repository.lib.polyu.edu.hk/jspui/","http://repository.lib.polyu.edu.hk/jspui/")</f>
        <v>http://repository.lib.polyu.edu.hk/jspui/</v>
      </c>
      <c r="AC205" s="3">
        <v>40198</v>
      </c>
      <c r="AF205" s="3" t="s">
        <v>177</v>
      </c>
      <c r="AG205" s="3" t="s">
        <v>178</v>
      </c>
      <c r="AH205" s="3" t="s">
        <v>180</v>
      </c>
      <c r="AI205" s="3" t="s">
        <v>392</v>
      </c>
      <c r="AJ205" s="3" t="s">
        <v>182</v>
      </c>
      <c r="AK205" s="3" t="s">
        <v>393</v>
      </c>
      <c r="AL205" s="3" t="s">
        <v>244</v>
      </c>
      <c r="AM205" s="3" t="s">
        <v>247</v>
      </c>
      <c r="AN205" s="3" t="s">
        <v>244</v>
      </c>
      <c r="AO205" s="3" t="s">
        <v>181</v>
      </c>
      <c r="AP205" s="3" t="s">
        <v>244</v>
      </c>
      <c r="AQ205" s="3" t="s">
        <v>386</v>
      </c>
      <c r="AR205" s="3" t="s">
        <v>288</v>
      </c>
      <c r="AS205" s="3" t="s">
        <v>288</v>
      </c>
      <c r="AT205" s="3" t="s">
        <v>244</v>
      </c>
      <c r="AU205" s="3" t="s">
        <v>244</v>
      </c>
      <c r="AV205" s="3" t="s">
        <v>288</v>
      </c>
      <c r="AW205" s="3" t="s">
        <v>339</v>
      </c>
      <c r="AX205" s="3" t="s">
        <v>244</v>
      </c>
      <c r="AY205" s="3" t="s">
        <v>247</v>
      </c>
    </row>
    <row r="206" spans="1:52" ht="15.75" customHeight="1">
      <c r="A206" s="3">
        <v>18</v>
      </c>
      <c r="B206" s="5" t="str">
        <f t="shared" si="0"/>
        <v>http://roarmap.eprints.org/18/</v>
      </c>
      <c r="C206" s="3">
        <v>3</v>
      </c>
      <c r="D206" s="3" t="s">
        <v>98</v>
      </c>
      <c r="E206" s="3">
        <v>1</v>
      </c>
      <c r="F206" s="3" t="s">
        <v>1043</v>
      </c>
      <c r="G206" s="3">
        <v>41988.923090277778</v>
      </c>
      <c r="H206" s="3">
        <v>41988.923090277778</v>
      </c>
      <c r="I206" s="3">
        <v>41988.923090277778</v>
      </c>
      <c r="J206" s="3" t="s">
        <v>103</v>
      </c>
      <c r="K206" s="3" t="s">
        <v>105</v>
      </c>
      <c r="L206" s="3" t="s">
        <v>1044</v>
      </c>
      <c r="M206" s="3" t="s">
        <v>532</v>
      </c>
      <c r="N206" s="3" t="s">
        <v>1045</v>
      </c>
      <c r="P206" s="3" t="s">
        <v>215</v>
      </c>
      <c r="Q206" t="str">
        <f t="shared" si="17"/>
        <v>http://roarmap.eprints.org/view/country/344.html</v>
      </c>
      <c r="R206" s="3">
        <v>344</v>
      </c>
      <c r="S206" s="6" t="s">
        <v>184</v>
      </c>
      <c r="T206" s="9">
        <v>344</v>
      </c>
      <c r="U206" s="7" t="s">
        <v>118</v>
      </c>
      <c r="V206" s="6" t="s">
        <v>70</v>
      </c>
      <c r="W206" s="3" t="s">
        <v>158</v>
      </c>
      <c r="X206" s="3" t="s">
        <v>160</v>
      </c>
      <c r="Y206" s="3" t="s">
        <v>1044</v>
      </c>
      <c r="Z206" s="8" t="str">
        <f>HYPERLINK("http://www.hku.hk/","http://www.hku.hk/")</f>
        <v>http://www.hku.hk/</v>
      </c>
      <c r="AA206" s="8" t="str">
        <f>HYPERLINK("http://www.eprints.org/openaccess/policysignup/fullinfo.php?inst=The%20University%20of%20Hong%20Kong","http://www.eprints.org/openaccess/policysignup/fullinfo.php?inst=The%20University%20of%20Hong%20Kong")</f>
        <v>http://www.eprints.org/openaccess/policysignup/fullinfo.php?inst=The%20University%20of%20Hong%20Kong</v>
      </c>
      <c r="AB206" s="8" t="str">
        <f t="shared" ref="AB206:AB207" si="18">HYPERLINK("http://hub.hku.hk/","http://hub.hku.hk/")</f>
        <v>http://hub.hku.hk/</v>
      </c>
      <c r="AC206" s="3">
        <v>39724</v>
      </c>
      <c r="AD206" s="3">
        <v>39724</v>
      </c>
      <c r="AE206" s="3">
        <v>40544</v>
      </c>
      <c r="AF206" s="3" t="s">
        <v>177</v>
      </c>
      <c r="AG206" s="3" t="s">
        <v>178</v>
      </c>
      <c r="AH206" s="3" t="s">
        <v>180</v>
      </c>
      <c r="AI206" s="3" t="s">
        <v>187</v>
      </c>
      <c r="AJ206" s="3" t="s">
        <v>182</v>
      </c>
      <c r="AK206" s="3" t="s">
        <v>393</v>
      </c>
      <c r="AL206" s="3" t="s">
        <v>244</v>
      </c>
      <c r="AM206" s="3" t="s">
        <v>178</v>
      </c>
      <c r="AN206" s="3" t="s">
        <v>244</v>
      </c>
      <c r="AO206" s="3" t="s">
        <v>181</v>
      </c>
      <c r="AP206" s="3" t="s">
        <v>189</v>
      </c>
      <c r="AQ206" s="3" t="s">
        <v>394</v>
      </c>
      <c r="AR206" s="3" t="s">
        <v>288</v>
      </c>
      <c r="AS206" s="3" t="s">
        <v>288</v>
      </c>
      <c r="AT206" s="3" t="s">
        <v>244</v>
      </c>
      <c r="AU206" s="3" t="s">
        <v>244</v>
      </c>
      <c r="AV206" s="3" t="s">
        <v>288</v>
      </c>
      <c r="AW206" s="3" t="s">
        <v>371</v>
      </c>
      <c r="AX206" s="3" t="s">
        <v>341</v>
      </c>
      <c r="AY206" s="3" t="s">
        <v>428</v>
      </c>
      <c r="AZ206" s="8" t="str">
        <f>HYPERLINK("http://hub.hku.hk/local/oaPub.jsp","http://hub.hku.hk/local/oaPub.jsp")</f>
        <v>http://hub.hku.hk/local/oaPub.jsp</v>
      </c>
    </row>
    <row r="207" spans="1:52" ht="15.75" customHeight="1">
      <c r="A207" s="3">
        <v>19</v>
      </c>
      <c r="B207" s="5" t="str">
        <f t="shared" si="0"/>
        <v>http://roarmap.eprints.org/19/</v>
      </c>
      <c r="C207" s="3">
        <v>3</v>
      </c>
      <c r="D207" s="3" t="s">
        <v>98</v>
      </c>
      <c r="E207" s="3">
        <v>1</v>
      </c>
      <c r="F207" s="3" t="s">
        <v>1046</v>
      </c>
      <c r="G207" s="3">
        <v>41988.923090277778</v>
      </c>
      <c r="H207" s="3">
        <v>41988.923090277778</v>
      </c>
      <c r="I207" s="3">
        <v>41988.923090277778</v>
      </c>
      <c r="J207" s="3" t="s">
        <v>103</v>
      </c>
      <c r="K207" s="3" t="s">
        <v>105</v>
      </c>
      <c r="L207" s="3" t="s">
        <v>1047</v>
      </c>
      <c r="M207" s="3" t="s">
        <v>374</v>
      </c>
      <c r="P207" s="3" t="s">
        <v>215</v>
      </c>
      <c r="Q207" t="str">
        <f t="shared" si="17"/>
        <v>http://roarmap.eprints.org/view/country/344.html</v>
      </c>
      <c r="R207" s="3">
        <v>344</v>
      </c>
      <c r="S207" s="6" t="s">
        <v>184</v>
      </c>
      <c r="T207" s="9">
        <v>344</v>
      </c>
      <c r="U207" s="7" t="s">
        <v>118</v>
      </c>
      <c r="V207" s="6" t="s">
        <v>70</v>
      </c>
      <c r="W207" s="3" t="s">
        <v>158</v>
      </c>
      <c r="X207" s="3" t="s">
        <v>384</v>
      </c>
      <c r="Y207" s="3" t="s">
        <v>1047</v>
      </c>
      <c r="Z207" s="8" t="str">
        <f>HYPERLINK("http://lib.hku.hk/","http://lib.hku.hk/")</f>
        <v>http://lib.hku.hk/</v>
      </c>
      <c r="AA207" s="8" t="str">
        <f>HYPERLINK("http://hub.hku.hk/local/oaPolicy.jsp","http://hub.hku.hk/local/oaPolicy.jsp")</f>
        <v>http://hub.hku.hk/local/oaPolicy.jsp</v>
      </c>
      <c r="AB207" s="8" t="str">
        <f t="shared" si="18"/>
        <v>http://hub.hku.hk/</v>
      </c>
      <c r="AC207" s="3">
        <v>40228</v>
      </c>
      <c r="AD207" s="3">
        <v>40228</v>
      </c>
      <c r="AF207" s="3" t="s">
        <v>478</v>
      </c>
      <c r="AG207" s="3" t="s">
        <v>178</v>
      </c>
      <c r="AH207" s="3" t="s">
        <v>180</v>
      </c>
      <c r="AI207" s="3" t="s">
        <v>244</v>
      </c>
      <c r="AJ207" s="3" t="s">
        <v>182</v>
      </c>
      <c r="AK207" s="3" t="s">
        <v>393</v>
      </c>
      <c r="AL207" s="3" t="s">
        <v>189</v>
      </c>
      <c r="AM207" s="3" t="s">
        <v>178</v>
      </c>
      <c r="AN207" s="3" t="s">
        <v>189</v>
      </c>
      <c r="AO207" s="3" t="s">
        <v>392</v>
      </c>
      <c r="AP207" s="3" t="s">
        <v>244</v>
      </c>
      <c r="AQ207" s="3" t="s">
        <v>394</v>
      </c>
      <c r="AR207" s="3" t="s">
        <v>288</v>
      </c>
      <c r="AS207" s="3" t="s">
        <v>189</v>
      </c>
      <c r="AT207" s="3" t="s">
        <v>244</v>
      </c>
      <c r="AU207" s="3" t="s">
        <v>244</v>
      </c>
      <c r="AV207" s="3" t="s">
        <v>288</v>
      </c>
      <c r="AW207" s="3" t="s">
        <v>371</v>
      </c>
      <c r="AX207" s="3" t="s">
        <v>341</v>
      </c>
      <c r="AY207" s="3" t="s">
        <v>428</v>
      </c>
    </row>
    <row r="208" spans="1:52" ht="15.75" customHeight="1">
      <c r="A208" s="3">
        <v>178</v>
      </c>
      <c r="B208" s="5" t="str">
        <f t="shared" si="0"/>
        <v>http://roarmap.eprints.org/178/</v>
      </c>
      <c r="C208" s="3">
        <v>4</v>
      </c>
      <c r="D208" s="3" t="s">
        <v>98</v>
      </c>
      <c r="E208" s="3">
        <v>252</v>
      </c>
      <c r="F208" s="3" t="s">
        <v>1048</v>
      </c>
      <c r="G208" s="3">
        <v>41988.923333333332</v>
      </c>
      <c r="H208" s="3">
        <v>42046.981666666667</v>
      </c>
      <c r="I208" s="3">
        <v>41988.923333333332</v>
      </c>
      <c r="J208" s="3" t="s">
        <v>103</v>
      </c>
      <c r="K208" s="3" t="s">
        <v>105</v>
      </c>
      <c r="L208" s="3" t="s">
        <v>1049</v>
      </c>
      <c r="M208" s="3" t="s">
        <v>637</v>
      </c>
      <c r="N208" s="3" t="s">
        <v>1050</v>
      </c>
      <c r="O208" s="3" t="s">
        <v>1051</v>
      </c>
      <c r="P208" s="3" t="s">
        <v>215</v>
      </c>
      <c r="Q208" t="str">
        <f t="shared" si="17"/>
        <v>http://roarmap.eprints.org/view/country/348.html</v>
      </c>
      <c r="R208" s="3">
        <v>348</v>
      </c>
      <c r="S208" s="6" t="s">
        <v>186</v>
      </c>
      <c r="T208" s="9">
        <v>348</v>
      </c>
      <c r="U208" s="7" t="s">
        <v>123</v>
      </c>
      <c r="V208" s="6" t="s">
        <v>102</v>
      </c>
      <c r="W208" s="3" t="s">
        <v>158</v>
      </c>
      <c r="X208" s="3" t="s">
        <v>376</v>
      </c>
      <c r="Y208" s="3" t="s">
        <v>1049</v>
      </c>
      <c r="Z208" s="8" t="str">
        <f>HYPERLINK("http://www.kormany.hu/en","http://www.kormany.hu/en")</f>
        <v>http://www.kormany.hu/en</v>
      </c>
      <c r="AB208" s="3" t="s">
        <v>1052</v>
      </c>
      <c r="AC208" s="3" t="s">
        <v>1053</v>
      </c>
      <c r="AD208" s="3">
        <v>41275</v>
      </c>
      <c r="AF208" s="3" t="s">
        <v>177</v>
      </c>
      <c r="AG208" s="3" t="s">
        <v>178</v>
      </c>
      <c r="AH208" s="3" t="s">
        <v>180</v>
      </c>
      <c r="AI208" s="3" t="s">
        <v>244</v>
      </c>
      <c r="AJ208" s="3" t="s">
        <v>371</v>
      </c>
      <c r="AK208" s="3" t="s">
        <v>244</v>
      </c>
      <c r="AL208" s="3" t="s">
        <v>185</v>
      </c>
      <c r="AM208" s="3" t="s">
        <v>178</v>
      </c>
      <c r="AN208" s="3" t="s">
        <v>185</v>
      </c>
      <c r="AO208" s="3" t="s">
        <v>247</v>
      </c>
      <c r="AP208" s="3" t="s">
        <v>244</v>
      </c>
      <c r="AQ208" s="3" t="s">
        <v>247</v>
      </c>
      <c r="AR208" s="3" t="s">
        <v>288</v>
      </c>
      <c r="AS208" s="3" t="s">
        <v>185</v>
      </c>
      <c r="AT208" s="3" t="s">
        <v>244</v>
      </c>
      <c r="AU208" s="3" t="s">
        <v>244</v>
      </c>
      <c r="AV208" s="3" t="s">
        <v>288</v>
      </c>
      <c r="AW208" s="3" t="s">
        <v>371</v>
      </c>
      <c r="AX208" s="3" t="s">
        <v>442</v>
      </c>
      <c r="AY208" s="3" t="s">
        <v>247</v>
      </c>
    </row>
    <row r="209" spans="1:51" ht="15.75" customHeight="1">
      <c r="A209" s="3">
        <v>179</v>
      </c>
      <c r="B209" s="5" t="str">
        <f t="shared" si="0"/>
        <v>http://roarmap.eprints.org/179/</v>
      </c>
      <c r="C209" s="3">
        <v>6</v>
      </c>
      <c r="D209" s="3" t="s">
        <v>98</v>
      </c>
      <c r="E209" s="3">
        <v>253</v>
      </c>
      <c r="F209" s="3" t="s">
        <v>1054</v>
      </c>
      <c r="G209" s="3">
        <v>41988.923333333332</v>
      </c>
      <c r="H209" s="3">
        <v>42046.981666666667</v>
      </c>
      <c r="I209" s="3">
        <v>41988.923333333332</v>
      </c>
      <c r="J209" s="3" t="s">
        <v>103</v>
      </c>
      <c r="K209" s="3" t="s">
        <v>105</v>
      </c>
      <c r="L209" s="3" t="s">
        <v>1055</v>
      </c>
      <c r="M209" s="3" t="s">
        <v>532</v>
      </c>
      <c r="P209" s="3" t="s">
        <v>215</v>
      </c>
      <c r="Q209" t="str">
        <f t="shared" si="17"/>
        <v>http://roarmap.eprints.org/view/country/348.html</v>
      </c>
      <c r="R209" s="3">
        <v>348</v>
      </c>
      <c r="S209" s="6" t="s">
        <v>186</v>
      </c>
      <c r="T209" s="9">
        <v>348</v>
      </c>
      <c r="U209" s="7" t="s">
        <v>123</v>
      </c>
      <c r="V209" s="6" t="s">
        <v>102</v>
      </c>
      <c r="W209" s="3" t="s">
        <v>158</v>
      </c>
      <c r="X209" s="3" t="s">
        <v>364</v>
      </c>
      <c r="Y209" s="3" t="s">
        <v>1055</v>
      </c>
      <c r="Z209" s="8" t="str">
        <f>HYPERLINK("http://www.otka.hu","http://www.otka.hu")</f>
        <v>http://www.otka.hu</v>
      </c>
      <c r="AA209" s="8" t="str">
        <f>HYPERLINK("http://www.otka.hu/open-access","http://www.otka.hu/open-access")</f>
        <v>http://www.otka.hu/open-access</v>
      </c>
      <c r="AB209" s="8" t="str">
        <f t="shared" ref="AB209:AB210" si="19">HYPERLINK("http://real.mtak.hu","http://real.mtak.hu")</f>
        <v>http://real.mtak.hu</v>
      </c>
      <c r="AC209" s="3">
        <v>41153</v>
      </c>
      <c r="AD209" s="3">
        <v>41275</v>
      </c>
      <c r="AF209" s="3" t="s">
        <v>177</v>
      </c>
      <c r="AG209" s="3" t="s">
        <v>244</v>
      </c>
      <c r="AH209" s="3" t="s">
        <v>244</v>
      </c>
      <c r="AI209" s="3" t="s">
        <v>244</v>
      </c>
      <c r="AJ209" s="3" t="s">
        <v>182</v>
      </c>
      <c r="AK209" s="3" t="s">
        <v>393</v>
      </c>
      <c r="AL209" s="3" t="s">
        <v>244</v>
      </c>
      <c r="AM209" s="3" t="s">
        <v>178</v>
      </c>
      <c r="AN209" s="3" t="s">
        <v>185</v>
      </c>
      <c r="AO209" s="3" t="s">
        <v>247</v>
      </c>
      <c r="AP209" s="3" t="s">
        <v>185</v>
      </c>
      <c r="AQ209" s="3" t="s">
        <v>247</v>
      </c>
      <c r="AR209" s="3" t="s">
        <v>288</v>
      </c>
      <c r="AS209" s="3" t="s">
        <v>185</v>
      </c>
      <c r="AT209" s="3" t="s">
        <v>244</v>
      </c>
      <c r="AU209" s="3" t="s">
        <v>244</v>
      </c>
      <c r="AV209" s="3" t="s">
        <v>288</v>
      </c>
      <c r="AW209" s="3" t="s">
        <v>371</v>
      </c>
      <c r="AX209" s="3" t="s">
        <v>442</v>
      </c>
      <c r="AY209" s="3" t="s">
        <v>521</v>
      </c>
    </row>
    <row r="210" spans="1:51" ht="15.75" customHeight="1">
      <c r="A210" s="3">
        <v>180</v>
      </c>
      <c r="B210" s="5" t="str">
        <f t="shared" si="0"/>
        <v>http://roarmap.eprints.org/180/</v>
      </c>
      <c r="C210" s="3">
        <v>5</v>
      </c>
      <c r="D210" s="3" t="s">
        <v>98</v>
      </c>
      <c r="E210" s="3">
        <v>253</v>
      </c>
      <c r="F210" s="3" t="s">
        <v>1056</v>
      </c>
      <c r="G210" s="3">
        <v>41988.923333333332</v>
      </c>
      <c r="H210" s="3">
        <v>42046.981666666667</v>
      </c>
      <c r="I210" s="3">
        <v>41988.923333333332</v>
      </c>
      <c r="J210" s="3" t="s">
        <v>103</v>
      </c>
      <c r="K210" s="3" t="s">
        <v>105</v>
      </c>
      <c r="L210" s="3" t="s">
        <v>1057</v>
      </c>
      <c r="M210" s="3" t="s">
        <v>374</v>
      </c>
      <c r="N210" s="3" t="s">
        <v>1058</v>
      </c>
      <c r="O210" s="3" t="s">
        <v>1059</v>
      </c>
      <c r="P210" s="3" t="s">
        <v>215</v>
      </c>
      <c r="Q210" t="str">
        <f t="shared" si="17"/>
        <v>http://roarmap.eprints.org/view/country/348.html</v>
      </c>
      <c r="R210" s="3">
        <v>348</v>
      </c>
      <c r="S210" s="6" t="s">
        <v>186</v>
      </c>
      <c r="T210" s="9">
        <v>348</v>
      </c>
      <c r="U210" s="7" t="s">
        <v>123</v>
      </c>
      <c r="V210" s="6" t="s">
        <v>102</v>
      </c>
      <c r="W210" s="3" t="s">
        <v>158</v>
      </c>
      <c r="X210" s="3" t="s">
        <v>757</v>
      </c>
      <c r="Y210" s="3" t="s">
        <v>1057</v>
      </c>
      <c r="Z210" s="8" t="str">
        <f>HYPERLINK("http://mta.hu/english/","http://mta.hu/english/")</f>
        <v>http://mta.hu/english/</v>
      </c>
      <c r="AA210" s="8" t="str">
        <f>HYPERLINK("http://real.mtak.hu/eprints/mandate.html","http://real.mtak.hu/eprints/mandate.html")</f>
        <v>http://real.mtak.hu/eprints/mandate.html</v>
      </c>
      <c r="AB210" s="8" t="str">
        <f t="shared" si="19"/>
        <v>http://real.mtak.hu</v>
      </c>
      <c r="AC210" s="3">
        <v>41176</v>
      </c>
      <c r="AD210" s="3">
        <v>41275</v>
      </c>
      <c r="AF210" s="3" t="s">
        <v>177</v>
      </c>
      <c r="AG210" s="3" t="s">
        <v>244</v>
      </c>
      <c r="AH210" s="3" t="s">
        <v>244</v>
      </c>
      <c r="AI210" s="3" t="s">
        <v>244</v>
      </c>
      <c r="AJ210" s="3" t="s">
        <v>182</v>
      </c>
      <c r="AK210" s="3" t="s">
        <v>393</v>
      </c>
      <c r="AL210" s="3" t="s">
        <v>288</v>
      </c>
      <c r="AM210" s="3" t="s">
        <v>371</v>
      </c>
      <c r="AN210" s="3" t="s">
        <v>189</v>
      </c>
      <c r="AO210" s="3" t="s">
        <v>247</v>
      </c>
      <c r="AP210" s="3" t="s">
        <v>244</v>
      </c>
      <c r="AQ210" s="3" t="s">
        <v>247</v>
      </c>
      <c r="AR210" s="3" t="s">
        <v>244</v>
      </c>
      <c r="AS210" s="3" t="s">
        <v>189</v>
      </c>
      <c r="AT210" s="3" t="s">
        <v>244</v>
      </c>
      <c r="AU210" s="3" t="s">
        <v>244</v>
      </c>
      <c r="AV210" s="3" t="s">
        <v>244</v>
      </c>
      <c r="AW210" s="3" t="s">
        <v>244</v>
      </c>
      <c r="AX210" s="3" t="s">
        <v>442</v>
      </c>
      <c r="AY210" s="3" t="s">
        <v>371</v>
      </c>
    </row>
    <row r="211" spans="1:51" ht="15.75" customHeight="1">
      <c r="A211" s="3">
        <v>181</v>
      </c>
      <c r="B211" s="5" t="str">
        <f t="shared" si="0"/>
        <v>http://roarmap.eprints.org/181/</v>
      </c>
      <c r="C211" s="3">
        <v>3</v>
      </c>
      <c r="D211" s="3" t="s">
        <v>98</v>
      </c>
      <c r="E211" s="3">
        <v>1</v>
      </c>
      <c r="F211" s="3" t="s">
        <v>1060</v>
      </c>
      <c r="G211" s="3">
        <v>41988.923344907409</v>
      </c>
      <c r="H211" s="3">
        <v>41988.923344907409</v>
      </c>
      <c r="I211" s="3">
        <v>41988.923344907409</v>
      </c>
      <c r="J211" s="3" t="s">
        <v>103</v>
      </c>
      <c r="K211" s="3" t="s">
        <v>105</v>
      </c>
      <c r="L211" s="3" t="s">
        <v>1061</v>
      </c>
      <c r="M211" s="3" t="s">
        <v>374</v>
      </c>
      <c r="N211" s="3" t="s">
        <v>1062</v>
      </c>
      <c r="P211" s="3" t="s">
        <v>215</v>
      </c>
      <c r="Q211" t="str">
        <f t="shared" si="17"/>
        <v>http://roarmap.eprints.org/view/country/352.html</v>
      </c>
      <c r="R211" s="3">
        <v>352</v>
      </c>
      <c r="S211" s="6" t="s">
        <v>188</v>
      </c>
      <c r="T211" s="9">
        <v>352</v>
      </c>
      <c r="U211" s="7" t="s">
        <v>123</v>
      </c>
      <c r="V211" s="6" t="s">
        <v>125</v>
      </c>
      <c r="W211" s="3" t="s">
        <v>158</v>
      </c>
      <c r="X211" s="3" t="s">
        <v>160</v>
      </c>
      <c r="Y211" s="3" t="s">
        <v>1061</v>
      </c>
      <c r="Z211" s="8" t="str">
        <f>HYPERLINK("http://www.bifrost.is/","http://www.bifrost.is/")</f>
        <v>http://www.bifrost.is/</v>
      </c>
      <c r="AA211" s="8" t="str">
        <f>HYPERLINK("http://roarmap.eprints.org/606/1/bifrostmand.pdf","http://roarmap.eprints.org/606/1/bifrostmand.pdf")</f>
        <v>http://roarmap.eprints.org/606/1/bifrostmand.pdf</v>
      </c>
      <c r="AB211" s="8" t="str">
        <f>HYPERLINK("http://skemman.is/en/","http://skemman.is/en/")</f>
        <v>http://skemman.is/en/</v>
      </c>
      <c r="AC211" s="3">
        <v>40756</v>
      </c>
      <c r="AF211" s="3" t="s">
        <v>177</v>
      </c>
      <c r="AG211" s="3" t="s">
        <v>178</v>
      </c>
      <c r="AH211" s="3" t="s">
        <v>180</v>
      </c>
      <c r="AI211" s="3" t="s">
        <v>392</v>
      </c>
      <c r="AJ211" s="3" t="s">
        <v>182</v>
      </c>
      <c r="AK211" s="3" t="s">
        <v>393</v>
      </c>
      <c r="AL211" s="3" t="s">
        <v>189</v>
      </c>
      <c r="AM211" s="3" t="s">
        <v>178</v>
      </c>
      <c r="AN211" s="3" t="s">
        <v>189</v>
      </c>
      <c r="AO211" s="3" t="s">
        <v>247</v>
      </c>
      <c r="AP211" s="3" t="s">
        <v>244</v>
      </c>
      <c r="AQ211" s="3" t="s">
        <v>394</v>
      </c>
      <c r="AR211" s="3" t="s">
        <v>288</v>
      </c>
      <c r="AS211" s="3" t="s">
        <v>189</v>
      </c>
      <c r="AT211" s="3" t="s">
        <v>244</v>
      </c>
      <c r="AU211" s="3" t="s">
        <v>244</v>
      </c>
      <c r="AV211" s="3" t="s">
        <v>288</v>
      </c>
      <c r="AW211" s="3" t="s">
        <v>371</v>
      </c>
      <c r="AX211" s="3" t="s">
        <v>244</v>
      </c>
      <c r="AY211" s="3" t="s">
        <v>247</v>
      </c>
    </row>
    <row r="212" spans="1:51" ht="15.75" customHeight="1">
      <c r="A212" s="3">
        <v>182</v>
      </c>
      <c r="B212" s="5" t="str">
        <f t="shared" si="0"/>
        <v>http://roarmap.eprints.org/182/</v>
      </c>
      <c r="C212" s="3">
        <v>4</v>
      </c>
      <c r="D212" s="3" t="s">
        <v>98</v>
      </c>
      <c r="E212" s="3">
        <v>254</v>
      </c>
      <c r="F212" s="3" t="s">
        <v>1063</v>
      </c>
      <c r="G212" s="3">
        <v>41988.923344907409</v>
      </c>
      <c r="H212" s="3">
        <v>42046.981666666667</v>
      </c>
      <c r="I212" s="3">
        <v>41988.923344907409</v>
      </c>
      <c r="J212" s="3" t="s">
        <v>103</v>
      </c>
      <c r="K212" s="3" t="s">
        <v>105</v>
      </c>
      <c r="L212" s="3" t="s">
        <v>1064</v>
      </c>
      <c r="M212" s="3" t="s">
        <v>374</v>
      </c>
      <c r="N212" s="3" t="s">
        <v>1065</v>
      </c>
      <c r="O212" s="3" t="s">
        <v>1066</v>
      </c>
      <c r="P212" s="3" t="s">
        <v>215</v>
      </c>
      <c r="Q212" t="str">
        <f t="shared" si="17"/>
        <v>http://roarmap.eprints.org/view/country/352.html</v>
      </c>
      <c r="R212" s="3">
        <v>352</v>
      </c>
      <c r="S212" s="6" t="s">
        <v>188</v>
      </c>
      <c r="T212" s="9">
        <v>352</v>
      </c>
      <c r="U212" s="7" t="s">
        <v>123</v>
      </c>
      <c r="V212" s="6" t="s">
        <v>125</v>
      </c>
      <c r="W212" s="3" t="s">
        <v>158</v>
      </c>
      <c r="X212" s="3" t="s">
        <v>376</v>
      </c>
      <c r="Y212" s="3" t="s">
        <v>1064</v>
      </c>
      <c r="Z212" s="8" t="str">
        <f>HYPERLINK("http://www.rannis.is/","http://www.rannis.is/")</f>
        <v>http://www.rannis.is/</v>
      </c>
      <c r="AA212" s="8" t="str">
        <f>HYPERLINK("http://www.rannis.is/starfsemi/opinn-adgangur/","http://www.rannis.is/starfsemi/opinn-adgangur/")</f>
        <v>http://www.rannis.is/starfsemi/opinn-adgangur/</v>
      </c>
      <c r="AB212" s="8" t="str">
        <f>HYPERLINK("http://www.rannis.is/sjodir/opinn-adgangur/","http://www.rannis.is/sjodir/opinn-adgangur/")</f>
        <v>http://www.rannis.is/sjodir/opinn-adgangur/</v>
      </c>
      <c r="AG212" s="3" t="s">
        <v>244</v>
      </c>
      <c r="AH212" s="3" t="s">
        <v>244</v>
      </c>
      <c r="AI212" s="3" t="s">
        <v>244</v>
      </c>
      <c r="AJ212" s="3" t="s">
        <v>244</v>
      </c>
      <c r="AK212" s="3" t="s">
        <v>244</v>
      </c>
      <c r="AL212" s="3" t="s">
        <v>244</v>
      </c>
      <c r="AM212" s="3" t="s">
        <v>247</v>
      </c>
      <c r="AN212" s="3" t="s">
        <v>244</v>
      </c>
      <c r="AO212" s="3" t="s">
        <v>247</v>
      </c>
      <c r="AP212" s="3" t="s">
        <v>244</v>
      </c>
      <c r="AQ212" s="3" t="s">
        <v>247</v>
      </c>
      <c r="AR212" s="3" t="s">
        <v>288</v>
      </c>
      <c r="AS212" s="3" t="s">
        <v>244</v>
      </c>
      <c r="AT212" s="3" t="s">
        <v>244</v>
      </c>
      <c r="AU212" s="3" t="s">
        <v>244</v>
      </c>
      <c r="AV212" s="3" t="s">
        <v>288</v>
      </c>
      <c r="AW212" s="3" t="s">
        <v>244</v>
      </c>
      <c r="AX212" s="3" t="s">
        <v>244</v>
      </c>
      <c r="AY212" s="3" t="s">
        <v>247</v>
      </c>
    </row>
    <row r="213" spans="1:51" ht="15.75" customHeight="1">
      <c r="A213" s="3">
        <v>774</v>
      </c>
      <c r="B213" s="5" t="str">
        <f t="shared" si="0"/>
        <v>http://roarmap.eprints.org/774/</v>
      </c>
      <c r="C213" s="3">
        <v>6</v>
      </c>
      <c r="D213" s="3" t="s">
        <v>98</v>
      </c>
      <c r="E213" s="3">
        <v>787</v>
      </c>
      <c r="F213" s="3" t="s">
        <v>1067</v>
      </c>
      <c r="G213" s="3">
        <v>42145.45034722222</v>
      </c>
      <c r="H213" s="3">
        <v>42145.45034722222</v>
      </c>
      <c r="I213" s="3">
        <v>42145.45034722222</v>
      </c>
      <c r="J213" s="3" t="s">
        <v>103</v>
      </c>
      <c r="K213" s="3" t="s">
        <v>105</v>
      </c>
      <c r="L213" s="3" t="s">
        <v>1068</v>
      </c>
      <c r="N213" s="3" t="s">
        <v>1069</v>
      </c>
      <c r="O213" s="3" t="s">
        <v>1070</v>
      </c>
      <c r="Q213" t="str">
        <f t="shared" si="17"/>
        <v>http://roarmap.eprints.org/view/country/352.html</v>
      </c>
      <c r="R213" s="3">
        <v>352</v>
      </c>
      <c r="S213" s="6" t="s">
        <v>188</v>
      </c>
      <c r="T213" s="9">
        <v>352</v>
      </c>
      <c r="U213" s="7" t="s">
        <v>123</v>
      </c>
      <c r="V213" s="6" t="s">
        <v>125</v>
      </c>
      <c r="W213" s="3" t="s">
        <v>158</v>
      </c>
      <c r="X213" s="3" t="s">
        <v>160</v>
      </c>
      <c r="Y213" s="3" t="s">
        <v>1068</v>
      </c>
      <c r="Z213" s="8" t="str">
        <f>HYPERLINK("http://www.ru.is","http://www.ru.is")</f>
        <v>http://www.ru.is</v>
      </c>
      <c r="AA213" s="8" t="str">
        <f>HYPERLINK("http://en.ru.is/media/hr/skjol/RU-OA-Policy---Approved-by-RU-Executive-Committee-November-13-2014.pdf","http://en.ru.is/media/hr/skjol/RU-OA-Policy---Approved-by-RU-Executive-Committee-November-13-2014.pdf")</f>
        <v>http://en.ru.is/media/hr/skjol/RU-OA-Policy---Approved-by-RU-Executive-Committee-November-13-2014.pdf</v>
      </c>
      <c r="AB213" s="8" t="str">
        <f>HYPERLINK("http://skemman.is/en/","http://skemman.is/en/")</f>
        <v>http://skemman.is/en/</v>
      </c>
      <c r="AC213" s="3">
        <v>41956</v>
      </c>
      <c r="AD213" s="3">
        <v>42005</v>
      </c>
      <c r="AF213" s="3" t="s">
        <v>177</v>
      </c>
      <c r="AG213" s="3" t="s">
        <v>333</v>
      </c>
      <c r="AH213" s="3" t="s">
        <v>370</v>
      </c>
      <c r="AI213" s="3" t="s">
        <v>181</v>
      </c>
      <c r="AJ213" s="3" t="s">
        <v>182</v>
      </c>
      <c r="AK213" s="3" t="s">
        <v>393</v>
      </c>
      <c r="AL213" s="3" t="s">
        <v>189</v>
      </c>
      <c r="AM213" s="3" t="s">
        <v>479</v>
      </c>
      <c r="AN213" s="3" t="s">
        <v>189</v>
      </c>
      <c r="AO213" s="3" t="s">
        <v>247</v>
      </c>
      <c r="AP213" s="3" t="s">
        <v>185</v>
      </c>
      <c r="AQ213" s="3" t="s">
        <v>247</v>
      </c>
      <c r="AR213" s="3" t="s">
        <v>244</v>
      </c>
      <c r="AS213" s="3" t="s">
        <v>244</v>
      </c>
      <c r="AT213" s="3" t="s">
        <v>244</v>
      </c>
      <c r="AU213" s="3" t="s">
        <v>244</v>
      </c>
      <c r="AV213" s="3" t="s">
        <v>244</v>
      </c>
      <c r="AX213" s="3" t="s">
        <v>442</v>
      </c>
      <c r="AY213" s="3" t="s">
        <v>247</v>
      </c>
    </row>
    <row r="214" spans="1:51" ht="15.75" customHeight="1">
      <c r="A214" s="3">
        <v>758</v>
      </c>
      <c r="B214" s="5" t="str">
        <f t="shared" si="0"/>
        <v>http://roarmap.eprints.org/758/</v>
      </c>
      <c r="C214" s="3">
        <v>4</v>
      </c>
      <c r="D214" s="3" t="s">
        <v>98</v>
      </c>
      <c r="E214" s="3">
        <v>743</v>
      </c>
      <c r="F214" s="3" t="s">
        <v>1071</v>
      </c>
      <c r="G214" s="3">
        <v>42124.55877314815</v>
      </c>
      <c r="H214" s="3">
        <v>42124.55877314815</v>
      </c>
      <c r="I214" s="3">
        <v>42124.55877314815</v>
      </c>
      <c r="J214" s="3" t="s">
        <v>103</v>
      </c>
      <c r="K214" s="3" t="s">
        <v>105</v>
      </c>
      <c r="L214" s="3" t="s">
        <v>1072</v>
      </c>
      <c r="P214" s="3" t="s">
        <v>1073</v>
      </c>
      <c r="Q214" t="str">
        <f t="shared" si="17"/>
        <v>http://roarmap.eprints.org/view/country/352.html</v>
      </c>
      <c r="R214" s="3">
        <v>352</v>
      </c>
      <c r="S214" s="6" t="s">
        <v>188</v>
      </c>
      <c r="T214" s="9">
        <v>352</v>
      </c>
      <c r="U214" s="7" t="s">
        <v>123</v>
      </c>
      <c r="V214" s="6" t="s">
        <v>125</v>
      </c>
      <c r="W214" s="3" t="s">
        <v>158</v>
      </c>
      <c r="X214" s="3" t="s">
        <v>160</v>
      </c>
      <c r="Y214" s="3" t="s">
        <v>1072</v>
      </c>
      <c r="Z214" s="8" t="str">
        <f>HYPERLINK("http://www.hi.is","http://www.hi.is")</f>
        <v>http://www.hi.is</v>
      </c>
      <c r="AA214" s="8" t="str">
        <f>HYPERLINK("http://www.hi.is/adalvefur/stefna_um_opinn_adgang","http://www.hi.is/adalvefur/stefna_um_opinn_adgang")</f>
        <v>http://www.hi.is/adalvefur/stefna_um_opinn_adgang</v>
      </c>
      <c r="AB214" s="8" t="str">
        <f>HYPERLINK("http://www.skemman.is","http://www.skemman.is")</f>
        <v>http://www.skemman.is</v>
      </c>
      <c r="AC214" s="3">
        <v>41821</v>
      </c>
      <c r="AF214" s="3" t="s">
        <v>177</v>
      </c>
      <c r="AG214" s="3" t="s">
        <v>178</v>
      </c>
      <c r="AH214" s="3" t="s">
        <v>370</v>
      </c>
      <c r="AI214" s="3" t="s">
        <v>392</v>
      </c>
      <c r="AJ214" s="3" t="s">
        <v>182</v>
      </c>
      <c r="AK214" s="3" t="s">
        <v>244</v>
      </c>
      <c r="AL214" s="3" t="s">
        <v>185</v>
      </c>
      <c r="AM214" s="3" t="s">
        <v>178</v>
      </c>
      <c r="AN214" s="3" t="s">
        <v>189</v>
      </c>
      <c r="AO214" s="3" t="s">
        <v>392</v>
      </c>
      <c r="AP214" s="3" t="s">
        <v>185</v>
      </c>
      <c r="AQ214" s="3" t="s">
        <v>247</v>
      </c>
      <c r="AR214" s="3" t="s">
        <v>288</v>
      </c>
      <c r="AS214" s="3" t="s">
        <v>185</v>
      </c>
      <c r="AT214" s="3" t="s">
        <v>244</v>
      </c>
      <c r="AU214" s="3" t="s">
        <v>244</v>
      </c>
      <c r="AV214" s="3" t="s">
        <v>244</v>
      </c>
      <c r="AW214" s="3" t="s">
        <v>339</v>
      </c>
      <c r="AX214" s="3" t="s">
        <v>442</v>
      </c>
      <c r="AY214" s="3" t="s">
        <v>247</v>
      </c>
    </row>
    <row r="215" spans="1:51" ht="15.75" customHeight="1">
      <c r="A215" s="3">
        <v>20</v>
      </c>
      <c r="B215" s="5" t="str">
        <f t="shared" si="0"/>
        <v>http://roarmap.eprints.org/20/</v>
      </c>
      <c r="C215" s="3">
        <v>3</v>
      </c>
      <c r="D215" s="3" t="s">
        <v>98</v>
      </c>
      <c r="E215" s="3">
        <v>1</v>
      </c>
      <c r="F215" s="3" t="s">
        <v>1074</v>
      </c>
      <c r="G215" s="3">
        <v>41988.923090277778</v>
      </c>
      <c r="H215" s="3">
        <v>41988.923090277778</v>
      </c>
      <c r="I215" s="3">
        <v>41988.923090277778</v>
      </c>
      <c r="J215" s="3" t="s">
        <v>103</v>
      </c>
      <c r="K215" s="3" t="s">
        <v>105</v>
      </c>
      <c r="L215" s="3" t="s">
        <v>1075</v>
      </c>
      <c r="M215" s="3" t="s">
        <v>352</v>
      </c>
      <c r="N215" s="3" t="s">
        <v>1076</v>
      </c>
      <c r="O215" s="3" t="s">
        <v>1077</v>
      </c>
      <c r="P215" s="3" t="s">
        <v>215</v>
      </c>
      <c r="Q215" t="str">
        <f t="shared" si="17"/>
        <v>http://roarmap.eprints.org/view/country/356.html</v>
      </c>
      <c r="R215" s="3">
        <v>356</v>
      </c>
      <c r="S215" s="6" t="s">
        <v>191</v>
      </c>
      <c r="T215" s="9">
        <v>356</v>
      </c>
      <c r="U215" s="7" t="s">
        <v>118</v>
      </c>
      <c r="V215" s="6" t="s">
        <v>73</v>
      </c>
      <c r="W215" s="3" t="s">
        <v>158</v>
      </c>
      <c r="X215" s="3" t="s">
        <v>160</v>
      </c>
      <c r="Y215" s="3" t="s">
        <v>1075</v>
      </c>
      <c r="Z215" s="8" t="str">
        <f>HYPERLINK("http://www.bdu.ac.in/","http://www.bdu.ac.in/")</f>
        <v>http://www.bdu.ac.in/</v>
      </c>
      <c r="AB215" s="8" t="str">
        <f>HYPERLINK("http://www.bdu.ac.in/about-ckr/","http://www.bdu.ac.in/about-ckr/")</f>
        <v>http://www.bdu.ac.in/about-ckr/</v>
      </c>
      <c r="AC215" s="3">
        <v>39022</v>
      </c>
      <c r="AD215" s="3" t="s">
        <v>1078</v>
      </c>
      <c r="AF215" s="3" t="s">
        <v>177</v>
      </c>
      <c r="AG215" s="3" t="s">
        <v>178</v>
      </c>
      <c r="AH215" s="3" t="s">
        <v>180</v>
      </c>
      <c r="AI215" s="3" t="s">
        <v>244</v>
      </c>
      <c r="AJ215" s="3" t="s">
        <v>182</v>
      </c>
      <c r="AK215" s="3" t="s">
        <v>244</v>
      </c>
      <c r="AL215" s="3" t="s">
        <v>244</v>
      </c>
      <c r="AM215" s="3" t="s">
        <v>247</v>
      </c>
      <c r="AN215" s="3" t="s">
        <v>244</v>
      </c>
      <c r="AO215" s="3" t="s">
        <v>247</v>
      </c>
      <c r="AP215" s="3" t="s">
        <v>244</v>
      </c>
      <c r="AQ215" s="3" t="s">
        <v>247</v>
      </c>
      <c r="AR215" s="3" t="s">
        <v>288</v>
      </c>
      <c r="AS215" s="3" t="s">
        <v>288</v>
      </c>
      <c r="AT215" s="3" t="s">
        <v>244</v>
      </c>
      <c r="AU215" s="3" t="s">
        <v>244</v>
      </c>
      <c r="AV215" s="3" t="s">
        <v>288</v>
      </c>
      <c r="AW215" s="3" t="s">
        <v>371</v>
      </c>
      <c r="AX215" s="3" t="s">
        <v>244</v>
      </c>
      <c r="AY215" s="3" t="s">
        <v>247</v>
      </c>
    </row>
    <row r="216" spans="1:51" ht="15.75" customHeight="1">
      <c r="A216" s="3">
        <v>21</v>
      </c>
      <c r="B216" s="5" t="str">
        <f t="shared" si="0"/>
        <v>http://roarmap.eprints.org/21/</v>
      </c>
      <c r="C216" s="3">
        <v>3</v>
      </c>
      <c r="D216" s="3" t="s">
        <v>98</v>
      </c>
      <c r="E216" s="3">
        <v>1</v>
      </c>
      <c r="F216" s="3" t="s">
        <v>1079</v>
      </c>
      <c r="G216" s="3">
        <v>41988.923090277778</v>
      </c>
      <c r="H216" s="3">
        <v>41988.923090277778</v>
      </c>
      <c r="I216" s="3">
        <v>41988.923090277778</v>
      </c>
      <c r="J216" s="3" t="s">
        <v>103</v>
      </c>
      <c r="K216" s="3" t="s">
        <v>105</v>
      </c>
      <c r="L216" s="3" t="s">
        <v>1080</v>
      </c>
      <c r="M216" s="3" t="s">
        <v>374</v>
      </c>
      <c r="N216" s="3" t="s">
        <v>1081</v>
      </c>
      <c r="O216" s="3" t="s">
        <v>1082</v>
      </c>
      <c r="Q216" t="str">
        <f t="shared" si="17"/>
        <v>http://roarmap.eprints.org/view/country/356.html</v>
      </c>
      <c r="R216" s="3">
        <v>356</v>
      </c>
      <c r="S216" s="6" t="s">
        <v>191</v>
      </c>
      <c r="T216" s="9">
        <v>356</v>
      </c>
      <c r="U216" s="7" t="s">
        <v>118</v>
      </c>
      <c r="V216" s="6" t="s">
        <v>73</v>
      </c>
      <c r="W216" s="3" t="s">
        <v>158</v>
      </c>
      <c r="X216" s="3" t="s">
        <v>376</v>
      </c>
      <c r="Y216" s="3" t="s">
        <v>1080</v>
      </c>
      <c r="Z216" s="8" t="str">
        <f>HYPERLINK("http://www.cgiar.org/","http://www.cgiar.org/")</f>
        <v>http://www.cgiar.org/</v>
      </c>
      <c r="AA216" s="8" t="str">
        <f>HYPERLINK("http://www.cgiar.org/resources/open/","http://www.cgiar.org/resources/open/")</f>
        <v>http://www.cgiar.org/resources/open/</v>
      </c>
      <c r="AC216" s="3">
        <v>41549</v>
      </c>
      <c r="AD216" s="3">
        <v>41549</v>
      </c>
      <c r="AF216" s="3" t="s">
        <v>177</v>
      </c>
      <c r="AG216" s="3" t="s">
        <v>178</v>
      </c>
      <c r="AH216" s="3" t="s">
        <v>370</v>
      </c>
      <c r="AI216" s="3" t="s">
        <v>392</v>
      </c>
      <c r="AJ216" s="3" t="s">
        <v>182</v>
      </c>
      <c r="AK216" s="3" t="s">
        <v>393</v>
      </c>
      <c r="AL216" s="3" t="s">
        <v>189</v>
      </c>
      <c r="AM216" s="3" t="s">
        <v>178</v>
      </c>
      <c r="AN216" s="3" t="s">
        <v>244</v>
      </c>
      <c r="AO216" s="3" t="s">
        <v>378</v>
      </c>
      <c r="AP216" s="3" t="s">
        <v>244</v>
      </c>
      <c r="AQ216" s="3" t="s">
        <v>394</v>
      </c>
      <c r="AR216" s="3" t="s">
        <v>288</v>
      </c>
      <c r="AS216" s="3" t="s">
        <v>189</v>
      </c>
      <c r="AT216" s="3" t="s">
        <v>379</v>
      </c>
      <c r="AU216" s="3" t="s">
        <v>244</v>
      </c>
      <c r="AV216" s="3" t="s">
        <v>244</v>
      </c>
      <c r="AW216" s="3" t="s">
        <v>195</v>
      </c>
      <c r="AX216" s="3" t="s">
        <v>341</v>
      </c>
      <c r="AY216" s="3" t="s">
        <v>247</v>
      </c>
    </row>
    <row r="217" spans="1:51" ht="15.75" customHeight="1">
      <c r="A217" s="3">
        <v>22</v>
      </c>
      <c r="B217" s="5" t="str">
        <f t="shared" si="0"/>
        <v>http://roarmap.eprints.org/22/</v>
      </c>
      <c r="C217" s="3">
        <v>3</v>
      </c>
      <c r="D217" s="3" t="s">
        <v>98</v>
      </c>
      <c r="E217" s="3">
        <v>1</v>
      </c>
      <c r="F217" s="3" t="s">
        <v>1083</v>
      </c>
      <c r="G217" s="3">
        <v>41988.923090277778</v>
      </c>
      <c r="H217" s="3">
        <v>41988.923090277778</v>
      </c>
      <c r="I217" s="3">
        <v>41988.923090277778</v>
      </c>
      <c r="J217" s="3" t="s">
        <v>103</v>
      </c>
      <c r="K217" s="3" t="s">
        <v>105</v>
      </c>
      <c r="L217" s="3" t="s">
        <v>1084</v>
      </c>
      <c r="M217" s="3" t="s">
        <v>374</v>
      </c>
      <c r="N217" s="3" t="s">
        <v>1085</v>
      </c>
      <c r="P217" s="3" t="s">
        <v>215</v>
      </c>
      <c r="Q217" t="str">
        <f t="shared" si="17"/>
        <v>http://roarmap.eprints.org/view/country/356.html</v>
      </c>
      <c r="R217" s="3">
        <v>356</v>
      </c>
      <c r="S217" s="6" t="s">
        <v>191</v>
      </c>
      <c r="T217" s="9">
        <v>356</v>
      </c>
      <c r="U217" s="7" t="s">
        <v>118</v>
      </c>
      <c r="V217" s="6" t="s">
        <v>73</v>
      </c>
      <c r="W217" s="3" t="s">
        <v>158</v>
      </c>
      <c r="X217" s="3" t="s">
        <v>376</v>
      </c>
      <c r="Y217" s="3" t="s">
        <v>1084</v>
      </c>
      <c r="Z217" s="8" t="str">
        <f>HYPERLINK("http://rdpp.csir.res.in/csir_acsir/Home.aspx","http://rdpp.csir.res.in/csir_acsir/Home.aspx")</f>
        <v>http://rdpp.csir.res.in/csir_acsir/Home.aspx</v>
      </c>
      <c r="AA217" s="8" t="str">
        <f>HYPERLINK("http://www.csircentral.net/mandate.pdf","http://www.csircentral.net/mandate.pdf")</f>
        <v>http://www.csircentral.net/mandate.pdf</v>
      </c>
      <c r="AB217" s="8" t="str">
        <f>HYPERLINK("http://opendepot.org/","http://opendepot.org/")</f>
        <v>http://opendepot.org/</v>
      </c>
      <c r="AC217" s="3">
        <v>39850</v>
      </c>
      <c r="AF217" s="3" t="s">
        <v>177</v>
      </c>
      <c r="AG217" s="3" t="s">
        <v>178</v>
      </c>
      <c r="AH217" s="3" t="s">
        <v>180</v>
      </c>
      <c r="AI217" s="3" t="s">
        <v>244</v>
      </c>
      <c r="AJ217" s="3" t="s">
        <v>182</v>
      </c>
      <c r="AK217" s="3" t="s">
        <v>244</v>
      </c>
      <c r="AL217" s="3" t="s">
        <v>244</v>
      </c>
      <c r="AM217" s="3" t="s">
        <v>178</v>
      </c>
      <c r="AN217" s="3" t="s">
        <v>244</v>
      </c>
      <c r="AO217" s="3" t="s">
        <v>247</v>
      </c>
      <c r="AP217" s="3" t="s">
        <v>244</v>
      </c>
      <c r="AQ217" s="3" t="s">
        <v>386</v>
      </c>
      <c r="AR217" s="3" t="s">
        <v>288</v>
      </c>
      <c r="AS217" s="3" t="s">
        <v>185</v>
      </c>
      <c r="AT217" s="3" t="s">
        <v>244</v>
      </c>
      <c r="AU217" s="3" t="s">
        <v>244</v>
      </c>
      <c r="AV217" s="3" t="s">
        <v>288</v>
      </c>
      <c r="AW217" s="3" t="s">
        <v>339</v>
      </c>
      <c r="AX217" s="3" t="s">
        <v>341</v>
      </c>
      <c r="AY217" s="3" t="s">
        <v>247</v>
      </c>
    </row>
    <row r="218" spans="1:51" ht="15.75" customHeight="1">
      <c r="A218" s="3">
        <v>651</v>
      </c>
      <c r="B218" s="5" t="str">
        <f t="shared" si="0"/>
        <v>http://roarmap.eprints.org/651/</v>
      </c>
      <c r="C218" s="3">
        <v>7</v>
      </c>
      <c r="D218" s="3" t="s">
        <v>98</v>
      </c>
      <c r="E218" s="3">
        <v>65</v>
      </c>
      <c r="F218" s="3" t="s">
        <v>1086</v>
      </c>
      <c r="G218" s="3">
        <v>42012.507453703707</v>
      </c>
      <c r="H218" s="3">
        <v>42012.507453703707</v>
      </c>
      <c r="I218" s="3">
        <v>42012.507453703707</v>
      </c>
      <c r="J218" s="3" t="s">
        <v>103</v>
      </c>
      <c r="K218" s="3" t="s">
        <v>105</v>
      </c>
      <c r="L218" s="3" t="s">
        <v>1087</v>
      </c>
      <c r="N218" s="3" t="s">
        <v>1088</v>
      </c>
      <c r="Q218" t="str">
        <f t="shared" si="17"/>
        <v>http://roarmap.eprints.org/view/country/356.html</v>
      </c>
      <c r="R218" s="3">
        <v>356</v>
      </c>
      <c r="S218" s="6" t="s">
        <v>191</v>
      </c>
      <c r="T218" s="9">
        <v>356</v>
      </c>
      <c r="U218" s="7" t="s">
        <v>118</v>
      </c>
      <c r="V218" s="6" t="s">
        <v>73</v>
      </c>
      <c r="W218" s="3" t="s">
        <v>158</v>
      </c>
      <c r="X218" s="3" t="s">
        <v>376</v>
      </c>
      <c r="Y218" s="3" t="s">
        <v>1087</v>
      </c>
      <c r="Z218" s="8" t="str">
        <f>HYPERLINK("http://dst.gov.in/","http://dst.gov.in/")</f>
        <v>http://dst.gov.in/</v>
      </c>
      <c r="AA218" s="8" t="str">
        <f>HYPERLINK("http://dst.gov.in/whats_new/whats_new14/APPROVED%20OPEN%20ACCESS%20POLICY-DBT&amp;DST(12.12.2014).pdf","http://dst.gov.in/whats_new/whats_new14/APPROVED%20OPEN%20ACCESS%20POLICY-DBT&amp;DST(12.12.2014).pdf")</f>
        <v>http://dst.gov.in/whats_new/whats_new14/APPROVED%20OPEN%20ACCESS%20POLICY-DBT&amp;DST(12.12.2014).pdf</v>
      </c>
      <c r="AC218" s="3">
        <v>41985</v>
      </c>
      <c r="AD218" s="3">
        <v>41985</v>
      </c>
      <c r="AF218" s="3" t="s">
        <v>177</v>
      </c>
      <c r="AG218" s="3" t="s">
        <v>178</v>
      </c>
      <c r="AH218" s="3" t="s">
        <v>180</v>
      </c>
      <c r="AI218" s="3" t="s">
        <v>187</v>
      </c>
      <c r="AJ218" s="3" t="s">
        <v>182</v>
      </c>
      <c r="AK218" s="3" t="s">
        <v>393</v>
      </c>
      <c r="AL218" s="3" t="s">
        <v>185</v>
      </c>
      <c r="AM218" s="3" t="s">
        <v>178</v>
      </c>
      <c r="AN218" s="3" t="s">
        <v>244</v>
      </c>
      <c r="AO218" s="3" t="s">
        <v>378</v>
      </c>
      <c r="AP218" s="3" t="s">
        <v>244</v>
      </c>
      <c r="AQ218" s="3" t="s">
        <v>247</v>
      </c>
      <c r="AR218" s="3" t="s">
        <v>244</v>
      </c>
      <c r="AS218" s="3" t="s">
        <v>244</v>
      </c>
      <c r="AT218" s="3" t="s">
        <v>379</v>
      </c>
      <c r="AU218" s="3" t="s">
        <v>395</v>
      </c>
      <c r="AV218" s="3" t="s">
        <v>244</v>
      </c>
      <c r="AW218" s="3" t="s">
        <v>244</v>
      </c>
      <c r="AX218" s="3" t="s">
        <v>244</v>
      </c>
      <c r="AY218" s="3" t="s">
        <v>247</v>
      </c>
    </row>
    <row r="219" spans="1:51" ht="15.75" customHeight="1">
      <c r="A219" s="3">
        <v>635</v>
      </c>
      <c r="B219" s="5" t="str">
        <f t="shared" si="0"/>
        <v>http://roarmap.eprints.org/635/</v>
      </c>
      <c r="C219" s="3">
        <v>3</v>
      </c>
      <c r="D219" s="3" t="s">
        <v>98</v>
      </c>
      <c r="E219" s="3">
        <v>1</v>
      </c>
      <c r="F219" s="3" t="s">
        <v>1089</v>
      </c>
      <c r="G219" s="3">
        <v>41988.924270833333</v>
      </c>
      <c r="H219" s="3">
        <v>41988.924270833333</v>
      </c>
      <c r="I219" s="3">
        <v>41988.924270833333</v>
      </c>
      <c r="J219" s="3" t="s">
        <v>103</v>
      </c>
      <c r="K219" s="3" t="s">
        <v>105</v>
      </c>
      <c r="L219" s="3" t="s">
        <v>1090</v>
      </c>
      <c r="M219" s="3" t="s">
        <v>374</v>
      </c>
      <c r="N219" s="3" t="s">
        <v>1091</v>
      </c>
      <c r="P219" s="3" t="s">
        <v>215</v>
      </c>
      <c r="Q219" t="str">
        <f t="shared" si="17"/>
        <v>http://roarmap.eprints.org/view/country/356.html</v>
      </c>
      <c r="R219" s="3">
        <v>356</v>
      </c>
      <c r="S219" s="6" t="s">
        <v>191</v>
      </c>
      <c r="T219" s="9">
        <v>356</v>
      </c>
      <c r="U219" s="7" t="s">
        <v>118</v>
      </c>
      <c r="V219" s="6" t="s">
        <v>73</v>
      </c>
      <c r="W219" s="3" t="s">
        <v>158</v>
      </c>
      <c r="X219" s="3" t="s">
        <v>160</v>
      </c>
      <c r="Y219" s="3" t="s">
        <v>1090</v>
      </c>
      <c r="Z219" s="8" t="str">
        <f>HYPERLINK("http://www.icrisat.org/","http://www.icrisat.org/")</f>
        <v>http://www.icrisat.org/</v>
      </c>
      <c r="AA219" s="8" t="str">
        <f>HYPERLINK("http://openaccess.eprints.org/index.php?/archives/579-Indias-3rd-Green-Open-Access-Self-Archiving-Mandate-Planets-82nd.html","http://openaccess.eprints.org/index.php?/archives/579-Indias-3rd-Green-Open-Access-Self-Archiving-Mandate-Planets-82nd.html")</f>
        <v>http://openaccess.eprints.org/index.php?/archives/579-Indias-3rd-Green-Open-Access-Self-Archiving-Mandate-Planets-82nd.html</v>
      </c>
      <c r="AB219" s="8" t="str">
        <f>HYPERLINK("http://openaccess.icrisat.org/","http://openaccess.icrisat.org/")</f>
        <v>http://openaccess.icrisat.org/</v>
      </c>
      <c r="AC219" s="3">
        <v>39953</v>
      </c>
      <c r="AF219" s="3" t="s">
        <v>244</v>
      </c>
      <c r="AG219" s="3" t="s">
        <v>244</v>
      </c>
      <c r="AH219" s="3" t="s">
        <v>180</v>
      </c>
      <c r="AI219" s="3" t="s">
        <v>187</v>
      </c>
      <c r="AJ219" s="3" t="s">
        <v>182</v>
      </c>
      <c r="AK219" s="3" t="s">
        <v>393</v>
      </c>
      <c r="AL219" s="3" t="s">
        <v>244</v>
      </c>
      <c r="AM219" s="3" t="s">
        <v>247</v>
      </c>
      <c r="AN219" s="3" t="s">
        <v>244</v>
      </c>
      <c r="AO219" s="3" t="s">
        <v>247</v>
      </c>
      <c r="AP219" s="3" t="s">
        <v>244</v>
      </c>
      <c r="AQ219" s="3" t="s">
        <v>247</v>
      </c>
      <c r="AR219" s="3" t="s">
        <v>288</v>
      </c>
      <c r="AS219" s="3" t="s">
        <v>288</v>
      </c>
      <c r="AT219" s="3" t="s">
        <v>244</v>
      </c>
      <c r="AU219" s="3" t="s">
        <v>244</v>
      </c>
      <c r="AV219" s="3" t="s">
        <v>288</v>
      </c>
      <c r="AW219" s="3" t="s">
        <v>339</v>
      </c>
      <c r="AX219" s="3" t="s">
        <v>244</v>
      </c>
      <c r="AY219" s="3" t="s">
        <v>247</v>
      </c>
    </row>
    <row r="220" spans="1:51" ht="15.75" customHeight="1">
      <c r="A220" s="3">
        <v>739</v>
      </c>
      <c r="B220" s="5" t="str">
        <f t="shared" si="0"/>
        <v>http://roarmap.eprints.org/739/</v>
      </c>
      <c r="C220" s="3">
        <v>12</v>
      </c>
      <c r="D220" s="3" t="s">
        <v>98</v>
      </c>
      <c r="E220" s="3">
        <v>612</v>
      </c>
      <c r="F220" s="3" t="s">
        <v>1092</v>
      </c>
      <c r="G220" s="3">
        <v>42123.432986111111</v>
      </c>
      <c r="H220" s="3">
        <v>42123.432986111111</v>
      </c>
      <c r="I220" s="3">
        <v>42123.432986111111</v>
      </c>
      <c r="J220" s="3" t="s">
        <v>103</v>
      </c>
      <c r="K220" s="3" t="s">
        <v>105</v>
      </c>
      <c r="L220" s="3" t="s">
        <v>1093</v>
      </c>
      <c r="N220" s="3" t="s">
        <v>1094</v>
      </c>
      <c r="O220" s="3" t="s">
        <v>1094</v>
      </c>
      <c r="Q220" t="str">
        <f t="shared" si="17"/>
        <v>http://roarmap.eprints.org/view/country/356.html</v>
      </c>
      <c r="R220" s="3">
        <v>356</v>
      </c>
      <c r="S220" s="6" t="s">
        <v>191</v>
      </c>
      <c r="T220" s="9">
        <v>356</v>
      </c>
      <c r="U220" s="7" t="s">
        <v>118</v>
      </c>
      <c r="V220" s="6" t="s">
        <v>73</v>
      </c>
      <c r="W220" s="3" t="s">
        <v>158</v>
      </c>
      <c r="X220" s="3" t="s">
        <v>384</v>
      </c>
      <c r="Y220" s="3" t="s">
        <v>1093</v>
      </c>
      <c r="Z220" s="8" t="str">
        <f>HYPERLINK("http://iith.ac.in/","http://iith.ac.in/")</f>
        <v>http://iith.ac.in/</v>
      </c>
      <c r="AA220" s="8" t="str">
        <f>HYPERLINK("http://raiith.iith.ac.in/policies.html","http://raiith.iith.ac.in/policies.html")</f>
        <v>http://raiith.iith.ac.in/policies.html</v>
      </c>
      <c r="AB220" s="8" t="str">
        <f>HYPERLINK("http://raiith.iith.ac.in/","http://raiith.iith.ac.in/")</f>
        <v>http://raiith.iith.ac.in/</v>
      </c>
      <c r="AC220" s="3">
        <v>41895</v>
      </c>
      <c r="AF220" s="3" t="s">
        <v>244</v>
      </c>
      <c r="AG220" s="3" t="s">
        <v>244</v>
      </c>
      <c r="AH220" s="3" t="s">
        <v>180</v>
      </c>
      <c r="AI220" s="3" t="s">
        <v>187</v>
      </c>
      <c r="AJ220" s="3" t="s">
        <v>182</v>
      </c>
      <c r="AK220" s="3" t="s">
        <v>393</v>
      </c>
      <c r="AL220" s="3" t="s">
        <v>244</v>
      </c>
      <c r="AM220" s="3" t="s">
        <v>247</v>
      </c>
      <c r="AN220" s="3" t="s">
        <v>244</v>
      </c>
      <c r="AO220" s="3" t="s">
        <v>247</v>
      </c>
      <c r="AP220" s="3" t="s">
        <v>244</v>
      </c>
      <c r="AQ220" s="3" t="s">
        <v>247</v>
      </c>
      <c r="AR220" s="3" t="s">
        <v>244</v>
      </c>
      <c r="AS220" s="3" t="s">
        <v>244</v>
      </c>
      <c r="AT220" s="3" t="s">
        <v>244</v>
      </c>
      <c r="AU220" s="3" t="s">
        <v>244</v>
      </c>
      <c r="AV220" s="3" t="s">
        <v>288</v>
      </c>
      <c r="AW220" s="3" t="s">
        <v>339</v>
      </c>
      <c r="AX220" s="3" t="s">
        <v>244</v>
      </c>
      <c r="AY220" s="3" t="s">
        <v>247</v>
      </c>
    </row>
    <row r="221" spans="1:51" ht="15.75" customHeight="1">
      <c r="A221" s="3">
        <v>23</v>
      </c>
      <c r="B221" s="5" t="str">
        <f t="shared" si="0"/>
        <v>http://roarmap.eprints.org/23/</v>
      </c>
      <c r="C221" s="3">
        <v>3</v>
      </c>
      <c r="D221" s="3" t="s">
        <v>98</v>
      </c>
      <c r="E221" s="3">
        <v>1</v>
      </c>
      <c r="F221" s="3" t="s">
        <v>1095</v>
      </c>
      <c r="G221" s="3">
        <v>41988.923090277778</v>
      </c>
      <c r="H221" s="3">
        <v>41988.923090277778</v>
      </c>
      <c r="I221" s="3">
        <v>41988.923090277778</v>
      </c>
      <c r="J221" s="3" t="s">
        <v>103</v>
      </c>
      <c r="K221" s="3" t="s">
        <v>105</v>
      </c>
      <c r="L221" s="3" t="s">
        <v>1096</v>
      </c>
      <c r="M221" s="3" t="s">
        <v>374</v>
      </c>
      <c r="N221" s="3" t="s">
        <v>1097</v>
      </c>
      <c r="P221" s="3" t="s">
        <v>215</v>
      </c>
      <c r="Q221" t="str">
        <f t="shared" si="17"/>
        <v>http://roarmap.eprints.org/view/country/356.html</v>
      </c>
      <c r="R221" s="3">
        <v>356</v>
      </c>
      <c r="S221" s="6" t="s">
        <v>191</v>
      </c>
      <c r="T221" s="9">
        <v>356</v>
      </c>
      <c r="U221" s="7" t="s">
        <v>118</v>
      </c>
      <c r="V221" s="6" t="s">
        <v>73</v>
      </c>
      <c r="W221" s="3" t="s">
        <v>158</v>
      </c>
      <c r="X221" s="3" t="s">
        <v>376</v>
      </c>
      <c r="Y221" s="3" t="s">
        <v>1096</v>
      </c>
      <c r="Z221" s="8" t="str">
        <f>HYPERLINK("http://www.icar.org.in/","http://www.icar.org.in/")</f>
        <v>http://www.icar.org.in/</v>
      </c>
      <c r="AA221" s="8" t="str">
        <f>HYPERLINK("http://icar.org.in/en/node/6609","http://icar.org.in/en/node/6609")</f>
        <v>http://icar.org.in/en/node/6609</v>
      </c>
      <c r="AB221" s="3" t="s">
        <v>1098</v>
      </c>
      <c r="AC221" s="3">
        <v>41413</v>
      </c>
      <c r="AD221" s="3">
        <v>41413</v>
      </c>
      <c r="AF221" s="3" t="s">
        <v>177</v>
      </c>
      <c r="AG221" s="3" t="s">
        <v>178</v>
      </c>
      <c r="AH221" s="3" t="s">
        <v>180</v>
      </c>
      <c r="AI221" s="3" t="s">
        <v>187</v>
      </c>
      <c r="AJ221" s="3" t="s">
        <v>182</v>
      </c>
      <c r="AK221" s="3" t="s">
        <v>393</v>
      </c>
      <c r="AL221" s="3" t="s">
        <v>189</v>
      </c>
      <c r="AM221" s="3" t="s">
        <v>178</v>
      </c>
      <c r="AN221" s="3" t="s">
        <v>244</v>
      </c>
      <c r="AO221" s="3" t="s">
        <v>378</v>
      </c>
      <c r="AP221" s="3" t="s">
        <v>244</v>
      </c>
      <c r="AQ221" s="3" t="s">
        <v>386</v>
      </c>
      <c r="AR221" s="3" t="s">
        <v>288</v>
      </c>
      <c r="AS221" s="3" t="s">
        <v>185</v>
      </c>
      <c r="AT221" s="3" t="s">
        <v>395</v>
      </c>
      <c r="AU221" s="3" t="s">
        <v>244</v>
      </c>
      <c r="AV221" s="3" t="s">
        <v>288</v>
      </c>
      <c r="AW221" s="3" t="s">
        <v>195</v>
      </c>
      <c r="AX221" s="3" t="s">
        <v>244</v>
      </c>
      <c r="AY221" s="3" t="s">
        <v>247</v>
      </c>
    </row>
    <row r="222" spans="1:51" ht="15.75" customHeight="1">
      <c r="A222" s="3">
        <v>24</v>
      </c>
      <c r="B222" s="5" t="str">
        <f t="shared" si="0"/>
        <v>http://roarmap.eprints.org/24/</v>
      </c>
      <c r="C222" s="3">
        <v>4</v>
      </c>
      <c r="D222" s="3" t="s">
        <v>98</v>
      </c>
      <c r="E222" s="3">
        <v>229</v>
      </c>
      <c r="F222" s="3" t="s">
        <v>1099</v>
      </c>
      <c r="G222" s="3">
        <v>41988.923090277778</v>
      </c>
      <c r="H222" s="3">
        <v>42046.981631944444</v>
      </c>
      <c r="I222" s="3">
        <v>41988.923090277778</v>
      </c>
      <c r="J222" s="3" t="s">
        <v>103</v>
      </c>
      <c r="K222" s="3" t="s">
        <v>105</v>
      </c>
      <c r="L222" s="3" t="s">
        <v>1100</v>
      </c>
      <c r="M222" s="3" t="s">
        <v>374</v>
      </c>
      <c r="P222" s="3" t="s">
        <v>215</v>
      </c>
      <c r="Q222" t="str">
        <f t="shared" si="17"/>
        <v>http://roarmap.eprints.org/view/country/356.html</v>
      </c>
      <c r="R222" s="3">
        <v>356</v>
      </c>
      <c r="S222" s="6" t="s">
        <v>191</v>
      </c>
      <c r="T222" s="9">
        <v>356</v>
      </c>
      <c r="U222" s="7" t="s">
        <v>118</v>
      </c>
      <c r="V222" s="6" t="s">
        <v>73</v>
      </c>
      <c r="W222" s="3" t="s">
        <v>158</v>
      </c>
      <c r="X222" s="3" t="s">
        <v>364</v>
      </c>
      <c r="Y222" s="3" t="s">
        <v>1100</v>
      </c>
      <c r="Z222" s="8" t="str">
        <f>HYPERLINK("http://www.iihr.ernet.in/","http://www.iihr.ernet.in/")</f>
        <v>http://www.iihr.ernet.in/</v>
      </c>
      <c r="AA222" s="8" t="str">
        <f>HYPERLINK("http://erepo.iihr.ernet.in/","http://erepo.iihr.ernet.in/")</f>
        <v>http://erepo.iihr.ernet.in/</v>
      </c>
      <c r="AB222" s="8" t="str">
        <f>HYPERLINK("http://www.erepo.iihr.ernet.in/","http://www.erepo.iihr.ernet.in/")</f>
        <v>http://www.erepo.iihr.ernet.in/</v>
      </c>
      <c r="AF222" s="3" t="s">
        <v>177</v>
      </c>
      <c r="AG222" s="3" t="s">
        <v>178</v>
      </c>
      <c r="AH222" s="3" t="s">
        <v>180</v>
      </c>
      <c r="AI222" s="3" t="s">
        <v>244</v>
      </c>
      <c r="AJ222" s="3" t="s">
        <v>182</v>
      </c>
      <c r="AK222" s="3" t="s">
        <v>393</v>
      </c>
      <c r="AL222" s="3" t="s">
        <v>244</v>
      </c>
      <c r="AM222" s="3" t="s">
        <v>247</v>
      </c>
      <c r="AN222" s="3" t="s">
        <v>244</v>
      </c>
      <c r="AO222" s="3" t="s">
        <v>247</v>
      </c>
      <c r="AP222" s="3" t="s">
        <v>189</v>
      </c>
      <c r="AQ222" s="3" t="s">
        <v>386</v>
      </c>
      <c r="AR222" s="3" t="s">
        <v>288</v>
      </c>
      <c r="AS222" s="3" t="s">
        <v>288</v>
      </c>
      <c r="AT222" s="3" t="s">
        <v>244</v>
      </c>
      <c r="AU222" s="3" t="s">
        <v>244</v>
      </c>
      <c r="AV222" s="3" t="s">
        <v>288</v>
      </c>
      <c r="AW222" s="3" t="s">
        <v>339</v>
      </c>
      <c r="AX222" s="3" t="s">
        <v>244</v>
      </c>
      <c r="AY222" s="3" t="s">
        <v>247</v>
      </c>
    </row>
    <row r="223" spans="1:51" ht="15.75" customHeight="1">
      <c r="A223" s="3">
        <v>26</v>
      </c>
      <c r="B223" s="5" t="str">
        <f t="shared" si="0"/>
        <v>http://roarmap.eprints.org/26/</v>
      </c>
      <c r="C223" s="3">
        <v>4</v>
      </c>
      <c r="D223" s="3" t="s">
        <v>98</v>
      </c>
      <c r="E223" s="3">
        <v>230</v>
      </c>
      <c r="F223" s="3" t="s">
        <v>1101</v>
      </c>
      <c r="G223" s="3">
        <v>41988.923090277778</v>
      </c>
      <c r="H223" s="3">
        <v>42046.981631944444</v>
      </c>
      <c r="I223" s="3">
        <v>41988.923090277778</v>
      </c>
      <c r="J223" s="3" t="s">
        <v>103</v>
      </c>
      <c r="K223" s="3" t="s">
        <v>105</v>
      </c>
      <c r="L223" s="3" t="s">
        <v>1102</v>
      </c>
      <c r="M223" s="3" t="s">
        <v>352</v>
      </c>
      <c r="N223" s="3" t="s">
        <v>1103</v>
      </c>
      <c r="P223" s="3" t="s">
        <v>215</v>
      </c>
      <c r="Q223" t="str">
        <f t="shared" si="17"/>
        <v>http://roarmap.eprints.org/view/country/356.html</v>
      </c>
      <c r="R223" s="3">
        <v>356</v>
      </c>
      <c r="S223" s="6" t="s">
        <v>191</v>
      </c>
      <c r="T223" s="9">
        <v>356</v>
      </c>
      <c r="U223" s="7" t="s">
        <v>118</v>
      </c>
      <c r="V223" s="6" t="s">
        <v>73</v>
      </c>
      <c r="W223" s="3" t="s">
        <v>158</v>
      </c>
      <c r="X223" s="3" t="s">
        <v>160</v>
      </c>
      <c r="Y223" s="3" t="s">
        <v>1102</v>
      </c>
      <c r="Z223" s="8" t="str">
        <f>HYPERLINK("http://msubaroda.ac.in/","http://msubaroda.ac.in/")</f>
        <v>http://msubaroda.ac.in/</v>
      </c>
      <c r="AB223" s="8" t="str">
        <f>HYPERLINK("http://14.139.121.106:8080/jspui/","http://14.139.121.106:8080/jspui/")</f>
        <v>http://14.139.121.106:8080/jspui/</v>
      </c>
      <c r="AC223" s="3">
        <v>41376</v>
      </c>
      <c r="AF223" s="3" t="s">
        <v>177</v>
      </c>
      <c r="AG223" s="3" t="s">
        <v>244</v>
      </c>
      <c r="AH223" s="3" t="s">
        <v>180</v>
      </c>
      <c r="AI223" s="3" t="s">
        <v>244</v>
      </c>
      <c r="AJ223" s="3" t="s">
        <v>244</v>
      </c>
      <c r="AK223" s="3" t="s">
        <v>244</v>
      </c>
      <c r="AL223" s="3" t="s">
        <v>244</v>
      </c>
      <c r="AM223" s="3" t="s">
        <v>247</v>
      </c>
      <c r="AN223" s="3" t="s">
        <v>244</v>
      </c>
      <c r="AO223" s="3" t="s">
        <v>247</v>
      </c>
      <c r="AP223" s="3" t="s">
        <v>244</v>
      </c>
      <c r="AQ223" s="3" t="s">
        <v>386</v>
      </c>
      <c r="AR223" s="3" t="s">
        <v>288</v>
      </c>
      <c r="AS223" s="3" t="s">
        <v>288</v>
      </c>
      <c r="AT223" s="3" t="s">
        <v>244</v>
      </c>
      <c r="AU223" s="3" t="s">
        <v>244</v>
      </c>
      <c r="AV223" s="3" t="s">
        <v>288</v>
      </c>
      <c r="AW223" s="3" t="s">
        <v>371</v>
      </c>
      <c r="AX223" s="3" t="s">
        <v>244</v>
      </c>
      <c r="AY223" s="3" t="s">
        <v>247</v>
      </c>
    </row>
    <row r="224" spans="1:51" ht="15.75" customHeight="1">
      <c r="A224" s="3">
        <v>27</v>
      </c>
      <c r="B224" s="5" t="str">
        <f t="shared" si="0"/>
        <v>http://roarmap.eprints.org/27/</v>
      </c>
      <c r="C224" s="3">
        <v>3</v>
      </c>
      <c r="D224" s="3" t="s">
        <v>98</v>
      </c>
      <c r="E224" s="3">
        <v>1</v>
      </c>
      <c r="F224" s="3" t="s">
        <v>1104</v>
      </c>
      <c r="G224" s="3">
        <v>41988.923090277778</v>
      </c>
      <c r="H224" s="3">
        <v>41988.923090277778</v>
      </c>
      <c r="I224" s="3">
        <v>41988.923090277778</v>
      </c>
      <c r="J224" s="3" t="s">
        <v>103</v>
      </c>
      <c r="K224" s="3" t="s">
        <v>105</v>
      </c>
      <c r="L224" s="3" t="s">
        <v>1105</v>
      </c>
      <c r="M224" s="3" t="s">
        <v>352</v>
      </c>
      <c r="N224" s="3" t="s">
        <v>1106</v>
      </c>
      <c r="O224" s="3" t="s">
        <v>1107</v>
      </c>
      <c r="P224" s="3" t="s">
        <v>215</v>
      </c>
      <c r="Q224" t="str">
        <f t="shared" si="17"/>
        <v>http://roarmap.eprints.org/view/country/356.html</v>
      </c>
      <c r="R224" s="3">
        <v>356</v>
      </c>
      <c r="S224" s="6" t="s">
        <v>191</v>
      </c>
      <c r="T224" s="9">
        <v>356</v>
      </c>
      <c r="U224" s="7" t="s">
        <v>118</v>
      </c>
      <c r="V224" s="6" t="s">
        <v>73</v>
      </c>
      <c r="W224" s="3" t="s">
        <v>158</v>
      </c>
      <c r="X224" s="3" t="s">
        <v>160</v>
      </c>
      <c r="Y224" s="3" t="s">
        <v>1105</v>
      </c>
      <c r="Z224" s="8" t="str">
        <f>HYPERLINK("http://mkuniversity.org/main/","http://mkuniversity.org/main/")</f>
        <v>http://mkuniversity.org/main/</v>
      </c>
      <c r="AG224" s="3" t="s">
        <v>244</v>
      </c>
      <c r="AH224" s="3" t="s">
        <v>244</v>
      </c>
      <c r="AI224" s="3" t="s">
        <v>244</v>
      </c>
      <c r="AJ224" s="3" t="s">
        <v>244</v>
      </c>
      <c r="AK224" s="3" t="s">
        <v>244</v>
      </c>
      <c r="AL224" s="3" t="s">
        <v>244</v>
      </c>
      <c r="AM224" s="3" t="s">
        <v>247</v>
      </c>
      <c r="AN224" s="3" t="s">
        <v>244</v>
      </c>
      <c r="AO224" s="3" t="s">
        <v>247</v>
      </c>
      <c r="AP224" s="3" t="s">
        <v>244</v>
      </c>
      <c r="AQ224" s="3" t="s">
        <v>247</v>
      </c>
      <c r="AR224" s="3" t="s">
        <v>288</v>
      </c>
      <c r="AS224" s="3" t="s">
        <v>244</v>
      </c>
      <c r="AT224" s="3" t="s">
        <v>244</v>
      </c>
      <c r="AU224" s="3" t="s">
        <v>244</v>
      </c>
      <c r="AV224" s="3" t="s">
        <v>288</v>
      </c>
      <c r="AW224" s="3" t="s">
        <v>244</v>
      </c>
      <c r="AX224" s="3" t="s">
        <v>244</v>
      </c>
      <c r="AY224" s="3" t="s">
        <v>247</v>
      </c>
    </row>
    <row r="225" spans="1:51" ht="15.75" customHeight="1">
      <c r="A225" s="3">
        <v>28</v>
      </c>
      <c r="B225" s="5" t="str">
        <f t="shared" si="0"/>
        <v>http://roarmap.eprints.org/28/</v>
      </c>
      <c r="C225" s="3">
        <v>3</v>
      </c>
      <c r="D225" s="3" t="s">
        <v>98</v>
      </c>
      <c r="E225" s="3">
        <v>1</v>
      </c>
      <c r="F225" s="3" t="s">
        <v>1108</v>
      </c>
      <c r="G225" s="3">
        <v>41988.923101851855</v>
      </c>
      <c r="H225" s="3">
        <v>41988.923101851855</v>
      </c>
      <c r="I225" s="3">
        <v>41988.923101851855</v>
      </c>
      <c r="J225" s="3" t="s">
        <v>103</v>
      </c>
      <c r="K225" s="3" t="s">
        <v>105</v>
      </c>
      <c r="L225" s="3" t="s">
        <v>1109</v>
      </c>
      <c r="M225" s="3" t="s">
        <v>637</v>
      </c>
      <c r="N225" s="3" t="s">
        <v>1110</v>
      </c>
      <c r="O225" s="3" t="s">
        <v>1111</v>
      </c>
      <c r="P225" s="3" t="s">
        <v>215</v>
      </c>
      <c r="Q225" t="str">
        <f t="shared" si="17"/>
        <v>http://roarmap.eprints.org/view/country/356.html</v>
      </c>
      <c r="R225" s="3">
        <v>356</v>
      </c>
      <c r="S225" s="6" t="s">
        <v>191</v>
      </c>
      <c r="T225" s="9">
        <v>356</v>
      </c>
      <c r="U225" s="7" t="s">
        <v>118</v>
      </c>
      <c r="V225" s="6" t="s">
        <v>73</v>
      </c>
      <c r="W225" s="3" t="s">
        <v>158</v>
      </c>
      <c r="X225" s="3" t="s">
        <v>160</v>
      </c>
      <c r="Y225" s="3" t="s">
        <v>1109</v>
      </c>
      <c r="Z225" s="8" t="str">
        <f>HYPERLINK("http://www.mguniversity.edu/","http://www.mguniversity.edu/")</f>
        <v>http://www.mguniversity.edu/</v>
      </c>
      <c r="AB225" s="8" t="str">
        <f>HYPERLINK("http://mgutheses.in/","http://mgutheses.in/")</f>
        <v>http://mgutheses.in/</v>
      </c>
      <c r="AC225" s="3">
        <v>39761</v>
      </c>
      <c r="AD225" s="3">
        <v>39761</v>
      </c>
      <c r="AF225" s="3" t="s">
        <v>177</v>
      </c>
      <c r="AG225" s="3" t="s">
        <v>178</v>
      </c>
      <c r="AH225" s="3" t="s">
        <v>180</v>
      </c>
      <c r="AI225" s="3" t="s">
        <v>371</v>
      </c>
      <c r="AJ225" s="3" t="s">
        <v>385</v>
      </c>
      <c r="AK225" s="3" t="s">
        <v>371</v>
      </c>
      <c r="AL225" s="3" t="s">
        <v>185</v>
      </c>
      <c r="AM225" s="3" t="s">
        <v>178</v>
      </c>
      <c r="AN225" s="3" t="s">
        <v>244</v>
      </c>
      <c r="AO225" s="3" t="s">
        <v>621</v>
      </c>
      <c r="AP225" s="3" t="s">
        <v>185</v>
      </c>
      <c r="AQ225" s="3" t="s">
        <v>190</v>
      </c>
      <c r="AR225" s="3" t="s">
        <v>288</v>
      </c>
      <c r="AS225" s="3" t="s">
        <v>288</v>
      </c>
      <c r="AT225" s="3" t="s">
        <v>244</v>
      </c>
      <c r="AU225" s="3" t="s">
        <v>244</v>
      </c>
      <c r="AV225" s="3" t="s">
        <v>288</v>
      </c>
      <c r="AW225" s="3" t="s">
        <v>339</v>
      </c>
      <c r="AX225" s="3" t="s">
        <v>244</v>
      </c>
      <c r="AY225" s="3" t="s">
        <v>247</v>
      </c>
    </row>
    <row r="226" spans="1:51" ht="15.75" customHeight="1">
      <c r="A226" s="3">
        <v>29</v>
      </c>
      <c r="B226" s="5" t="str">
        <f t="shared" si="0"/>
        <v>http://roarmap.eprints.org/29/</v>
      </c>
      <c r="C226" s="3">
        <v>3</v>
      </c>
      <c r="D226" s="3" t="s">
        <v>98</v>
      </c>
      <c r="E226" s="3">
        <v>1</v>
      </c>
      <c r="F226" s="3" t="s">
        <v>1112</v>
      </c>
      <c r="G226" s="3">
        <v>41988.923101851855</v>
      </c>
      <c r="H226" s="3">
        <v>41988.923101851855</v>
      </c>
      <c r="I226" s="3">
        <v>41988.923101851855</v>
      </c>
      <c r="J226" s="3" t="s">
        <v>103</v>
      </c>
      <c r="K226" s="3" t="s">
        <v>105</v>
      </c>
      <c r="L226" s="3" t="s">
        <v>1113</v>
      </c>
      <c r="M226" s="3" t="s">
        <v>352</v>
      </c>
      <c r="N226" s="3" t="s">
        <v>1114</v>
      </c>
      <c r="O226" s="3" t="s">
        <v>1115</v>
      </c>
      <c r="P226" s="3" t="s">
        <v>215</v>
      </c>
      <c r="Q226" t="str">
        <f t="shared" si="17"/>
        <v>http://roarmap.eprints.org/view/country/356.html</v>
      </c>
      <c r="R226" s="3">
        <v>356</v>
      </c>
      <c r="S226" s="6" t="s">
        <v>191</v>
      </c>
      <c r="T226" s="9">
        <v>356</v>
      </c>
      <c r="U226" s="7" t="s">
        <v>118</v>
      </c>
      <c r="V226" s="6" t="s">
        <v>73</v>
      </c>
      <c r="W226" s="3" t="s">
        <v>158</v>
      </c>
      <c r="X226" s="3" t="s">
        <v>160</v>
      </c>
      <c r="Y226" s="3" t="s">
        <v>1113</v>
      </c>
      <c r="Z226" s="8" t="str">
        <f>HYPERLINK("http://www.nio.org/","http://www.nio.org/")</f>
        <v>http://www.nio.org/</v>
      </c>
      <c r="AB226" s="8" t="str">
        <f>HYPERLINK("http://drs.nio.org/drs/index.jsp","http://drs.nio.org/drs/index.jsp")</f>
        <v>http://drs.nio.org/drs/index.jsp</v>
      </c>
      <c r="AC226" s="3">
        <v>40518</v>
      </c>
      <c r="AF226" s="3" t="s">
        <v>177</v>
      </c>
      <c r="AG226" s="3" t="s">
        <v>178</v>
      </c>
      <c r="AH226" s="3" t="s">
        <v>180</v>
      </c>
      <c r="AI226" s="3" t="s">
        <v>181</v>
      </c>
      <c r="AJ226" s="3" t="s">
        <v>182</v>
      </c>
      <c r="AK226" s="3" t="s">
        <v>393</v>
      </c>
      <c r="AL226" s="3" t="s">
        <v>244</v>
      </c>
      <c r="AM226" s="3" t="s">
        <v>178</v>
      </c>
      <c r="AN226" s="3" t="s">
        <v>189</v>
      </c>
      <c r="AO226" s="3" t="s">
        <v>181</v>
      </c>
      <c r="AP226" s="3" t="s">
        <v>244</v>
      </c>
      <c r="AQ226" s="3" t="s">
        <v>386</v>
      </c>
      <c r="AR226" s="3" t="s">
        <v>288</v>
      </c>
      <c r="AS226" s="3" t="s">
        <v>288</v>
      </c>
      <c r="AT226" s="3" t="s">
        <v>244</v>
      </c>
      <c r="AU226" s="3" t="s">
        <v>244</v>
      </c>
      <c r="AV226" s="3" t="s">
        <v>288</v>
      </c>
      <c r="AW226" s="3" t="s">
        <v>339</v>
      </c>
      <c r="AX226" s="3" t="s">
        <v>244</v>
      </c>
      <c r="AY226" s="3" t="s">
        <v>247</v>
      </c>
    </row>
    <row r="227" spans="1:51" ht="15.75" customHeight="1">
      <c r="A227" s="3">
        <v>30</v>
      </c>
      <c r="B227" s="5" t="str">
        <f t="shared" si="0"/>
        <v>http://roarmap.eprints.org/30/</v>
      </c>
      <c r="C227" s="3">
        <v>3</v>
      </c>
      <c r="D227" s="3" t="s">
        <v>98</v>
      </c>
      <c r="E227" s="3">
        <v>1</v>
      </c>
      <c r="F227" s="3" t="s">
        <v>1116</v>
      </c>
      <c r="G227" s="3">
        <v>41988.923101851855</v>
      </c>
      <c r="H227" s="3">
        <v>41988.923101851855</v>
      </c>
      <c r="I227" s="3">
        <v>41988.923101851855</v>
      </c>
      <c r="J227" s="3" t="s">
        <v>103</v>
      </c>
      <c r="K227" s="3" t="s">
        <v>105</v>
      </c>
      <c r="L227" s="3" t="s">
        <v>1117</v>
      </c>
      <c r="M227" s="3" t="s">
        <v>532</v>
      </c>
      <c r="N227" s="3" t="s">
        <v>1118</v>
      </c>
      <c r="O227" s="3" t="s">
        <v>1119</v>
      </c>
      <c r="P227" s="3" t="s">
        <v>215</v>
      </c>
      <c r="Q227" t="str">
        <f t="shared" si="17"/>
        <v>http://roarmap.eprints.org/view/country/356.html</v>
      </c>
      <c r="R227" s="3">
        <v>356</v>
      </c>
      <c r="S227" s="6" t="s">
        <v>191</v>
      </c>
      <c r="T227" s="9">
        <v>356</v>
      </c>
      <c r="U227" s="7" t="s">
        <v>118</v>
      </c>
      <c r="V227" s="6" t="s">
        <v>73</v>
      </c>
      <c r="W227" s="3" t="s">
        <v>158</v>
      </c>
      <c r="X227" s="3" t="s">
        <v>160</v>
      </c>
      <c r="Y227" s="3" t="s">
        <v>1117</v>
      </c>
      <c r="Z227" s="8" t="str">
        <f>HYPERLINK("http://www.nitrkl.ac.in/","http://www.nitrkl.ac.in/")</f>
        <v>http://www.nitrkl.ac.in/</v>
      </c>
      <c r="AB227" s="8" t="str">
        <f>HYPERLINK("http://dspace.nitrkl.ac.in/dspace/","http://dspace.nitrkl.ac.in/dspace/")</f>
        <v>http://dspace.nitrkl.ac.in/dspace/</v>
      </c>
      <c r="AC227" s="3">
        <v>38849</v>
      </c>
      <c r="AD227" s="3">
        <v>38849</v>
      </c>
      <c r="AF227" s="3" t="s">
        <v>177</v>
      </c>
      <c r="AG227" s="3" t="s">
        <v>178</v>
      </c>
      <c r="AH227" s="3" t="s">
        <v>180</v>
      </c>
      <c r="AI227" s="3" t="s">
        <v>244</v>
      </c>
      <c r="AJ227" s="3" t="s">
        <v>182</v>
      </c>
      <c r="AK227" s="3" t="s">
        <v>393</v>
      </c>
      <c r="AL227" s="3" t="s">
        <v>244</v>
      </c>
      <c r="AM227" s="3" t="s">
        <v>178</v>
      </c>
      <c r="AN227" s="3" t="s">
        <v>244</v>
      </c>
      <c r="AO227" s="3" t="s">
        <v>247</v>
      </c>
      <c r="AP227" s="3" t="s">
        <v>244</v>
      </c>
      <c r="AQ227" s="3" t="s">
        <v>386</v>
      </c>
      <c r="AR227" s="3" t="s">
        <v>288</v>
      </c>
      <c r="AS227" s="3" t="s">
        <v>288</v>
      </c>
      <c r="AT227" s="3" t="s">
        <v>244</v>
      </c>
      <c r="AU227" s="3" t="s">
        <v>244</v>
      </c>
      <c r="AV227" s="3" t="s">
        <v>288</v>
      </c>
      <c r="AW227" s="3" t="s">
        <v>339</v>
      </c>
      <c r="AX227" s="3" t="s">
        <v>244</v>
      </c>
      <c r="AY227" s="3" t="s">
        <v>247</v>
      </c>
    </row>
    <row r="228" spans="1:51" ht="15.75" customHeight="1">
      <c r="A228" s="3">
        <v>25</v>
      </c>
      <c r="B228" s="5" t="str">
        <f t="shared" si="0"/>
        <v>http://roarmap.eprints.org/25/</v>
      </c>
      <c r="C228" s="3">
        <v>3</v>
      </c>
      <c r="D228" s="3" t="s">
        <v>98</v>
      </c>
      <c r="E228" s="3">
        <v>1</v>
      </c>
      <c r="F228" s="3" t="s">
        <v>1120</v>
      </c>
      <c r="G228" s="3">
        <v>41988.923090277778</v>
      </c>
      <c r="H228" s="3">
        <v>41988.923090277778</v>
      </c>
      <c r="I228" s="3">
        <v>41988.923090277778</v>
      </c>
      <c r="J228" s="3" t="s">
        <v>103</v>
      </c>
      <c r="K228" s="3" t="s">
        <v>105</v>
      </c>
      <c r="L228" s="3" t="s">
        <v>1121</v>
      </c>
      <c r="M228" s="3" t="s">
        <v>352</v>
      </c>
      <c r="N228" s="3" t="s">
        <v>1122</v>
      </c>
      <c r="O228" s="3" t="s">
        <v>1123</v>
      </c>
      <c r="P228" s="3" t="s">
        <v>215</v>
      </c>
      <c r="Q228" t="str">
        <f t="shared" si="17"/>
        <v>http://roarmap.eprints.org/view/country/356.html</v>
      </c>
      <c r="R228" s="3">
        <v>356</v>
      </c>
      <c r="S228" s="6" t="s">
        <v>191</v>
      </c>
      <c r="T228" s="9">
        <v>356</v>
      </c>
      <c r="U228" s="7" t="s">
        <v>118</v>
      </c>
      <c r="V228" s="6" t="s">
        <v>73</v>
      </c>
      <c r="W228" s="3" t="s">
        <v>158</v>
      </c>
      <c r="X228" s="3" t="s">
        <v>376</v>
      </c>
      <c r="Y228" s="3" t="s">
        <v>1121</v>
      </c>
      <c r="Z228" s="8" t="str">
        <f>HYPERLINK("http://knowledgecommission.gov.in/","http://knowledgecommission.gov.in/")</f>
        <v>http://knowledgecommission.gov.in/</v>
      </c>
      <c r="AB228" s="3" t="s">
        <v>1124</v>
      </c>
      <c r="AC228" s="3">
        <v>39057</v>
      </c>
      <c r="AE228" s="3">
        <v>39388</v>
      </c>
      <c r="AF228" s="3" t="s">
        <v>177</v>
      </c>
      <c r="AG228" s="3" t="s">
        <v>333</v>
      </c>
      <c r="AH228" s="3" t="s">
        <v>180</v>
      </c>
      <c r="AI228" s="3" t="s">
        <v>244</v>
      </c>
      <c r="AJ228" s="3" t="s">
        <v>182</v>
      </c>
      <c r="AK228" s="3" t="s">
        <v>244</v>
      </c>
      <c r="AL228" s="3" t="s">
        <v>288</v>
      </c>
      <c r="AM228" s="3" t="s">
        <v>247</v>
      </c>
      <c r="AN228" s="3" t="s">
        <v>244</v>
      </c>
      <c r="AO228" s="3" t="s">
        <v>247</v>
      </c>
      <c r="AP228" s="3" t="s">
        <v>244</v>
      </c>
      <c r="AQ228" s="3" t="s">
        <v>386</v>
      </c>
      <c r="AR228" s="3" t="s">
        <v>288</v>
      </c>
      <c r="AS228" s="3" t="s">
        <v>288</v>
      </c>
      <c r="AT228" s="3" t="s">
        <v>244</v>
      </c>
      <c r="AU228" s="3" t="s">
        <v>244</v>
      </c>
      <c r="AV228" s="3" t="s">
        <v>288</v>
      </c>
      <c r="AW228" s="3" t="s">
        <v>339</v>
      </c>
      <c r="AX228" s="3" t="s">
        <v>244</v>
      </c>
      <c r="AY228" s="3" t="s">
        <v>247</v>
      </c>
    </row>
    <row r="229" spans="1:51" ht="15.75" customHeight="1">
      <c r="A229" s="3">
        <v>31</v>
      </c>
      <c r="B229" s="5" t="str">
        <f t="shared" si="0"/>
        <v>http://roarmap.eprints.org/31/</v>
      </c>
      <c r="C229" s="3">
        <v>3</v>
      </c>
      <c r="D229" s="3" t="s">
        <v>98</v>
      </c>
      <c r="E229" s="3">
        <v>1</v>
      </c>
      <c r="F229" s="3" t="s">
        <v>1125</v>
      </c>
      <c r="G229" s="3">
        <v>41988.923101851855</v>
      </c>
      <c r="H229" s="3">
        <v>41988.923101851855</v>
      </c>
      <c r="I229" s="3">
        <v>41988.923101851855</v>
      </c>
      <c r="J229" s="3" t="s">
        <v>103</v>
      </c>
      <c r="K229" s="3" t="s">
        <v>105</v>
      </c>
      <c r="L229" s="3" t="s">
        <v>1126</v>
      </c>
      <c r="M229" s="3" t="s">
        <v>532</v>
      </c>
      <c r="N229" s="3" t="s">
        <v>1127</v>
      </c>
      <c r="O229" s="3" t="s">
        <v>1128</v>
      </c>
      <c r="P229" s="3" t="s">
        <v>1129</v>
      </c>
      <c r="Q229" t="str">
        <f t="shared" si="17"/>
        <v>http://roarmap.eprints.org/view/country/360.html</v>
      </c>
      <c r="R229" s="3">
        <v>360</v>
      </c>
      <c r="S229" s="6" t="s">
        <v>192</v>
      </c>
      <c r="T229" s="9">
        <v>360</v>
      </c>
      <c r="U229" s="7" t="s">
        <v>118</v>
      </c>
      <c r="V229" s="6" t="s">
        <v>74</v>
      </c>
      <c r="W229" s="3" t="s">
        <v>158</v>
      </c>
      <c r="X229" s="3" t="s">
        <v>160</v>
      </c>
      <c r="Y229" s="3" t="s">
        <v>1126</v>
      </c>
      <c r="Z229" s="8" t="str">
        <f>HYPERLINK("http://www.ipb.ac.id/","http://www.ipb.ac.id/")</f>
        <v>http://www.ipb.ac.id/</v>
      </c>
      <c r="AB229" s="8" t="str">
        <f>HYPERLINK("http://repository.ipb.ac.id/","http://repository.ipb.ac.id/")</f>
        <v>http://repository.ipb.ac.id/</v>
      </c>
      <c r="AF229" s="3" t="s">
        <v>177</v>
      </c>
      <c r="AG229" s="3" t="s">
        <v>244</v>
      </c>
      <c r="AH229" s="3" t="s">
        <v>180</v>
      </c>
      <c r="AI229" s="3" t="s">
        <v>244</v>
      </c>
      <c r="AJ229" s="3" t="s">
        <v>182</v>
      </c>
      <c r="AK229" s="3" t="s">
        <v>244</v>
      </c>
      <c r="AL229" s="3" t="s">
        <v>244</v>
      </c>
      <c r="AM229" s="3" t="s">
        <v>247</v>
      </c>
      <c r="AN229" s="3" t="s">
        <v>244</v>
      </c>
      <c r="AO229" s="3" t="s">
        <v>247</v>
      </c>
      <c r="AP229" s="3" t="s">
        <v>244</v>
      </c>
      <c r="AQ229" s="3" t="s">
        <v>247</v>
      </c>
      <c r="AR229" s="3" t="s">
        <v>288</v>
      </c>
      <c r="AS229" s="3" t="s">
        <v>288</v>
      </c>
      <c r="AT229" s="3" t="s">
        <v>244</v>
      </c>
      <c r="AU229" s="3" t="s">
        <v>244</v>
      </c>
      <c r="AV229" s="3" t="s">
        <v>288</v>
      </c>
      <c r="AW229" s="3" t="s">
        <v>244</v>
      </c>
      <c r="AX229" s="3" t="s">
        <v>244</v>
      </c>
      <c r="AY229" s="3" t="s">
        <v>247</v>
      </c>
    </row>
    <row r="230" spans="1:51" ht="15.75" customHeight="1">
      <c r="A230" s="3">
        <v>38</v>
      </c>
      <c r="B230" s="5" t="str">
        <f t="shared" si="0"/>
        <v>http://roarmap.eprints.org/38/</v>
      </c>
      <c r="C230" s="3">
        <v>4</v>
      </c>
      <c r="D230" s="3" t="s">
        <v>98</v>
      </c>
      <c r="E230" s="3">
        <v>234</v>
      </c>
      <c r="F230" s="3" t="s">
        <v>1130</v>
      </c>
      <c r="G230" s="3">
        <v>41988.923125000001</v>
      </c>
      <c r="H230" s="3">
        <v>42046.98164351852</v>
      </c>
      <c r="I230" s="3">
        <v>41988.923125000001</v>
      </c>
      <c r="J230" s="3" t="s">
        <v>103</v>
      </c>
      <c r="K230" s="3" t="s">
        <v>105</v>
      </c>
      <c r="L230" s="3" t="s">
        <v>1131</v>
      </c>
      <c r="M230" s="3" t="s">
        <v>352</v>
      </c>
      <c r="N230" s="3" t="s">
        <v>1132</v>
      </c>
      <c r="O230" s="3" t="s">
        <v>1133</v>
      </c>
      <c r="P230" s="3" t="s">
        <v>215</v>
      </c>
      <c r="Q230" t="str">
        <f t="shared" si="17"/>
        <v>http://roarmap.eprints.org/view/country/360.html</v>
      </c>
      <c r="R230" s="3">
        <v>360</v>
      </c>
      <c r="S230" s="6" t="s">
        <v>192</v>
      </c>
      <c r="T230" s="9">
        <v>360</v>
      </c>
      <c r="U230" s="7" t="s">
        <v>118</v>
      </c>
      <c r="V230" s="6" t="s">
        <v>74</v>
      </c>
      <c r="W230" s="3" t="s">
        <v>158</v>
      </c>
      <c r="X230" s="3" t="s">
        <v>160</v>
      </c>
      <c r="Y230" s="3" t="s">
        <v>1131</v>
      </c>
      <c r="Z230" s="8" t="str">
        <f>HYPERLINK("http://undip.ac.id/","http://undip.ac.id/")</f>
        <v>http://undip.ac.id/</v>
      </c>
      <c r="AB230" s="8" t="str">
        <f>HYPERLINK("http://eprints.undip.ac.id/","http://eprints.undip.ac.id/")</f>
        <v>http://eprints.undip.ac.id/</v>
      </c>
      <c r="AC230" s="3">
        <v>40705</v>
      </c>
      <c r="AD230" s="3">
        <v>40705</v>
      </c>
      <c r="AF230" s="3" t="s">
        <v>244</v>
      </c>
      <c r="AG230" s="3" t="s">
        <v>244</v>
      </c>
      <c r="AH230" s="3" t="s">
        <v>180</v>
      </c>
      <c r="AI230" s="3" t="s">
        <v>244</v>
      </c>
      <c r="AJ230" s="3" t="s">
        <v>244</v>
      </c>
      <c r="AK230" s="3" t="s">
        <v>244</v>
      </c>
      <c r="AL230" s="3" t="s">
        <v>244</v>
      </c>
      <c r="AM230" s="3" t="s">
        <v>247</v>
      </c>
      <c r="AN230" s="3" t="s">
        <v>244</v>
      </c>
      <c r="AO230" s="3" t="s">
        <v>247</v>
      </c>
      <c r="AP230" s="3" t="s">
        <v>244</v>
      </c>
      <c r="AQ230" s="3" t="s">
        <v>247</v>
      </c>
      <c r="AR230" s="3" t="s">
        <v>288</v>
      </c>
      <c r="AS230" s="3" t="s">
        <v>288</v>
      </c>
      <c r="AT230" s="3" t="s">
        <v>244</v>
      </c>
      <c r="AU230" s="3" t="s">
        <v>244</v>
      </c>
      <c r="AV230" s="3" t="s">
        <v>288</v>
      </c>
      <c r="AW230" s="3" t="s">
        <v>371</v>
      </c>
      <c r="AX230" s="3" t="s">
        <v>244</v>
      </c>
      <c r="AY230" s="3" t="s">
        <v>247</v>
      </c>
    </row>
    <row r="231" spans="1:51" ht="15.75" customHeight="1">
      <c r="A231" s="3">
        <v>32</v>
      </c>
      <c r="B231" s="5" t="str">
        <f t="shared" si="0"/>
        <v>http://roarmap.eprints.org/32/</v>
      </c>
      <c r="C231" s="3">
        <v>3</v>
      </c>
      <c r="D231" s="3" t="s">
        <v>98</v>
      </c>
      <c r="E231" s="3">
        <v>1</v>
      </c>
      <c r="F231" s="3" t="s">
        <v>1134</v>
      </c>
      <c r="G231" s="3">
        <v>41988.923101851855</v>
      </c>
      <c r="H231" s="3">
        <v>41988.923101851855</v>
      </c>
      <c r="I231" s="3">
        <v>41988.923101851855</v>
      </c>
      <c r="J231" s="3" t="s">
        <v>103</v>
      </c>
      <c r="K231" s="3" t="s">
        <v>105</v>
      </c>
      <c r="L231" s="3" t="s">
        <v>1135</v>
      </c>
      <c r="M231" s="3" t="s">
        <v>532</v>
      </c>
      <c r="N231" s="3" t="s">
        <v>1127</v>
      </c>
      <c r="O231" s="3" t="s">
        <v>1136</v>
      </c>
      <c r="P231" s="3" t="s">
        <v>1129</v>
      </c>
      <c r="Q231" t="str">
        <f t="shared" si="17"/>
        <v>http://roarmap.eprints.org/view/country/360.html</v>
      </c>
      <c r="R231" s="3">
        <v>360</v>
      </c>
      <c r="S231" s="6" t="s">
        <v>192</v>
      </c>
      <c r="T231" s="9">
        <v>360</v>
      </c>
      <c r="U231" s="7" t="s">
        <v>118</v>
      </c>
      <c r="V231" s="6" t="s">
        <v>74</v>
      </c>
      <c r="W231" s="3" t="s">
        <v>158</v>
      </c>
      <c r="X231" s="3" t="s">
        <v>160</v>
      </c>
      <c r="Y231" s="3" t="s">
        <v>1135</v>
      </c>
      <c r="Z231" s="8" t="str">
        <f>HYPERLINK("http://www.its.ac.id/","http://www.its.ac.id/")</f>
        <v>http://www.its.ac.id/</v>
      </c>
      <c r="AB231" s="8" t="str">
        <f>HYPERLINK("http://digilib.its.ac.id/","http://digilib.its.ac.id/")</f>
        <v>http://digilib.its.ac.id/</v>
      </c>
      <c r="AF231" s="3" t="s">
        <v>177</v>
      </c>
      <c r="AG231" s="3" t="s">
        <v>244</v>
      </c>
      <c r="AH231" s="3" t="s">
        <v>180</v>
      </c>
      <c r="AI231" s="3" t="s">
        <v>244</v>
      </c>
      <c r="AJ231" s="3" t="s">
        <v>182</v>
      </c>
      <c r="AK231" s="3" t="s">
        <v>244</v>
      </c>
      <c r="AL231" s="3" t="s">
        <v>244</v>
      </c>
      <c r="AM231" s="3" t="s">
        <v>247</v>
      </c>
      <c r="AN231" s="3" t="s">
        <v>244</v>
      </c>
      <c r="AO231" s="3" t="s">
        <v>247</v>
      </c>
      <c r="AP231" s="3" t="s">
        <v>244</v>
      </c>
      <c r="AQ231" s="3" t="s">
        <v>247</v>
      </c>
      <c r="AR231" s="3" t="s">
        <v>288</v>
      </c>
      <c r="AS231" s="3" t="s">
        <v>288</v>
      </c>
      <c r="AT231" s="3" t="s">
        <v>244</v>
      </c>
      <c r="AU231" s="3" t="s">
        <v>244</v>
      </c>
      <c r="AV231" s="3" t="s">
        <v>288</v>
      </c>
      <c r="AW231" s="3" t="s">
        <v>244</v>
      </c>
      <c r="AX231" s="3" t="s">
        <v>244</v>
      </c>
      <c r="AY231" s="3" t="s">
        <v>247</v>
      </c>
    </row>
    <row r="232" spans="1:51" ht="15.75" customHeight="1">
      <c r="A232" s="3">
        <v>33</v>
      </c>
      <c r="B232" s="5" t="str">
        <f t="shared" si="0"/>
        <v>http://roarmap.eprints.org/33/</v>
      </c>
      <c r="C232" s="3">
        <v>4</v>
      </c>
      <c r="D232" s="3" t="s">
        <v>98</v>
      </c>
      <c r="E232" s="3">
        <v>231</v>
      </c>
      <c r="F232" s="3" t="s">
        <v>1137</v>
      </c>
      <c r="G232" s="3">
        <v>41988.923113425924</v>
      </c>
      <c r="H232" s="3">
        <v>42046.981631944444</v>
      </c>
      <c r="I232" s="3">
        <v>41988.923113425924</v>
      </c>
      <c r="J232" s="3" t="s">
        <v>103</v>
      </c>
      <c r="K232" s="3" t="s">
        <v>105</v>
      </c>
      <c r="L232" s="3" t="s">
        <v>1138</v>
      </c>
      <c r="M232" s="3" t="s">
        <v>352</v>
      </c>
      <c r="O232" s="3" t="s">
        <v>1139</v>
      </c>
      <c r="P232" s="3" t="s">
        <v>215</v>
      </c>
      <c r="Q232" t="str">
        <f t="shared" si="17"/>
        <v>http://roarmap.eprints.org/view/country/360.html</v>
      </c>
      <c r="R232" s="3">
        <v>360</v>
      </c>
      <c r="S232" s="6" t="s">
        <v>192</v>
      </c>
      <c r="T232" s="9">
        <v>360</v>
      </c>
      <c r="U232" s="7" t="s">
        <v>118</v>
      </c>
      <c r="V232" s="6" t="s">
        <v>74</v>
      </c>
      <c r="W232" s="3" t="s">
        <v>158</v>
      </c>
      <c r="X232" s="3" t="s">
        <v>160</v>
      </c>
      <c r="Y232" s="3" t="s">
        <v>1138</v>
      </c>
      <c r="Z232" s="8" t="str">
        <f>HYPERLINK("http://www.mdp.ac.id/en","http://www.mdp.ac.id/en")</f>
        <v>http://www.mdp.ac.id/en</v>
      </c>
      <c r="AB232" s="8" t="str">
        <f>HYPERLINK("http://eprints.mdp.ac.id/","http://eprints.mdp.ac.id/")</f>
        <v>http://eprints.mdp.ac.id/</v>
      </c>
      <c r="AF232" s="3" t="s">
        <v>371</v>
      </c>
      <c r="AG232" s="3" t="s">
        <v>244</v>
      </c>
      <c r="AH232" s="3" t="s">
        <v>180</v>
      </c>
      <c r="AI232" s="3" t="s">
        <v>181</v>
      </c>
      <c r="AJ232" s="3" t="s">
        <v>244</v>
      </c>
      <c r="AK232" s="3" t="s">
        <v>244</v>
      </c>
      <c r="AL232" s="3" t="s">
        <v>244</v>
      </c>
      <c r="AM232" s="3" t="s">
        <v>247</v>
      </c>
      <c r="AN232" s="3" t="s">
        <v>244</v>
      </c>
      <c r="AO232" s="3" t="s">
        <v>247</v>
      </c>
      <c r="AP232" s="3" t="s">
        <v>244</v>
      </c>
      <c r="AQ232" s="3" t="s">
        <v>386</v>
      </c>
      <c r="AR232" s="3" t="s">
        <v>288</v>
      </c>
      <c r="AS232" s="3" t="s">
        <v>288</v>
      </c>
      <c r="AT232" s="3" t="s">
        <v>244</v>
      </c>
      <c r="AU232" s="3" t="s">
        <v>244</v>
      </c>
      <c r="AV232" s="3" t="s">
        <v>288</v>
      </c>
      <c r="AW232" s="3" t="s">
        <v>371</v>
      </c>
      <c r="AX232" s="3" t="s">
        <v>244</v>
      </c>
      <c r="AY232" s="3" t="s">
        <v>247</v>
      </c>
    </row>
    <row r="233" spans="1:51" ht="15.75" customHeight="1">
      <c r="A233" s="3">
        <v>34</v>
      </c>
      <c r="B233" s="5" t="str">
        <f t="shared" si="0"/>
        <v>http://roarmap.eprints.org/34/</v>
      </c>
      <c r="C233" s="3">
        <v>4</v>
      </c>
      <c r="D233" s="3" t="s">
        <v>98</v>
      </c>
      <c r="E233" s="3">
        <v>232</v>
      </c>
      <c r="F233" s="3" t="s">
        <v>1140</v>
      </c>
      <c r="G233" s="3">
        <v>41988.923113425924</v>
      </c>
      <c r="H233" s="3">
        <v>42046.981631944444</v>
      </c>
      <c r="I233" s="3">
        <v>41988.923113425924</v>
      </c>
      <c r="J233" s="3" t="s">
        <v>103</v>
      </c>
      <c r="K233" s="3" t="s">
        <v>105</v>
      </c>
      <c r="L233" s="3" t="s">
        <v>1141</v>
      </c>
      <c r="M233" s="3" t="s">
        <v>307</v>
      </c>
      <c r="N233" s="3" t="s">
        <v>1142</v>
      </c>
      <c r="O233" s="3" t="s">
        <v>1143</v>
      </c>
      <c r="P233" s="3" t="s">
        <v>215</v>
      </c>
      <c r="Q233" t="str">
        <f t="shared" si="17"/>
        <v>http://roarmap.eprints.org/view/country/360.html</v>
      </c>
      <c r="R233" s="3">
        <v>360</v>
      </c>
      <c r="S233" s="6" t="s">
        <v>192</v>
      </c>
      <c r="T233" s="9">
        <v>360</v>
      </c>
      <c r="U233" s="7" t="s">
        <v>118</v>
      </c>
      <c r="V233" s="6" t="s">
        <v>74</v>
      </c>
      <c r="W233" s="3" t="s">
        <v>158</v>
      </c>
      <c r="X233" s="3" t="s">
        <v>160</v>
      </c>
      <c r="Y233" s="3" t="s">
        <v>1141</v>
      </c>
      <c r="Z233" s="8" t="str">
        <f>HYPERLINK("http://www.unsri.ac.id/","http://www.unsri.ac.id/")</f>
        <v>http://www.unsri.ac.id/</v>
      </c>
      <c r="AA233" s="8" t="str">
        <f>HYPERLINK("http://roarmap.eprints.org/592/1/policies.html","http://roarmap.eprints.org/592/1/policies.html")</f>
        <v>http://roarmap.eprints.org/592/1/policies.html</v>
      </c>
      <c r="AB233" s="8" t="str">
        <f>HYPERLINK("http://eprints.unsri.ac.id/","http://eprints.unsri.ac.id/")</f>
        <v>http://eprints.unsri.ac.id/</v>
      </c>
      <c r="AC233" s="3">
        <v>40972</v>
      </c>
      <c r="AD233" s="3">
        <v>40972</v>
      </c>
      <c r="AF233" s="3" t="s">
        <v>177</v>
      </c>
      <c r="AG233" s="3" t="s">
        <v>178</v>
      </c>
      <c r="AH233" s="3" t="s">
        <v>180</v>
      </c>
      <c r="AI233" s="3" t="s">
        <v>181</v>
      </c>
      <c r="AJ233" s="3" t="s">
        <v>182</v>
      </c>
      <c r="AK233" s="3" t="s">
        <v>371</v>
      </c>
      <c r="AL233" s="3" t="s">
        <v>244</v>
      </c>
      <c r="AM233" s="3" t="s">
        <v>247</v>
      </c>
      <c r="AN233" s="3" t="s">
        <v>244</v>
      </c>
      <c r="AO233" s="3" t="s">
        <v>181</v>
      </c>
      <c r="AP233" s="3" t="s">
        <v>244</v>
      </c>
      <c r="AQ233" s="3" t="s">
        <v>386</v>
      </c>
      <c r="AR233" s="3" t="s">
        <v>288</v>
      </c>
      <c r="AS233" s="3" t="s">
        <v>288</v>
      </c>
      <c r="AT233" s="3" t="s">
        <v>244</v>
      </c>
      <c r="AU233" s="3" t="s">
        <v>244</v>
      </c>
      <c r="AV233" s="3" t="s">
        <v>288</v>
      </c>
      <c r="AW233" s="3" t="s">
        <v>339</v>
      </c>
      <c r="AX233" s="3" t="s">
        <v>244</v>
      </c>
      <c r="AY233" s="3" t="s">
        <v>247</v>
      </c>
    </row>
    <row r="234" spans="1:51" ht="15.75" customHeight="1">
      <c r="A234" s="3">
        <v>35</v>
      </c>
      <c r="B234" s="5" t="str">
        <f t="shared" si="0"/>
        <v>http://roarmap.eprints.org/35/</v>
      </c>
      <c r="C234" s="3">
        <v>4</v>
      </c>
      <c r="D234" s="3" t="s">
        <v>98</v>
      </c>
      <c r="E234" s="3">
        <v>1</v>
      </c>
      <c r="F234" s="3" t="s">
        <v>1144</v>
      </c>
      <c r="G234" s="3">
        <v>41988.923113425924</v>
      </c>
      <c r="H234" s="3">
        <v>42020.601655092592</v>
      </c>
      <c r="I234" s="3">
        <v>41988.923113425924</v>
      </c>
      <c r="J234" s="3" t="s">
        <v>103</v>
      </c>
      <c r="K234" s="3" t="s">
        <v>105</v>
      </c>
      <c r="L234" s="3" t="s">
        <v>1145</v>
      </c>
      <c r="M234" s="3" t="s">
        <v>307</v>
      </c>
      <c r="Q234" t="str">
        <f t="shared" si="17"/>
        <v>http://roarmap.eprints.org/view/country/360.html</v>
      </c>
      <c r="R234" s="3">
        <v>360</v>
      </c>
      <c r="S234" s="6" t="s">
        <v>192</v>
      </c>
      <c r="T234" s="9">
        <v>360</v>
      </c>
      <c r="U234" s="7" t="s">
        <v>118</v>
      </c>
      <c r="V234" s="6" t="s">
        <v>74</v>
      </c>
      <c r="W234" s="3" t="s">
        <v>158</v>
      </c>
      <c r="X234" s="3" t="s">
        <v>160</v>
      </c>
      <c r="Y234" s="3" t="s">
        <v>1145</v>
      </c>
      <c r="Z234" s="8" t="str">
        <f>HYPERLINK("http://www.umm.ac.id/","http://www.umm.ac.id/")</f>
        <v>http://www.umm.ac.id/</v>
      </c>
      <c r="AA234" s="8" t="str">
        <f>HYPERLINK("http://eprints.umm.ac.id/policies.html","http://eprints.umm.ac.id/policies.html")</f>
        <v>http://eprints.umm.ac.id/policies.html</v>
      </c>
      <c r="AB234" s="8" t="str">
        <f>HYPERLINK("http://eprints.umm.ac.id/","http://eprints.umm.ac.id/")</f>
        <v>http://eprints.umm.ac.id/</v>
      </c>
      <c r="AC234" s="3">
        <v>40579</v>
      </c>
      <c r="AD234" s="3">
        <v>40579</v>
      </c>
      <c r="AF234" s="3" t="s">
        <v>177</v>
      </c>
      <c r="AG234" s="3" t="s">
        <v>244</v>
      </c>
      <c r="AH234" s="3" t="s">
        <v>180</v>
      </c>
      <c r="AI234" s="3" t="s">
        <v>244</v>
      </c>
      <c r="AJ234" s="3" t="s">
        <v>244</v>
      </c>
      <c r="AK234" s="3" t="s">
        <v>244</v>
      </c>
      <c r="AL234" s="3" t="s">
        <v>244</v>
      </c>
      <c r="AM234" s="3" t="s">
        <v>247</v>
      </c>
      <c r="AN234" s="3" t="s">
        <v>244</v>
      </c>
      <c r="AO234" s="3" t="s">
        <v>247</v>
      </c>
      <c r="AP234" s="3" t="s">
        <v>244</v>
      </c>
      <c r="AQ234" s="3" t="s">
        <v>386</v>
      </c>
      <c r="AR234" s="3" t="s">
        <v>288</v>
      </c>
      <c r="AS234" s="3" t="s">
        <v>288</v>
      </c>
      <c r="AT234" s="3" t="s">
        <v>244</v>
      </c>
      <c r="AU234" s="3" t="s">
        <v>244</v>
      </c>
      <c r="AV234" s="3" t="s">
        <v>288</v>
      </c>
      <c r="AW234" s="3" t="s">
        <v>339</v>
      </c>
      <c r="AX234" s="3" t="s">
        <v>244</v>
      </c>
      <c r="AY234" s="3" t="s">
        <v>247</v>
      </c>
    </row>
    <row r="235" spans="1:51" ht="15.75" customHeight="1">
      <c r="A235" s="3">
        <v>36</v>
      </c>
      <c r="B235" s="5" t="str">
        <f t="shared" si="0"/>
        <v>http://roarmap.eprints.org/36/</v>
      </c>
      <c r="C235" s="3">
        <v>3</v>
      </c>
      <c r="D235" s="3" t="s">
        <v>98</v>
      </c>
      <c r="E235" s="3">
        <v>1</v>
      </c>
      <c r="F235" s="3" t="s">
        <v>1146</v>
      </c>
      <c r="G235" s="3">
        <v>41988.923113425924</v>
      </c>
      <c r="H235" s="3">
        <v>41988.923113425924</v>
      </c>
      <c r="I235" s="3">
        <v>41988.923113425924</v>
      </c>
      <c r="J235" s="3" t="s">
        <v>103</v>
      </c>
      <c r="K235" s="3" t="s">
        <v>105</v>
      </c>
      <c r="L235" s="3" t="s">
        <v>1147</v>
      </c>
      <c r="M235" s="3" t="s">
        <v>352</v>
      </c>
      <c r="P235" s="3" t="s">
        <v>215</v>
      </c>
      <c r="Q235" t="str">
        <f t="shared" si="17"/>
        <v>http://roarmap.eprints.org/view/country/360.html</v>
      </c>
      <c r="R235" s="3">
        <v>360</v>
      </c>
      <c r="S235" s="6" t="s">
        <v>192</v>
      </c>
      <c r="T235" s="9">
        <v>360</v>
      </c>
      <c r="U235" s="7" t="s">
        <v>118</v>
      </c>
      <c r="V235" s="6" t="s">
        <v>74</v>
      </c>
      <c r="W235" s="3" t="s">
        <v>158</v>
      </c>
      <c r="X235" s="3" t="s">
        <v>160</v>
      </c>
      <c r="Y235" s="3" t="s">
        <v>1147</v>
      </c>
      <c r="Z235" s="8" t="str">
        <f>HYPERLINK("http://usu.ac.id/en/","http://usu.ac.id/en/")</f>
        <v>http://usu.ac.id/en/</v>
      </c>
      <c r="AA235" s="8" t="str">
        <f>HYPERLINK("http://repository.usu.ac.id/bitstream/123456789/606/2/license.txt","http://repository.usu.ac.id/bitstream/123456789/606/2/license.txt")</f>
        <v>http://repository.usu.ac.id/bitstream/123456789/606/2/license.txt</v>
      </c>
      <c r="AB235" s="8" t="str">
        <f>HYPERLINK("http://repository.usu.ac.id/","http://repository.usu.ac.id/")</f>
        <v>http://repository.usu.ac.id/</v>
      </c>
      <c r="AC235" s="3">
        <v>40197</v>
      </c>
      <c r="AF235" s="3" t="s">
        <v>177</v>
      </c>
      <c r="AG235" s="3" t="s">
        <v>244</v>
      </c>
      <c r="AH235" s="3" t="s">
        <v>180</v>
      </c>
      <c r="AI235" s="3" t="s">
        <v>244</v>
      </c>
      <c r="AJ235" s="3" t="s">
        <v>244</v>
      </c>
      <c r="AK235" s="3" t="s">
        <v>244</v>
      </c>
      <c r="AL235" s="3" t="s">
        <v>244</v>
      </c>
      <c r="AM235" s="3" t="s">
        <v>247</v>
      </c>
      <c r="AN235" s="3" t="s">
        <v>244</v>
      </c>
      <c r="AO235" s="3" t="s">
        <v>247</v>
      </c>
      <c r="AP235" s="3" t="s">
        <v>244</v>
      </c>
      <c r="AQ235" s="3" t="s">
        <v>247</v>
      </c>
      <c r="AR235" s="3" t="s">
        <v>288</v>
      </c>
      <c r="AS235" s="3" t="s">
        <v>288</v>
      </c>
      <c r="AT235" s="3" t="s">
        <v>244</v>
      </c>
      <c r="AU235" s="3" t="s">
        <v>244</v>
      </c>
      <c r="AV235" s="3" t="s">
        <v>288</v>
      </c>
      <c r="AW235" s="3" t="s">
        <v>371</v>
      </c>
      <c r="AX235" s="3" t="s">
        <v>244</v>
      </c>
      <c r="AY235" s="3" t="s">
        <v>247</v>
      </c>
    </row>
    <row r="236" spans="1:51" ht="15.75" customHeight="1">
      <c r="A236" s="3">
        <v>37</v>
      </c>
      <c r="B236" s="5" t="str">
        <f t="shared" si="0"/>
        <v>http://roarmap.eprints.org/37/</v>
      </c>
      <c r="C236" s="3">
        <v>4</v>
      </c>
      <c r="D236" s="3" t="s">
        <v>98</v>
      </c>
      <c r="E236" s="3">
        <v>233</v>
      </c>
      <c r="F236" s="3" t="s">
        <v>1148</v>
      </c>
      <c r="G236" s="3">
        <v>41988.923113425924</v>
      </c>
      <c r="H236" s="3">
        <v>42046.981631944444</v>
      </c>
      <c r="I236" s="3">
        <v>41988.923113425924</v>
      </c>
      <c r="J236" s="3" t="s">
        <v>103</v>
      </c>
      <c r="K236" s="3" t="s">
        <v>105</v>
      </c>
      <c r="L236" s="3" t="s">
        <v>1149</v>
      </c>
      <c r="M236" s="3" t="s">
        <v>637</v>
      </c>
      <c r="N236" s="3" t="s">
        <v>1150</v>
      </c>
      <c r="O236" s="3" t="s">
        <v>620</v>
      </c>
      <c r="P236" s="3" t="s">
        <v>215</v>
      </c>
      <c r="Q236" t="str">
        <f t="shared" si="17"/>
        <v>http://roarmap.eprints.org/view/country/360.html</v>
      </c>
      <c r="R236" s="3">
        <v>360</v>
      </c>
      <c r="S236" s="6" t="s">
        <v>192</v>
      </c>
      <c r="T236" s="9">
        <v>360</v>
      </c>
      <c r="U236" s="7" t="s">
        <v>118</v>
      </c>
      <c r="V236" s="6" t="s">
        <v>74</v>
      </c>
      <c r="W236" s="3" t="s">
        <v>158</v>
      </c>
      <c r="X236" s="3" t="s">
        <v>384</v>
      </c>
      <c r="Y236" s="3" t="s">
        <v>1149</v>
      </c>
      <c r="Z236" s="8" t="str">
        <f>HYPERLINK("http://www.ubaya.ac.id/","http://www.ubaya.ac.id/")</f>
        <v>http://www.ubaya.ac.id/</v>
      </c>
      <c r="AA236" s="8" t="str">
        <f>HYPERLINK("http://elib.ubaya.ac.id/index.php/repository","http://elib.ubaya.ac.id/index.php/repository")</f>
        <v>http://elib.ubaya.ac.id/index.php/repository</v>
      </c>
      <c r="AB236" s="8" t="str">
        <f>HYPERLINK("http://repository.ubaya.ac.id/","http://repository.ubaya.ac.id/")</f>
        <v>http://repository.ubaya.ac.id/</v>
      </c>
      <c r="AC236" s="3">
        <v>40969</v>
      </c>
      <c r="AD236" s="3">
        <v>40969</v>
      </c>
      <c r="AF236" s="3" t="s">
        <v>177</v>
      </c>
      <c r="AG236" s="3" t="s">
        <v>178</v>
      </c>
      <c r="AH236" s="3" t="s">
        <v>180</v>
      </c>
      <c r="AI236" s="3" t="s">
        <v>371</v>
      </c>
      <c r="AJ236" s="3" t="s">
        <v>182</v>
      </c>
      <c r="AK236" s="3" t="s">
        <v>371</v>
      </c>
      <c r="AL236" s="3" t="s">
        <v>244</v>
      </c>
      <c r="AM236" s="3" t="s">
        <v>247</v>
      </c>
      <c r="AN236" s="3" t="s">
        <v>244</v>
      </c>
      <c r="AO236" s="3" t="s">
        <v>181</v>
      </c>
      <c r="AP236" s="3" t="s">
        <v>244</v>
      </c>
      <c r="AQ236" s="3" t="s">
        <v>386</v>
      </c>
      <c r="AR236" s="3" t="s">
        <v>288</v>
      </c>
      <c r="AS236" s="3" t="s">
        <v>288</v>
      </c>
      <c r="AT236" s="3" t="s">
        <v>244</v>
      </c>
      <c r="AU236" s="3" t="s">
        <v>244</v>
      </c>
      <c r="AV236" s="3" t="s">
        <v>288</v>
      </c>
      <c r="AW236" s="3" t="s">
        <v>371</v>
      </c>
      <c r="AX236" s="3" t="s">
        <v>371</v>
      </c>
      <c r="AY236" s="3" t="s">
        <v>371</v>
      </c>
    </row>
    <row r="237" spans="1:51" ht="15.75" customHeight="1">
      <c r="A237" s="3">
        <v>183</v>
      </c>
      <c r="B237" s="5" t="str">
        <f t="shared" si="0"/>
        <v>http://roarmap.eprints.org/183/</v>
      </c>
      <c r="C237" s="3">
        <v>5</v>
      </c>
      <c r="D237" s="3" t="s">
        <v>98</v>
      </c>
      <c r="E237" s="3">
        <v>1</v>
      </c>
      <c r="F237" s="3" t="s">
        <v>1151</v>
      </c>
      <c r="G237" s="3">
        <v>41988.923344907409</v>
      </c>
      <c r="H237" s="3">
        <v>42026.549722222226</v>
      </c>
      <c r="I237" s="3">
        <v>41988.923344907409</v>
      </c>
      <c r="J237" s="3" t="s">
        <v>103</v>
      </c>
      <c r="K237" s="3" t="s">
        <v>105</v>
      </c>
      <c r="L237" s="3" t="s">
        <v>1152</v>
      </c>
      <c r="M237" s="3" t="s">
        <v>374</v>
      </c>
      <c r="N237" s="3" t="s">
        <v>1153</v>
      </c>
      <c r="O237" s="3" t="s">
        <v>1154</v>
      </c>
      <c r="P237" s="3" t="s">
        <v>215</v>
      </c>
      <c r="Q237" t="str">
        <f t="shared" si="17"/>
        <v>http://roarmap.eprints.org/view/country/372.html</v>
      </c>
      <c r="R237" s="3">
        <v>372</v>
      </c>
      <c r="S237" s="6" t="s">
        <v>199</v>
      </c>
      <c r="T237" s="9">
        <v>372</v>
      </c>
      <c r="U237" s="7" t="s">
        <v>123</v>
      </c>
      <c r="V237" s="6" t="s">
        <v>125</v>
      </c>
      <c r="W237" s="3" t="s">
        <v>158</v>
      </c>
      <c r="X237" s="3" t="s">
        <v>757</v>
      </c>
      <c r="Y237" s="3" t="s">
        <v>1152</v>
      </c>
      <c r="Z237" s="8" t="str">
        <f>HYPERLINK("http://www.tcd.ie/","http://www.tcd.ie/")</f>
        <v>http://www.tcd.ie/</v>
      </c>
      <c r="AA237" s="8" t="str">
        <f>HYPERLINK("http://arrow.dit.ie/National_Principles_on_Open_Access_Policy_Statement.pdf","http://arrow.dit.ie/National_Principles_on_Open_Access_Policy_Statement.pdf")</f>
        <v>http://arrow.dit.ie/National_Principles_on_Open_Access_Policy_Statement.pdf</v>
      </c>
      <c r="AB237" s="8" t="str">
        <f>HYPERLINK("http://www.tara.tcd.ie/","http://www.tara.tcd.ie/")</f>
        <v>http://www.tara.tcd.ie/</v>
      </c>
      <c r="AC237" s="3">
        <v>41206</v>
      </c>
      <c r="AD237" s="3">
        <v>41275</v>
      </c>
      <c r="AF237" s="3" t="s">
        <v>244</v>
      </c>
      <c r="AG237" s="3" t="s">
        <v>178</v>
      </c>
      <c r="AH237" s="3" t="s">
        <v>180</v>
      </c>
      <c r="AI237" s="3" t="s">
        <v>187</v>
      </c>
      <c r="AJ237" s="3" t="s">
        <v>244</v>
      </c>
      <c r="AK237" s="3" t="s">
        <v>371</v>
      </c>
      <c r="AL237" s="3" t="s">
        <v>185</v>
      </c>
      <c r="AM237" s="3" t="s">
        <v>178</v>
      </c>
      <c r="AN237" s="3" t="s">
        <v>244</v>
      </c>
      <c r="AO237" s="3" t="s">
        <v>392</v>
      </c>
      <c r="AP237" s="3" t="s">
        <v>244</v>
      </c>
      <c r="AQ237" s="3" t="s">
        <v>394</v>
      </c>
      <c r="AR237" s="3" t="s">
        <v>288</v>
      </c>
      <c r="AS237" s="3" t="s">
        <v>288</v>
      </c>
      <c r="AT237" s="3" t="s">
        <v>379</v>
      </c>
      <c r="AU237" s="3" t="s">
        <v>395</v>
      </c>
      <c r="AV237" s="3" t="s">
        <v>185</v>
      </c>
      <c r="AW237" s="3" t="s">
        <v>195</v>
      </c>
      <c r="AX237" s="3" t="s">
        <v>341</v>
      </c>
      <c r="AY237" s="3" t="s">
        <v>371</v>
      </c>
    </row>
    <row r="238" spans="1:51" ht="15.75" customHeight="1">
      <c r="A238" s="3">
        <v>184</v>
      </c>
      <c r="B238" s="5" t="str">
        <f t="shared" si="0"/>
        <v>http://roarmap.eprints.org/184/</v>
      </c>
      <c r="C238" s="3">
        <v>4</v>
      </c>
      <c r="D238" s="3" t="s">
        <v>98</v>
      </c>
      <c r="E238" s="3">
        <v>1</v>
      </c>
      <c r="F238" s="3" t="s">
        <v>1155</v>
      </c>
      <c r="G238" s="3">
        <v>41988.923344907409</v>
      </c>
      <c r="H238" s="3">
        <v>42026.555798611109</v>
      </c>
      <c r="I238" s="3">
        <v>41988.923344907409</v>
      </c>
      <c r="J238" s="3" t="s">
        <v>103</v>
      </c>
      <c r="K238" s="3" t="s">
        <v>105</v>
      </c>
      <c r="L238" s="3" t="s">
        <v>1156</v>
      </c>
      <c r="M238" s="3" t="s">
        <v>374</v>
      </c>
      <c r="N238" s="3" t="s">
        <v>1157</v>
      </c>
      <c r="P238" s="3" t="s">
        <v>215</v>
      </c>
      <c r="Q238" t="str">
        <f t="shared" si="17"/>
        <v>http://roarmap.eprints.org/view/country/372.html</v>
      </c>
      <c r="R238" s="3">
        <v>372</v>
      </c>
      <c r="S238" s="6" t="s">
        <v>199</v>
      </c>
      <c r="T238" s="9">
        <v>372</v>
      </c>
      <c r="U238" s="7" t="s">
        <v>123</v>
      </c>
      <c r="V238" s="6" t="s">
        <v>125</v>
      </c>
      <c r="W238" s="3" t="s">
        <v>158</v>
      </c>
      <c r="X238" s="3" t="s">
        <v>160</v>
      </c>
      <c r="Y238" s="3" t="s">
        <v>1156</v>
      </c>
      <c r="Z238" s="8" t="str">
        <f>HYPERLINK("http://www.dit.ie","http://www.dit.ie")</f>
        <v>http://www.dit.ie</v>
      </c>
      <c r="AA238" s="8" t="str">
        <f>HYPERLINK("http://arrow.dit.ie/mandate.html","http://arrow.dit.ie/mandate.html")</f>
        <v>http://arrow.dit.ie/mandate.html</v>
      </c>
      <c r="AB238" s="8" t="str">
        <f>HYPERLINK("http://arrow.dit.ie/","http://arrow.dit.ie/")</f>
        <v>http://arrow.dit.ie/</v>
      </c>
      <c r="AC238" s="3">
        <v>41206</v>
      </c>
      <c r="AD238" s="3">
        <v>41275</v>
      </c>
      <c r="AF238" s="3" t="s">
        <v>244</v>
      </c>
      <c r="AG238" s="3" t="s">
        <v>178</v>
      </c>
      <c r="AH238" s="3" t="s">
        <v>180</v>
      </c>
      <c r="AI238" s="3" t="s">
        <v>244</v>
      </c>
      <c r="AJ238" s="3" t="s">
        <v>182</v>
      </c>
      <c r="AK238" s="3" t="s">
        <v>244</v>
      </c>
      <c r="AL238" s="3" t="s">
        <v>189</v>
      </c>
      <c r="AM238" s="3" t="s">
        <v>178</v>
      </c>
      <c r="AN238" s="3" t="s">
        <v>189</v>
      </c>
      <c r="AO238" s="3" t="s">
        <v>247</v>
      </c>
      <c r="AP238" s="3" t="s">
        <v>244</v>
      </c>
      <c r="AQ238" s="3" t="s">
        <v>648</v>
      </c>
      <c r="AR238" s="3" t="s">
        <v>189</v>
      </c>
      <c r="AS238" s="3" t="s">
        <v>185</v>
      </c>
      <c r="AT238" s="3" t="s">
        <v>244</v>
      </c>
      <c r="AU238" s="3" t="s">
        <v>244</v>
      </c>
      <c r="AV238" s="3" t="s">
        <v>288</v>
      </c>
      <c r="AW238" s="3" t="s">
        <v>195</v>
      </c>
      <c r="AX238" s="3" t="s">
        <v>244</v>
      </c>
      <c r="AY238" s="3" t="s">
        <v>247</v>
      </c>
    </row>
    <row r="239" spans="1:51" ht="15.75" customHeight="1">
      <c r="A239" s="3">
        <v>185</v>
      </c>
      <c r="B239" s="5" t="str">
        <f t="shared" si="0"/>
        <v>http://roarmap.eprints.org/185/</v>
      </c>
      <c r="C239" s="3">
        <v>3</v>
      </c>
      <c r="D239" s="3" t="s">
        <v>98</v>
      </c>
      <c r="E239" s="3">
        <v>1</v>
      </c>
      <c r="F239" s="3" t="s">
        <v>1158</v>
      </c>
      <c r="G239" s="3">
        <v>41988.923356481479</v>
      </c>
      <c r="H239" s="3">
        <v>41988.923356481479</v>
      </c>
      <c r="I239" s="3">
        <v>41988.923356481479</v>
      </c>
      <c r="J239" s="3" t="s">
        <v>103</v>
      </c>
      <c r="K239" s="3" t="s">
        <v>105</v>
      </c>
      <c r="L239" s="3" t="s">
        <v>1159</v>
      </c>
      <c r="M239" s="3" t="s">
        <v>374</v>
      </c>
      <c r="N239" s="3" t="s">
        <v>1160</v>
      </c>
      <c r="O239" s="3" t="s">
        <v>1161</v>
      </c>
      <c r="P239" s="3" t="s">
        <v>215</v>
      </c>
      <c r="Q239" t="str">
        <f t="shared" si="17"/>
        <v>http://roarmap.eprints.org/view/country/372.html</v>
      </c>
      <c r="R239" s="3">
        <v>372</v>
      </c>
      <c r="S239" s="6" t="s">
        <v>199</v>
      </c>
      <c r="T239" s="9">
        <v>372</v>
      </c>
      <c r="U239" s="7" t="s">
        <v>123</v>
      </c>
      <c r="V239" s="6" t="s">
        <v>125</v>
      </c>
      <c r="W239" s="3" t="s">
        <v>158</v>
      </c>
      <c r="X239" s="3" t="s">
        <v>364</v>
      </c>
      <c r="Y239" s="3" t="s">
        <v>1159</v>
      </c>
      <c r="Z239" s="8" t="str">
        <f>HYPERLINK("http://www.hrb.ie/research-strategy-funding/policies-and-guidelines/policies/open-access/","http://www.hrb.ie/research-strategy-funding/policies-and-guidelines/policies/open-access/")</f>
        <v>http://www.hrb.ie/research-strategy-funding/policies-and-guidelines/policies/open-access/</v>
      </c>
      <c r="AA239" s="8" t="str">
        <f>HYPERLINK("http://www.hrb.ie/uploads/media/HRB_Policy_on_Open_Access__1_May_2014__01.pdf","http://www.hrb.ie/uploads/media/HRB_Policy_on_Open_Access__1_May_2014__01.pdf")</f>
        <v>http://www.hrb.ie/uploads/media/HRB_Policy_on_Open_Access__1_May_2014__01.pdf</v>
      </c>
      <c r="AD239" s="3">
        <v>41760</v>
      </c>
      <c r="AE239" s="3">
        <v>41760</v>
      </c>
      <c r="AF239" s="3" t="s">
        <v>177</v>
      </c>
      <c r="AG239" s="3" t="s">
        <v>178</v>
      </c>
      <c r="AH239" s="3" t="s">
        <v>370</v>
      </c>
      <c r="AI239" s="3" t="s">
        <v>371</v>
      </c>
      <c r="AJ239" s="3" t="s">
        <v>182</v>
      </c>
      <c r="AK239" s="3" t="s">
        <v>371</v>
      </c>
      <c r="AL239" s="3" t="s">
        <v>185</v>
      </c>
      <c r="AM239" s="3" t="s">
        <v>178</v>
      </c>
      <c r="AN239" s="3" t="s">
        <v>189</v>
      </c>
      <c r="AO239" s="3" t="s">
        <v>187</v>
      </c>
      <c r="AP239" s="3" t="s">
        <v>244</v>
      </c>
      <c r="AQ239" s="3" t="s">
        <v>386</v>
      </c>
      <c r="AR239" s="3" t="s">
        <v>288</v>
      </c>
      <c r="AS239" s="3" t="s">
        <v>185</v>
      </c>
      <c r="AT239" s="3" t="s">
        <v>379</v>
      </c>
      <c r="AU239" s="3" t="s">
        <v>395</v>
      </c>
      <c r="AV239" s="3" t="s">
        <v>288</v>
      </c>
      <c r="AW239" s="3" t="s">
        <v>371</v>
      </c>
      <c r="AX239" s="3" t="s">
        <v>371</v>
      </c>
      <c r="AY239" s="3" t="s">
        <v>371</v>
      </c>
    </row>
    <row r="240" spans="1:51" ht="15.75" customHeight="1">
      <c r="A240" s="3">
        <v>186</v>
      </c>
      <c r="B240" s="5" t="str">
        <f t="shared" si="0"/>
        <v>http://roarmap.eprints.org/186/</v>
      </c>
      <c r="C240" s="3">
        <v>3</v>
      </c>
      <c r="D240" s="3" t="s">
        <v>98</v>
      </c>
      <c r="E240" s="3">
        <v>1</v>
      </c>
      <c r="F240" s="3" t="s">
        <v>1162</v>
      </c>
      <c r="G240" s="3">
        <v>41988.923356481479</v>
      </c>
      <c r="H240" s="3">
        <v>41988.923356481479</v>
      </c>
      <c r="I240" s="3">
        <v>41988.923356481479</v>
      </c>
      <c r="J240" s="3" t="s">
        <v>103</v>
      </c>
      <c r="K240" s="3" t="s">
        <v>105</v>
      </c>
      <c r="L240" s="3" t="s">
        <v>1163</v>
      </c>
      <c r="M240" s="3" t="s">
        <v>374</v>
      </c>
      <c r="N240" s="3" t="s">
        <v>1164</v>
      </c>
      <c r="O240" s="3" t="s">
        <v>1165</v>
      </c>
      <c r="P240" s="3" t="s">
        <v>215</v>
      </c>
      <c r="Q240" t="str">
        <f t="shared" si="17"/>
        <v>http://roarmap.eprints.org/view/country/372.html</v>
      </c>
      <c r="R240" s="3">
        <v>372</v>
      </c>
      <c r="S240" s="6" t="s">
        <v>199</v>
      </c>
      <c r="T240" s="9">
        <v>372</v>
      </c>
      <c r="U240" s="7" t="s">
        <v>123</v>
      </c>
      <c r="V240" s="6" t="s">
        <v>125</v>
      </c>
      <c r="W240" s="3" t="s">
        <v>158</v>
      </c>
      <c r="X240" s="3" t="s">
        <v>376</v>
      </c>
      <c r="Y240" s="3" t="s">
        <v>1163</v>
      </c>
      <c r="Z240" s="8" t="str">
        <f>HYPERLINK("http://www.hea.ie/","http://www.hea.ie/")</f>
        <v>http://www.hea.ie/</v>
      </c>
      <c r="AA240" s="8" t="str">
        <f>HYPERLINK("http://www.hea.ie/sites/default/files/national_principles_on_open_access_policy_statement_final_23_oct_2012_v1_3_0.pdf","http://www.hea.ie/sites/default/files/national_principles_on_open_access_policy_statement_final_23_oct_2012_v1_3_0.pdf")</f>
        <v>http://www.hea.ie/sites/default/files/national_principles_on_open_access_policy_statement_final_23_oct_2012_v1_3_0.pdf</v>
      </c>
      <c r="AC240" s="3">
        <v>41275</v>
      </c>
      <c r="AF240" s="3" t="s">
        <v>244</v>
      </c>
      <c r="AG240" s="3" t="s">
        <v>178</v>
      </c>
      <c r="AH240" s="3" t="s">
        <v>180</v>
      </c>
      <c r="AI240" s="3" t="s">
        <v>187</v>
      </c>
      <c r="AJ240" s="3" t="s">
        <v>244</v>
      </c>
      <c r="AK240" s="3" t="s">
        <v>371</v>
      </c>
      <c r="AL240" s="3" t="s">
        <v>185</v>
      </c>
      <c r="AM240" s="3" t="s">
        <v>178</v>
      </c>
      <c r="AN240" s="3" t="s">
        <v>244</v>
      </c>
      <c r="AO240" s="3" t="s">
        <v>392</v>
      </c>
      <c r="AP240" s="3" t="s">
        <v>244</v>
      </c>
      <c r="AQ240" s="3" t="s">
        <v>648</v>
      </c>
      <c r="AR240" s="3" t="s">
        <v>244</v>
      </c>
      <c r="AS240" s="3" t="s">
        <v>288</v>
      </c>
      <c r="AT240" s="3" t="s">
        <v>379</v>
      </c>
      <c r="AU240" s="3" t="s">
        <v>395</v>
      </c>
      <c r="AV240" s="3" t="s">
        <v>185</v>
      </c>
      <c r="AW240" s="3" t="s">
        <v>195</v>
      </c>
      <c r="AX240" s="3" t="s">
        <v>341</v>
      </c>
      <c r="AY240" s="3" t="s">
        <v>371</v>
      </c>
    </row>
    <row r="241" spans="1:51" ht="15.75" customHeight="1">
      <c r="A241" s="3">
        <v>187</v>
      </c>
      <c r="B241" s="5" t="str">
        <f t="shared" si="0"/>
        <v>http://roarmap.eprints.org/187/</v>
      </c>
      <c r="C241" s="3">
        <v>5</v>
      </c>
      <c r="D241" s="3" t="s">
        <v>98</v>
      </c>
      <c r="E241" s="3">
        <v>1</v>
      </c>
      <c r="F241" s="3" t="s">
        <v>1166</v>
      </c>
      <c r="G241" s="3">
        <v>41988.923356481479</v>
      </c>
      <c r="H241" s="3">
        <v>42029.750335648147</v>
      </c>
      <c r="I241" s="3">
        <v>41988.923356481479</v>
      </c>
      <c r="J241" s="3" t="s">
        <v>103</v>
      </c>
      <c r="K241" s="3" t="s">
        <v>105</v>
      </c>
      <c r="L241" s="3" t="s">
        <v>1167</v>
      </c>
      <c r="M241" s="3" t="s">
        <v>307</v>
      </c>
      <c r="N241" s="3" t="s">
        <v>1168</v>
      </c>
      <c r="O241" s="3" t="s">
        <v>1169</v>
      </c>
      <c r="P241" s="3" t="s">
        <v>215</v>
      </c>
      <c r="Q241" t="str">
        <f t="shared" si="17"/>
        <v>http://roarmap.eprints.org/view/country/372.html</v>
      </c>
      <c r="R241" s="3">
        <v>372</v>
      </c>
      <c r="S241" s="6" t="s">
        <v>199</v>
      </c>
      <c r="T241" s="9">
        <v>372</v>
      </c>
      <c r="U241" s="7" t="s">
        <v>123</v>
      </c>
      <c r="V241" s="6" t="s">
        <v>125</v>
      </c>
      <c r="W241" s="3" t="s">
        <v>158</v>
      </c>
      <c r="X241" s="3" t="s">
        <v>364</v>
      </c>
      <c r="Y241" s="3" t="s">
        <v>1167</v>
      </c>
      <c r="Z241" s="8" t="str">
        <f>HYPERLINK("http://research.ie/","http://research.ie/")</f>
        <v>http://research.ie/</v>
      </c>
      <c r="AA241" s="8" t="str">
        <f>HYPERLINK("http://research.ie/sites/default/files/irc_open_access_policy_final.doc","http://research.ie/sites/default/files/irc_open_access_policy_final.doc")</f>
        <v>http://research.ie/sites/default/files/irc_open_access_policy_final.doc</v>
      </c>
      <c r="AB241" s="8" t="str">
        <f>HYPERLINK("http://rian.ie/","http://rian.ie/")</f>
        <v>http://rian.ie/</v>
      </c>
      <c r="AD241" s="3">
        <v>41548</v>
      </c>
      <c r="AF241" s="3" t="s">
        <v>177</v>
      </c>
      <c r="AG241" s="3" t="s">
        <v>178</v>
      </c>
      <c r="AH241" s="3" t="s">
        <v>370</v>
      </c>
      <c r="AI241" s="3" t="s">
        <v>187</v>
      </c>
      <c r="AJ241" s="3" t="s">
        <v>182</v>
      </c>
      <c r="AK241" s="3" t="s">
        <v>393</v>
      </c>
      <c r="AL241" s="3" t="s">
        <v>244</v>
      </c>
      <c r="AM241" s="3" t="s">
        <v>178</v>
      </c>
      <c r="AN241" s="3" t="s">
        <v>244</v>
      </c>
      <c r="AO241" s="3" t="s">
        <v>378</v>
      </c>
      <c r="AP241" s="3" t="s">
        <v>244</v>
      </c>
      <c r="AQ241" s="3" t="s">
        <v>247</v>
      </c>
      <c r="AR241" s="3" t="s">
        <v>288</v>
      </c>
      <c r="AS241" s="3" t="s">
        <v>185</v>
      </c>
      <c r="AT241" s="3" t="s">
        <v>379</v>
      </c>
      <c r="AU241" s="3" t="s">
        <v>395</v>
      </c>
      <c r="AV241" s="3" t="s">
        <v>244</v>
      </c>
      <c r="AW241" s="3" t="s">
        <v>520</v>
      </c>
      <c r="AX241" s="3" t="s">
        <v>244</v>
      </c>
      <c r="AY241" s="3" t="s">
        <v>247</v>
      </c>
    </row>
    <row r="242" spans="1:51" ht="15.75" customHeight="1">
      <c r="A242" s="3">
        <v>188</v>
      </c>
      <c r="B242" s="5" t="str">
        <f t="shared" si="0"/>
        <v>http://roarmap.eprints.org/188/</v>
      </c>
      <c r="C242" s="3">
        <v>4</v>
      </c>
      <c r="D242" s="3" t="s">
        <v>98</v>
      </c>
      <c r="E242" s="3">
        <v>255</v>
      </c>
      <c r="F242" s="3" t="s">
        <v>1170</v>
      </c>
      <c r="G242" s="3">
        <v>41988.923368055555</v>
      </c>
      <c r="H242" s="3">
        <v>42046.981666666667</v>
      </c>
      <c r="I242" s="3">
        <v>41988.923368055555</v>
      </c>
      <c r="J242" s="3" t="s">
        <v>103</v>
      </c>
      <c r="K242" s="3" t="s">
        <v>105</v>
      </c>
      <c r="L242" s="3" t="s">
        <v>1171</v>
      </c>
      <c r="M242" s="3" t="s">
        <v>374</v>
      </c>
      <c r="N242" s="3" t="s">
        <v>1172</v>
      </c>
      <c r="P242" s="3" t="s">
        <v>215</v>
      </c>
      <c r="Q242" t="str">
        <f t="shared" si="17"/>
        <v>http://roarmap.eprints.org/view/country/372.html</v>
      </c>
      <c r="R242" s="3">
        <v>372</v>
      </c>
      <c r="S242" s="6" t="s">
        <v>199</v>
      </c>
      <c r="T242" s="9">
        <v>372</v>
      </c>
      <c r="U242" s="7" t="s">
        <v>123</v>
      </c>
      <c r="V242" s="6" t="s">
        <v>125</v>
      </c>
      <c r="W242" s="3" t="s">
        <v>158</v>
      </c>
      <c r="X242" s="3" t="s">
        <v>160</v>
      </c>
      <c r="Y242" s="3" t="s">
        <v>1171</v>
      </c>
      <c r="Z242" s="8" t="str">
        <f>HYPERLINK("http://library.nuim.ie/","http://library.nuim.ie/")</f>
        <v>http://library.nuim.ie/</v>
      </c>
      <c r="AA242" s="8" t="str">
        <f>HYPERLINK("http://library.nuim.ie/sites/library.nuim.ie/files/editors/PDF/ePrints%20-%20NUIM%20Mandate_0.pdf","http://library.nuim.ie/sites/library.nuim.ie/files/editors/PDF/ePrints%20-%20NUIM%20Mandate_0.pdf")</f>
        <v>http://library.nuim.ie/sites/library.nuim.ie/files/editors/PDF/ePrints%20-%20NUIM%20Mandate_0.pdf</v>
      </c>
      <c r="AB242" s="8" t="str">
        <f>HYPERLINK("http://eprints.nuim.ie/","http://eprints.nuim.ie/")</f>
        <v>http://eprints.nuim.ie/</v>
      </c>
      <c r="AD242" s="3">
        <v>40664</v>
      </c>
      <c r="AE242" s="3">
        <v>40634</v>
      </c>
      <c r="AF242" s="3" t="s">
        <v>177</v>
      </c>
      <c r="AG242" s="3" t="s">
        <v>333</v>
      </c>
      <c r="AH242" s="3" t="s">
        <v>180</v>
      </c>
      <c r="AI242" s="3" t="s">
        <v>187</v>
      </c>
      <c r="AJ242" s="3" t="s">
        <v>371</v>
      </c>
      <c r="AK242" s="3" t="s">
        <v>393</v>
      </c>
      <c r="AL242" s="3" t="s">
        <v>288</v>
      </c>
      <c r="AM242" s="3" t="s">
        <v>247</v>
      </c>
      <c r="AN242" s="3" t="s">
        <v>244</v>
      </c>
      <c r="AO242" s="3" t="s">
        <v>378</v>
      </c>
      <c r="AP242" s="3" t="s">
        <v>244</v>
      </c>
      <c r="AQ242" s="3" t="s">
        <v>386</v>
      </c>
      <c r="AR242" s="3" t="s">
        <v>288</v>
      </c>
      <c r="AS242" s="3" t="s">
        <v>288</v>
      </c>
      <c r="AT242" s="3" t="s">
        <v>379</v>
      </c>
      <c r="AU242" s="3" t="s">
        <v>379</v>
      </c>
      <c r="AV242" s="3" t="s">
        <v>288</v>
      </c>
      <c r="AW242" s="3" t="s">
        <v>195</v>
      </c>
      <c r="AX242" s="3" t="s">
        <v>244</v>
      </c>
      <c r="AY242" s="3" t="s">
        <v>247</v>
      </c>
    </row>
    <row r="243" spans="1:51" ht="15.75" customHeight="1">
      <c r="A243" s="3">
        <v>189</v>
      </c>
      <c r="B243" s="5" t="str">
        <f t="shared" si="0"/>
        <v>http://roarmap.eprints.org/189/</v>
      </c>
      <c r="C243" s="3">
        <v>3</v>
      </c>
      <c r="D243" s="3" t="s">
        <v>98</v>
      </c>
      <c r="E243" s="3">
        <v>1</v>
      </c>
      <c r="F243" s="3" t="s">
        <v>1173</v>
      </c>
      <c r="G243" s="3">
        <v>41988.923368055555</v>
      </c>
      <c r="H243" s="3">
        <v>41988.923368055555</v>
      </c>
      <c r="I243" s="3">
        <v>41988.923368055555</v>
      </c>
      <c r="J243" s="3" t="s">
        <v>103</v>
      </c>
      <c r="K243" s="3" t="s">
        <v>105</v>
      </c>
      <c r="L243" s="3" t="s">
        <v>1174</v>
      </c>
      <c r="M243" s="3" t="s">
        <v>374</v>
      </c>
      <c r="O243" s="3" t="s">
        <v>1175</v>
      </c>
      <c r="P243" s="3" t="s">
        <v>215</v>
      </c>
      <c r="Q243" t="str">
        <f t="shared" si="17"/>
        <v>http://roarmap.eprints.org/view/country/372.html</v>
      </c>
      <c r="R243" s="3">
        <v>372</v>
      </c>
      <c r="S243" s="6" t="s">
        <v>199</v>
      </c>
      <c r="T243" s="9">
        <v>372</v>
      </c>
      <c r="U243" s="7" t="s">
        <v>123</v>
      </c>
      <c r="V243" s="6" t="s">
        <v>125</v>
      </c>
      <c r="W243" s="3" t="s">
        <v>158</v>
      </c>
      <c r="X243" s="3" t="s">
        <v>376</v>
      </c>
      <c r="Y243" s="3" t="s">
        <v>1174</v>
      </c>
      <c r="Z243" s="8" t="str">
        <f>HYPERLINK("http://www.sfi.ie/","http://www.sfi.ie/")</f>
        <v>http://www.sfi.ie/</v>
      </c>
      <c r="AA243" s="8" t="str">
        <f>HYPERLINK("http://www.sfi.ie/assets/files/downloads/Funding/grant_policies/open%20access%20dec%2010.pdf","http://www.sfi.ie/assets/files/downloads/Funding/grant_policies/open%20access%20dec%2010.pdf")</f>
        <v>http://www.sfi.ie/assets/files/downloads/Funding/grant_policies/open%20access%20dec%2010.pdf</v>
      </c>
      <c r="AD243" s="3">
        <v>39845</v>
      </c>
      <c r="AF243" s="3" t="s">
        <v>177</v>
      </c>
      <c r="AG243" s="3" t="s">
        <v>178</v>
      </c>
      <c r="AH243" s="3" t="s">
        <v>370</v>
      </c>
      <c r="AI243" s="3" t="s">
        <v>187</v>
      </c>
      <c r="AJ243" s="3" t="s">
        <v>182</v>
      </c>
      <c r="AK243" s="3" t="s">
        <v>393</v>
      </c>
      <c r="AL243" s="3" t="s">
        <v>244</v>
      </c>
      <c r="AM243" s="3" t="s">
        <v>247</v>
      </c>
      <c r="AN243" s="3" t="s">
        <v>244</v>
      </c>
      <c r="AO243" s="3" t="s">
        <v>187</v>
      </c>
      <c r="AP243" s="3" t="s">
        <v>244</v>
      </c>
      <c r="AQ243" s="3" t="s">
        <v>247</v>
      </c>
      <c r="AR243" s="3" t="s">
        <v>288</v>
      </c>
      <c r="AS243" s="3" t="s">
        <v>288</v>
      </c>
      <c r="AT243" s="3" t="s">
        <v>379</v>
      </c>
      <c r="AU243" s="3" t="s">
        <v>379</v>
      </c>
      <c r="AV243" s="3" t="s">
        <v>288</v>
      </c>
      <c r="AW243" s="3" t="s">
        <v>195</v>
      </c>
      <c r="AX243" s="3" t="s">
        <v>244</v>
      </c>
      <c r="AY243" s="3" t="s">
        <v>247</v>
      </c>
    </row>
    <row r="244" spans="1:51" ht="15.75" customHeight="1">
      <c r="A244" s="3">
        <v>190</v>
      </c>
      <c r="B244" s="5" t="str">
        <f t="shared" si="0"/>
        <v>http://roarmap.eprints.org/190/</v>
      </c>
      <c r="C244" s="3">
        <v>3</v>
      </c>
      <c r="D244" s="3" t="s">
        <v>98</v>
      </c>
      <c r="E244" s="3">
        <v>1</v>
      </c>
      <c r="F244" s="3" t="s">
        <v>1176</v>
      </c>
      <c r="G244" s="3">
        <v>41988.923368055555</v>
      </c>
      <c r="H244" s="3">
        <v>41988.923379629632</v>
      </c>
      <c r="I244" s="3">
        <v>41988.923368055555</v>
      </c>
      <c r="J244" s="3" t="s">
        <v>103</v>
      </c>
      <c r="K244" s="3" t="s">
        <v>105</v>
      </c>
      <c r="L244" s="3" t="s">
        <v>1177</v>
      </c>
      <c r="M244" s="3" t="s">
        <v>374</v>
      </c>
      <c r="N244" s="3" t="s">
        <v>1178</v>
      </c>
      <c r="O244" s="3" t="s">
        <v>1179</v>
      </c>
      <c r="P244" s="3" t="s">
        <v>215</v>
      </c>
      <c r="Q244" t="str">
        <f t="shared" si="17"/>
        <v>http://roarmap.eprints.org/view/country/372.html</v>
      </c>
      <c r="R244" s="3">
        <v>372</v>
      </c>
      <c r="S244" s="6" t="s">
        <v>199</v>
      </c>
      <c r="T244" s="9">
        <v>372</v>
      </c>
      <c r="U244" s="7" t="s">
        <v>123</v>
      </c>
      <c r="V244" s="6" t="s">
        <v>125</v>
      </c>
      <c r="W244" s="3" t="s">
        <v>158</v>
      </c>
      <c r="X244" s="3" t="s">
        <v>160</v>
      </c>
      <c r="Y244" s="3" t="s">
        <v>1177</v>
      </c>
      <c r="Z244" s="8" t="str">
        <f>HYPERLINK("http://www.tcd.ie/","http://www.tcd.ie/")</f>
        <v>http://www.tcd.ie/</v>
      </c>
      <c r="AA244" s="8" t="str">
        <f>HYPERLINK("https://www.tcd.ie/research_innovation/assets/TCD%20Open%20Access%20Policy.pdf","https://www.tcd.ie/research_innovation/assets/TCD%20Open%20Access%20Policy.pdf")</f>
        <v>https://www.tcd.ie/research_innovation/assets/TCD%20Open%20Access%20Policy.pdf</v>
      </c>
      <c r="AB244" s="8" t="str">
        <f>HYPERLINK("http://www.tara.tcd.ie/","http://www.tara.tcd.ie/")</f>
        <v>http://www.tara.tcd.ie/</v>
      </c>
      <c r="AD244" s="3">
        <v>39845</v>
      </c>
      <c r="AF244" s="3" t="s">
        <v>244</v>
      </c>
      <c r="AG244" s="3" t="s">
        <v>244</v>
      </c>
      <c r="AH244" s="3" t="s">
        <v>180</v>
      </c>
      <c r="AI244" s="3" t="s">
        <v>392</v>
      </c>
      <c r="AJ244" s="3" t="s">
        <v>182</v>
      </c>
      <c r="AK244" s="3" t="s">
        <v>183</v>
      </c>
      <c r="AL244" s="3" t="s">
        <v>244</v>
      </c>
      <c r="AM244" s="3" t="s">
        <v>247</v>
      </c>
      <c r="AN244" s="3" t="s">
        <v>244</v>
      </c>
      <c r="AO244" s="3" t="s">
        <v>378</v>
      </c>
      <c r="AP244" s="3" t="s">
        <v>244</v>
      </c>
      <c r="AQ244" s="3" t="s">
        <v>394</v>
      </c>
      <c r="AR244" s="3" t="s">
        <v>288</v>
      </c>
      <c r="AS244" s="3" t="s">
        <v>185</v>
      </c>
      <c r="AT244" s="3" t="s">
        <v>379</v>
      </c>
      <c r="AU244" s="3" t="s">
        <v>379</v>
      </c>
      <c r="AV244" s="3" t="s">
        <v>288</v>
      </c>
      <c r="AW244" s="3" t="s">
        <v>371</v>
      </c>
      <c r="AX244" s="3" t="s">
        <v>244</v>
      </c>
      <c r="AY244" s="3" t="s">
        <v>247</v>
      </c>
    </row>
    <row r="245" spans="1:51" ht="15.75" customHeight="1">
      <c r="A245" s="3">
        <v>191</v>
      </c>
      <c r="B245" s="5" t="str">
        <f t="shared" si="0"/>
        <v>http://roarmap.eprints.org/191/</v>
      </c>
      <c r="C245" s="3">
        <v>3</v>
      </c>
      <c r="D245" s="3" t="s">
        <v>98</v>
      </c>
      <c r="E245" s="3">
        <v>1</v>
      </c>
      <c r="F245" s="3" t="s">
        <v>1180</v>
      </c>
      <c r="G245" s="3">
        <v>41988.923379629632</v>
      </c>
      <c r="H245" s="3">
        <v>41988.923379629632</v>
      </c>
      <c r="I245" s="3">
        <v>41988.923379629632</v>
      </c>
      <c r="J245" s="3" t="s">
        <v>103</v>
      </c>
      <c r="K245" s="3" t="s">
        <v>105</v>
      </c>
      <c r="L245" s="3" t="s">
        <v>1181</v>
      </c>
      <c r="M245" s="3" t="s">
        <v>374</v>
      </c>
      <c r="N245" s="3" t="s">
        <v>1182</v>
      </c>
      <c r="O245" s="3" t="s">
        <v>1183</v>
      </c>
      <c r="P245" s="3" t="s">
        <v>215</v>
      </c>
      <c r="Q245" t="str">
        <f t="shared" si="17"/>
        <v>http://roarmap.eprints.org/view/country/380.html</v>
      </c>
      <c r="R245" s="3">
        <v>380</v>
      </c>
      <c r="S245" s="6" t="s">
        <v>201</v>
      </c>
      <c r="T245" s="9">
        <v>380</v>
      </c>
      <c r="U245" s="7" t="s">
        <v>123</v>
      </c>
      <c r="V245" s="6" t="s">
        <v>76</v>
      </c>
      <c r="W245" s="3" t="s">
        <v>158</v>
      </c>
      <c r="X245" s="3" t="s">
        <v>757</v>
      </c>
      <c r="Y245" s="3" t="s">
        <v>1181</v>
      </c>
      <c r="Z245" s="8" t="str">
        <f>HYPERLINK("http://www.crui.it/english/","http://www.crui.it/english/")</f>
        <v>http://www.crui.it/english/</v>
      </c>
      <c r="AA245" s="8" t="str">
        <f>HYPERLINK("http://roarmap.eprints.org/830/1/Position_paper_en.pdf","http://roarmap.eprints.org/830/1/Position_paper_en.pdf")</f>
        <v>http://roarmap.eprints.org/830/1/Position_paper_en.pdf</v>
      </c>
      <c r="AB245" s="3" t="s">
        <v>1184</v>
      </c>
      <c r="AC245" s="3">
        <v>41452</v>
      </c>
      <c r="AD245" s="3">
        <v>41303</v>
      </c>
      <c r="AE245" s="3">
        <v>41354</v>
      </c>
      <c r="AF245" s="3" t="s">
        <v>177</v>
      </c>
      <c r="AG245" s="3" t="s">
        <v>333</v>
      </c>
      <c r="AH245" s="3" t="s">
        <v>370</v>
      </c>
      <c r="AI245" s="3" t="s">
        <v>371</v>
      </c>
      <c r="AJ245" s="3" t="s">
        <v>244</v>
      </c>
      <c r="AK245" s="3" t="s">
        <v>183</v>
      </c>
      <c r="AL245" s="3" t="s">
        <v>288</v>
      </c>
      <c r="AM245" s="3" t="s">
        <v>247</v>
      </c>
      <c r="AN245" s="3" t="s">
        <v>244</v>
      </c>
      <c r="AO245" s="3" t="s">
        <v>378</v>
      </c>
      <c r="AP245" s="3" t="s">
        <v>244</v>
      </c>
      <c r="AQ245" s="3" t="s">
        <v>394</v>
      </c>
      <c r="AR245" s="3" t="s">
        <v>288</v>
      </c>
      <c r="AS245" s="3" t="s">
        <v>185</v>
      </c>
      <c r="AT245" s="3" t="s">
        <v>244</v>
      </c>
      <c r="AU245" s="3" t="s">
        <v>244</v>
      </c>
      <c r="AV245" s="3" t="s">
        <v>288</v>
      </c>
      <c r="AW245" s="3" t="s">
        <v>195</v>
      </c>
      <c r="AX245" s="3" t="s">
        <v>244</v>
      </c>
      <c r="AY245" s="3" t="s">
        <v>247</v>
      </c>
    </row>
    <row r="246" spans="1:51" ht="15.75" customHeight="1">
      <c r="A246" s="3">
        <v>192</v>
      </c>
      <c r="B246" s="5" t="str">
        <f t="shared" si="0"/>
        <v>http://roarmap.eprints.org/192/</v>
      </c>
      <c r="C246" s="3">
        <v>4</v>
      </c>
      <c r="D246" s="3" t="s">
        <v>98</v>
      </c>
      <c r="E246" s="3">
        <v>256</v>
      </c>
      <c r="F246" s="3" t="s">
        <v>1185</v>
      </c>
      <c r="G246" s="3">
        <v>41988.923379629632</v>
      </c>
      <c r="H246" s="3">
        <v>42046.981666666667</v>
      </c>
      <c r="I246" s="3">
        <v>41988.923379629632</v>
      </c>
      <c r="J246" s="3" t="s">
        <v>103</v>
      </c>
      <c r="K246" s="3" t="s">
        <v>105</v>
      </c>
      <c r="L246" s="3" t="s">
        <v>1186</v>
      </c>
      <c r="M246" s="3" t="s">
        <v>374</v>
      </c>
      <c r="N246" s="3" t="s">
        <v>1187</v>
      </c>
      <c r="O246" s="3" t="s">
        <v>1188</v>
      </c>
      <c r="P246" s="3" t="s">
        <v>215</v>
      </c>
      <c r="Q246" t="str">
        <f t="shared" si="17"/>
        <v>http://roarmap.eprints.org/view/country/380.html</v>
      </c>
      <c r="R246" s="3">
        <v>380</v>
      </c>
      <c r="S246" s="6" t="s">
        <v>201</v>
      </c>
      <c r="T246" s="9">
        <v>380</v>
      </c>
      <c r="U246" s="7" t="s">
        <v>123</v>
      </c>
      <c r="V246" s="6" t="s">
        <v>76</v>
      </c>
      <c r="W246" s="3" t="s">
        <v>158</v>
      </c>
      <c r="X246" s="3" t="s">
        <v>160</v>
      </c>
      <c r="Y246" s="3" t="s">
        <v>1186</v>
      </c>
      <c r="Z246" s="8" t="str">
        <f>HYPERLINK("http://www.eui.eu/Home.aspx","http://www.eui.eu/Home.aspx")</f>
        <v>http://www.eui.eu/Home.aspx</v>
      </c>
      <c r="AA246" s="8" t="str">
        <f>HYPERLINK("http://roarmap.eprints.org/496/4/EUIPolicyonOpenAccess2013.pdf","http://roarmap.eprints.org/496/4/EUIPolicyonOpenAccess2013.pdf")</f>
        <v>http://roarmap.eprints.org/496/4/EUIPolicyonOpenAccess2013.pdf</v>
      </c>
      <c r="AB246" s="8" t="str">
        <f>HYPERLINK("http://cadmus.eui.eu/","http://cadmus.eui.eu/")</f>
        <v>http://cadmus.eui.eu/</v>
      </c>
      <c r="AC246" s="3">
        <v>41353</v>
      </c>
      <c r="AE246" s="3">
        <v>41353</v>
      </c>
      <c r="AF246" s="3" t="s">
        <v>244</v>
      </c>
      <c r="AG246" s="3" t="s">
        <v>333</v>
      </c>
      <c r="AH246" s="3" t="s">
        <v>180</v>
      </c>
      <c r="AI246" s="3" t="s">
        <v>244</v>
      </c>
      <c r="AJ246" s="3" t="s">
        <v>244</v>
      </c>
      <c r="AK246" s="3" t="s">
        <v>183</v>
      </c>
      <c r="AL246" s="3" t="s">
        <v>288</v>
      </c>
      <c r="AM246" s="3" t="s">
        <v>479</v>
      </c>
      <c r="AN246" s="3" t="s">
        <v>244</v>
      </c>
      <c r="AO246" s="3" t="s">
        <v>247</v>
      </c>
      <c r="AP246" s="3" t="s">
        <v>244</v>
      </c>
      <c r="AQ246" s="3" t="s">
        <v>394</v>
      </c>
      <c r="AR246" s="3" t="s">
        <v>288</v>
      </c>
      <c r="AS246" s="3" t="s">
        <v>185</v>
      </c>
      <c r="AT246" s="3" t="s">
        <v>244</v>
      </c>
      <c r="AU246" s="3" t="s">
        <v>244</v>
      </c>
      <c r="AV246" s="3" t="s">
        <v>288</v>
      </c>
      <c r="AW246" s="3" t="s">
        <v>195</v>
      </c>
      <c r="AX246" s="3" t="s">
        <v>244</v>
      </c>
      <c r="AY246" s="3" t="s">
        <v>247</v>
      </c>
    </row>
    <row r="247" spans="1:51" ht="15.75" customHeight="1">
      <c r="A247" s="3">
        <v>193</v>
      </c>
      <c r="B247" s="5" t="str">
        <f t="shared" si="0"/>
        <v>http://roarmap.eprints.org/193/</v>
      </c>
      <c r="C247" s="3">
        <v>4</v>
      </c>
      <c r="D247" s="3" t="s">
        <v>98</v>
      </c>
      <c r="E247" s="3">
        <v>1</v>
      </c>
      <c r="F247" s="3" t="s">
        <v>1189</v>
      </c>
      <c r="G247" s="3">
        <v>41988.923379629632</v>
      </c>
      <c r="H247" s="3">
        <v>41988.923379629632</v>
      </c>
      <c r="I247" s="3">
        <v>41988.923379629632</v>
      </c>
      <c r="J247" s="3" t="s">
        <v>103</v>
      </c>
      <c r="K247" s="3" t="s">
        <v>105</v>
      </c>
      <c r="L247" s="3" t="s">
        <v>1190</v>
      </c>
      <c r="M247" s="3" t="s">
        <v>374</v>
      </c>
      <c r="N247" s="3" t="s">
        <v>1191</v>
      </c>
      <c r="O247" s="3" t="s">
        <v>1192</v>
      </c>
      <c r="P247" s="3" t="s">
        <v>215</v>
      </c>
      <c r="Q247" t="str">
        <f t="shared" si="17"/>
        <v>http://roarmap.eprints.org/view/country/380.html</v>
      </c>
      <c r="R247" s="3">
        <v>380</v>
      </c>
      <c r="S247" s="6" t="s">
        <v>201</v>
      </c>
      <c r="T247" s="9">
        <v>380</v>
      </c>
      <c r="U247" s="7" t="s">
        <v>123</v>
      </c>
      <c r="V247" s="6" t="s">
        <v>76</v>
      </c>
      <c r="W247" s="3" t="s">
        <v>158</v>
      </c>
      <c r="X247" s="3" t="s">
        <v>160</v>
      </c>
      <c r="Y247" s="3" t="s">
        <v>1190</v>
      </c>
      <c r="Z247" s="8" t="str">
        <f>HYPERLINK("http://www.iss.it/","http://www.iss.it/")</f>
        <v>http://www.iss.it/</v>
      </c>
      <c r="AA247" s="8" t="str">
        <f>HYPERLINK("http://dspace.iss.it/dspace/bitstream/2198/352/1/Policy_ISS_IT.pdf","http://dspace.iss.it/dspace/bitstream/2198/352/1/Policy_ISS_IT.pdf")</f>
        <v>http://dspace.iss.it/dspace/bitstream/2198/352/1/Policy_ISS_IT.pdf</v>
      </c>
      <c r="AB247" s="8" t="str">
        <f>HYPERLINK("http://dspace.iss.it/dspace/","http://dspace.iss.it/dspace/")</f>
        <v>http://dspace.iss.it/dspace/</v>
      </c>
      <c r="AC247" s="3">
        <v>2008</v>
      </c>
      <c r="AD247" s="3">
        <v>2008</v>
      </c>
      <c r="AF247" s="3" t="s">
        <v>177</v>
      </c>
      <c r="AG247" s="3" t="s">
        <v>178</v>
      </c>
      <c r="AH247" s="3" t="s">
        <v>180</v>
      </c>
      <c r="AI247" s="3" t="s">
        <v>181</v>
      </c>
      <c r="AJ247" s="3" t="s">
        <v>182</v>
      </c>
      <c r="AK247" s="3" t="s">
        <v>183</v>
      </c>
      <c r="AL247" s="3" t="s">
        <v>185</v>
      </c>
      <c r="AM247" s="3" t="s">
        <v>479</v>
      </c>
      <c r="AN247" s="3" t="s">
        <v>244</v>
      </c>
      <c r="AO247" s="3" t="s">
        <v>181</v>
      </c>
      <c r="AP247" s="3" t="s">
        <v>244</v>
      </c>
      <c r="AQ247" s="3" t="s">
        <v>386</v>
      </c>
      <c r="AR247" s="3" t="s">
        <v>288</v>
      </c>
      <c r="AS247" s="3" t="s">
        <v>244</v>
      </c>
      <c r="AT247" s="3" t="s">
        <v>244</v>
      </c>
      <c r="AU247" s="3" t="s">
        <v>244</v>
      </c>
      <c r="AV247" s="3" t="s">
        <v>244</v>
      </c>
      <c r="AW247" s="3" t="s">
        <v>195</v>
      </c>
      <c r="AX247" s="3" t="s">
        <v>244</v>
      </c>
      <c r="AY247" s="3" t="s">
        <v>247</v>
      </c>
    </row>
    <row r="248" spans="1:51" ht="15.75" customHeight="1">
      <c r="A248" s="3">
        <v>194</v>
      </c>
      <c r="B248" s="5" t="str">
        <f t="shared" si="0"/>
        <v>http://roarmap.eprints.org/194/</v>
      </c>
      <c r="C248" s="3">
        <v>3</v>
      </c>
      <c r="D248" s="3" t="s">
        <v>98</v>
      </c>
      <c r="E248" s="3">
        <v>1</v>
      </c>
      <c r="F248" s="3" t="s">
        <v>1193</v>
      </c>
      <c r="G248" s="3">
        <v>41988.923379629632</v>
      </c>
      <c r="H248" s="3">
        <v>41988.923379629632</v>
      </c>
      <c r="I248" s="3">
        <v>41988.923379629632</v>
      </c>
      <c r="J248" s="3" t="s">
        <v>103</v>
      </c>
      <c r="K248" s="3" t="s">
        <v>105</v>
      </c>
      <c r="L248" s="3" t="s">
        <v>1194</v>
      </c>
      <c r="M248" s="3" t="s">
        <v>374</v>
      </c>
      <c r="N248" s="3" t="s">
        <v>1195</v>
      </c>
      <c r="P248" s="3" t="s">
        <v>215</v>
      </c>
      <c r="Q248" t="str">
        <f t="shared" si="17"/>
        <v>http://roarmap.eprints.org/view/country/380.html</v>
      </c>
      <c r="R248" s="3">
        <v>380</v>
      </c>
      <c r="S248" s="6" t="s">
        <v>201</v>
      </c>
      <c r="T248" s="9">
        <v>380</v>
      </c>
      <c r="U248" s="7" t="s">
        <v>123</v>
      </c>
      <c r="V248" s="6" t="s">
        <v>76</v>
      </c>
      <c r="W248" s="3" t="s">
        <v>158</v>
      </c>
      <c r="X248" s="3" t="s">
        <v>376</v>
      </c>
      <c r="Y248" s="3" t="s">
        <v>1194</v>
      </c>
      <c r="Z248" s="8" t="str">
        <f>HYPERLINK("http://attiministeriali.miur.it/","http://attiministeriali.miur.it/")</f>
        <v>http://attiministeriali.miur.it/</v>
      </c>
      <c r="AA248" s="8" t="str">
        <f>HYPERLINK("http://roarmap.eprints.org/1000/1/dd-23012014.aspx","http://roarmap.eprints.org/1000/1/dd-23012014.aspx")</f>
        <v>http://roarmap.eprints.org/1000/1/dd-23012014.aspx</v>
      </c>
      <c r="AC248" s="3">
        <v>41662</v>
      </c>
      <c r="AF248" s="3" t="s">
        <v>244</v>
      </c>
      <c r="AG248" s="3" t="s">
        <v>178</v>
      </c>
      <c r="AH248" s="3" t="s">
        <v>180</v>
      </c>
      <c r="AI248" s="3" t="s">
        <v>392</v>
      </c>
      <c r="AJ248" s="3" t="s">
        <v>182</v>
      </c>
      <c r="AK248" s="3" t="s">
        <v>183</v>
      </c>
      <c r="AL248" s="3" t="s">
        <v>244</v>
      </c>
      <c r="AM248" s="3" t="s">
        <v>178</v>
      </c>
      <c r="AN248" s="3" t="s">
        <v>185</v>
      </c>
      <c r="AO248" s="3" t="s">
        <v>392</v>
      </c>
      <c r="AP248" s="3" t="s">
        <v>244</v>
      </c>
      <c r="AQ248" s="3" t="s">
        <v>247</v>
      </c>
      <c r="AR248" s="3" t="s">
        <v>288</v>
      </c>
      <c r="AS248" s="3" t="s">
        <v>288</v>
      </c>
      <c r="AT248" s="3" t="s">
        <v>379</v>
      </c>
      <c r="AU248" s="3" t="s">
        <v>395</v>
      </c>
      <c r="AV248" s="3" t="s">
        <v>185</v>
      </c>
      <c r="AW248" s="3" t="s">
        <v>339</v>
      </c>
      <c r="AX248" s="3" t="s">
        <v>244</v>
      </c>
      <c r="AY248" s="3" t="s">
        <v>247</v>
      </c>
    </row>
    <row r="249" spans="1:51" ht="15.75" customHeight="1">
      <c r="A249" s="3">
        <v>641</v>
      </c>
      <c r="B249" s="5" t="str">
        <f t="shared" si="0"/>
        <v>http://roarmap.eprints.org/641/</v>
      </c>
      <c r="C249" s="3">
        <v>8</v>
      </c>
      <c r="D249" s="3" t="s">
        <v>98</v>
      </c>
      <c r="E249" s="3">
        <v>1</v>
      </c>
      <c r="F249" s="3" t="s">
        <v>1196</v>
      </c>
      <c r="G249" s="3">
        <v>41988.924270833333</v>
      </c>
      <c r="H249" s="3">
        <v>42020.53638888889</v>
      </c>
      <c r="I249" s="3">
        <v>41988.924270833333</v>
      </c>
      <c r="J249" s="3" t="s">
        <v>103</v>
      </c>
      <c r="K249" s="3" t="s">
        <v>105</v>
      </c>
      <c r="L249" s="3" t="s">
        <v>1197</v>
      </c>
      <c r="O249" s="3" t="s">
        <v>1198</v>
      </c>
      <c r="P249" s="3" t="s">
        <v>215</v>
      </c>
      <c r="Q249" t="str">
        <f t="shared" si="17"/>
        <v>http://roarmap.eprints.org/view/country/380.html</v>
      </c>
      <c r="R249" s="3">
        <v>380</v>
      </c>
      <c r="S249" s="6" t="s">
        <v>201</v>
      </c>
      <c r="T249" s="9">
        <v>380</v>
      </c>
      <c r="U249" s="7" t="s">
        <v>123</v>
      </c>
      <c r="V249" s="6" t="s">
        <v>76</v>
      </c>
      <c r="W249" s="3" t="s">
        <v>158</v>
      </c>
      <c r="X249" s="3" t="s">
        <v>376</v>
      </c>
      <c r="Y249" s="3" t="s">
        <v>1197</v>
      </c>
      <c r="Z249" s="8" t="str">
        <f>HYPERLINK("http://www.ircres.cnr.it/index.php/it/","http://www.ircres.cnr.it/index.php/it/")</f>
        <v>http://www.ircres.cnr.it/index.php/it/</v>
      </c>
      <c r="AA249" s="8" t="str">
        <f>HYPERLINK("http://www.digibess.it/node/34","http://www.digibess.it/node/34")</f>
        <v>http://www.digibess.it/node/34</v>
      </c>
      <c r="AB249" s="8" t="str">
        <f>HYPERLINK("http://www.digibess.it","http://www.digibess.it")</f>
        <v>http://www.digibess.it</v>
      </c>
      <c r="AC249" s="3">
        <v>2012</v>
      </c>
      <c r="AD249" s="3">
        <v>40909</v>
      </c>
      <c r="AE249" s="3">
        <v>40909</v>
      </c>
      <c r="AF249" s="3" t="s">
        <v>177</v>
      </c>
      <c r="AG249" s="3" t="s">
        <v>244</v>
      </c>
      <c r="AH249" s="3" t="s">
        <v>244</v>
      </c>
      <c r="AI249" s="3" t="s">
        <v>244</v>
      </c>
      <c r="AJ249" s="3" t="s">
        <v>371</v>
      </c>
      <c r="AK249" s="3" t="s">
        <v>244</v>
      </c>
      <c r="AL249" s="3" t="s">
        <v>288</v>
      </c>
      <c r="AM249" s="3" t="s">
        <v>479</v>
      </c>
      <c r="AN249" s="3" t="s">
        <v>185</v>
      </c>
      <c r="AO249" s="3" t="s">
        <v>621</v>
      </c>
      <c r="AP249" s="3" t="s">
        <v>185</v>
      </c>
      <c r="AQ249" s="3" t="s">
        <v>394</v>
      </c>
      <c r="AR249" s="3" t="s">
        <v>288</v>
      </c>
      <c r="AS249" s="3" t="s">
        <v>288</v>
      </c>
      <c r="AT249" s="3" t="s">
        <v>785</v>
      </c>
      <c r="AU249" s="3" t="s">
        <v>785</v>
      </c>
      <c r="AV249" s="3" t="s">
        <v>288</v>
      </c>
      <c r="AW249" s="3" t="s">
        <v>630</v>
      </c>
      <c r="AX249" s="3" t="s">
        <v>244</v>
      </c>
      <c r="AY249" s="3" t="s">
        <v>247</v>
      </c>
    </row>
    <row r="250" spans="1:51" ht="15.75" customHeight="1">
      <c r="A250" s="3">
        <v>195</v>
      </c>
      <c r="B250" s="5" t="str">
        <f t="shared" si="0"/>
        <v>http://roarmap.eprints.org/195/</v>
      </c>
      <c r="C250" s="3">
        <v>3</v>
      </c>
      <c r="D250" s="3" t="s">
        <v>98</v>
      </c>
      <c r="E250" s="3">
        <v>1</v>
      </c>
      <c r="F250" s="3" t="s">
        <v>1199</v>
      </c>
      <c r="G250" s="3">
        <v>41988.923379629632</v>
      </c>
      <c r="H250" s="3">
        <v>41988.923379629632</v>
      </c>
      <c r="I250" s="3">
        <v>41988.923379629632</v>
      </c>
      <c r="J250" s="3" t="s">
        <v>103</v>
      </c>
      <c r="K250" s="3" t="s">
        <v>105</v>
      </c>
      <c r="L250" s="3" t="s">
        <v>1200</v>
      </c>
      <c r="M250" s="3" t="s">
        <v>352</v>
      </c>
      <c r="N250" s="3" t="s">
        <v>1201</v>
      </c>
      <c r="O250" s="3" t="s">
        <v>1202</v>
      </c>
      <c r="P250" s="3" t="s">
        <v>215</v>
      </c>
      <c r="Q250" t="str">
        <f t="shared" si="17"/>
        <v>http://roarmap.eprints.org/view/country/380.html</v>
      </c>
      <c r="R250" s="3">
        <v>380</v>
      </c>
      <c r="S250" s="6" t="s">
        <v>201</v>
      </c>
      <c r="T250" s="9">
        <v>380</v>
      </c>
      <c r="U250" s="7" t="s">
        <v>123</v>
      </c>
      <c r="V250" s="6" t="s">
        <v>76</v>
      </c>
      <c r="W250" s="3" t="s">
        <v>158</v>
      </c>
      <c r="X250" s="3" t="s">
        <v>160</v>
      </c>
      <c r="Y250" s="3" t="s">
        <v>1200</v>
      </c>
      <c r="Z250" s="8" t="str">
        <f>HYPERLINK("http://web.uniroma2.it/home.php?sr=1024","http://web.uniroma2.it/home.php?sr=1024")</f>
        <v>http://web.uniroma2.it/home.php?sr=1024</v>
      </c>
      <c r="AA250" s="8" t="str">
        <f>HYPERLINK("http://roarmap.eprints.org/253/","http://roarmap.eprints.org/253/")</f>
        <v>http://roarmap.eprints.org/253/</v>
      </c>
      <c r="AB250" s="8" t="str">
        <f>HYPERLINK("http://dspace.uniroma2.it/dspace/index.jsp","http://dspace.uniroma2.it/dspace/index.jsp")</f>
        <v>http://dspace.uniroma2.it/dspace/index.jsp</v>
      </c>
      <c r="AF250" s="3" t="s">
        <v>244</v>
      </c>
      <c r="AG250" s="3" t="s">
        <v>178</v>
      </c>
      <c r="AH250" s="3" t="s">
        <v>180</v>
      </c>
      <c r="AI250" s="3" t="s">
        <v>244</v>
      </c>
      <c r="AJ250" s="3" t="s">
        <v>385</v>
      </c>
      <c r="AK250" s="3" t="s">
        <v>244</v>
      </c>
      <c r="AL250" s="3" t="s">
        <v>244</v>
      </c>
      <c r="AM250" s="3" t="s">
        <v>247</v>
      </c>
      <c r="AN250" s="3" t="s">
        <v>244</v>
      </c>
      <c r="AO250" s="3" t="s">
        <v>247</v>
      </c>
      <c r="AP250" s="3" t="s">
        <v>244</v>
      </c>
      <c r="AQ250" s="3" t="s">
        <v>247</v>
      </c>
      <c r="AR250" s="3" t="s">
        <v>288</v>
      </c>
      <c r="AS250" s="3" t="s">
        <v>288</v>
      </c>
      <c r="AT250" s="3" t="s">
        <v>244</v>
      </c>
      <c r="AU250" s="3" t="s">
        <v>244</v>
      </c>
      <c r="AV250" s="3" t="s">
        <v>288</v>
      </c>
      <c r="AW250" s="3" t="s">
        <v>371</v>
      </c>
      <c r="AX250" s="3" t="s">
        <v>244</v>
      </c>
      <c r="AY250" s="3" t="s">
        <v>247</v>
      </c>
    </row>
    <row r="251" spans="1:51" ht="15.75" customHeight="1">
      <c r="A251" s="3">
        <v>196</v>
      </c>
      <c r="B251" s="5" t="str">
        <f t="shared" si="0"/>
        <v>http://roarmap.eprints.org/196/</v>
      </c>
      <c r="C251" s="3">
        <v>4</v>
      </c>
      <c r="D251" s="3" t="s">
        <v>98</v>
      </c>
      <c r="E251" s="3">
        <v>1</v>
      </c>
      <c r="F251" s="3" t="s">
        <v>1203</v>
      </c>
      <c r="G251" s="3">
        <v>41988.923379629632</v>
      </c>
      <c r="H251" s="3">
        <v>41988.923379629632</v>
      </c>
      <c r="I251" s="3">
        <v>41988.923379629632</v>
      </c>
      <c r="J251" s="3" t="s">
        <v>103</v>
      </c>
      <c r="K251" s="3" t="s">
        <v>105</v>
      </c>
      <c r="L251" s="3" t="s">
        <v>1204</v>
      </c>
      <c r="M251" s="3" t="s">
        <v>637</v>
      </c>
      <c r="N251" s="3" t="s">
        <v>1205</v>
      </c>
      <c r="O251" s="3" t="s">
        <v>1206</v>
      </c>
      <c r="P251" s="3" t="s">
        <v>215</v>
      </c>
      <c r="Q251" t="str">
        <f t="shared" si="17"/>
        <v>http://roarmap.eprints.org/view/country/380.html</v>
      </c>
      <c r="R251" s="3">
        <v>380</v>
      </c>
      <c r="S251" s="6" t="s">
        <v>201</v>
      </c>
      <c r="T251" s="9">
        <v>380</v>
      </c>
      <c r="U251" s="7" t="s">
        <v>123</v>
      </c>
      <c r="V251" s="6" t="s">
        <v>76</v>
      </c>
      <c r="W251" s="3" t="s">
        <v>158</v>
      </c>
      <c r="X251" s="3" t="s">
        <v>160</v>
      </c>
      <c r="Y251" s="3" t="s">
        <v>1204</v>
      </c>
      <c r="Z251" s="8" t="str">
        <f>HYPERLINK("http://www.luiss.it/","http://www.luiss.it/")</f>
        <v>http://www.luiss.it/</v>
      </c>
      <c r="AB251" s="8" t="str">
        <f>HYPERLINK("http://eprints.luiss.it/","http://eprints.luiss.it/")</f>
        <v>http://eprints.luiss.it/</v>
      </c>
      <c r="AC251" s="3">
        <v>39961</v>
      </c>
      <c r="AD251" s="3">
        <v>39961</v>
      </c>
      <c r="AE251" s="3">
        <v>40299</v>
      </c>
      <c r="AF251" s="3" t="s">
        <v>177</v>
      </c>
      <c r="AG251" s="3" t="s">
        <v>178</v>
      </c>
      <c r="AH251" s="3" t="s">
        <v>180</v>
      </c>
      <c r="AI251" s="3" t="s">
        <v>371</v>
      </c>
      <c r="AJ251" s="3" t="s">
        <v>385</v>
      </c>
      <c r="AK251" s="3" t="s">
        <v>244</v>
      </c>
      <c r="AL251" s="3" t="s">
        <v>185</v>
      </c>
      <c r="AM251" s="3" t="s">
        <v>178</v>
      </c>
      <c r="AN251" s="3" t="s">
        <v>244</v>
      </c>
      <c r="AO251" s="3" t="s">
        <v>371</v>
      </c>
      <c r="AP251" s="3" t="s">
        <v>244</v>
      </c>
      <c r="AQ251" s="3" t="s">
        <v>247</v>
      </c>
      <c r="AR251" s="3" t="s">
        <v>244</v>
      </c>
      <c r="AS251" s="3" t="s">
        <v>244</v>
      </c>
      <c r="AT251" s="3" t="s">
        <v>244</v>
      </c>
      <c r="AU251" s="3" t="s">
        <v>244</v>
      </c>
      <c r="AV251" s="3" t="s">
        <v>244</v>
      </c>
      <c r="AW251" s="3" t="s">
        <v>244</v>
      </c>
      <c r="AX251" s="3" t="s">
        <v>244</v>
      </c>
      <c r="AY251" s="3" t="s">
        <v>247</v>
      </c>
    </row>
    <row r="252" spans="1:51" ht="15.75" customHeight="1">
      <c r="A252" s="3">
        <v>197</v>
      </c>
      <c r="B252" s="5" t="str">
        <f t="shared" si="0"/>
        <v>http://roarmap.eprints.org/197/</v>
      </c>
      <c r="C252" s="3">
        <v>3</v>
      </c>
      <c r="D252" s="3" t="s">
        <v>98</v>
      </c>
      <c r="E252" s="3">
        <v>1</v>
      </c>
      <c r="F252" s="3" t="s">
        <v>1207</v>
      </c>
      <c r="G252" s="3">
        <v>41988.923391203702</v>
      </c>
      <c r="H252" s="3">
        <v>41988.923391203702</v>
      </c>
      <c r="I252" s="3">
        <v>41988.923391203702</v>
      </c>
      <c r="J252" s="3" t="s">
        <v>103</v>
      </c>
      <c r="K252" s="3" t="s">
        <v>105</v>
      </c>
      <c r="L252" s="3" t="s">
        <v>1208</v>
      </c>
      <c r="M252" s="3" t="s">
        <v>469</v>
      </c>
      <c r="N252" s="3" t="s">
        <v>1209</v>
      </c>
      <c r="O252" s="3" t="s">
        <v>1210</v>
      </c>
      <c r="P252" s="3" t="s">
        <v>1129</v>
      </c>
      <c r="Q252" t="str">
        <f t="shared" si="17"/>
        <v>http://roarmap.eprints.org/view/country/380.html</v>
      </c>
      <c r="R252" s="3">
        <v>380</v>
      </c>
      <c r="S252" s="6" t="s">
        <v>201</v>
      </c>
      <c r="T252" s="9">
        <v>380</v>
      </c>
      <c r="U252" s="7" t="s">
        <v>123</v>
      </c>
      <c r="V252" s="6" t="s">
        <v>76</v>
      </c>
      <c r="W252" s="3" t="s">
        <v>158</v>
      </c>
      <c r="X252" s="3" t="s">
        <v>160</v>
      </c>
      <c r="Y252" s="3" t="s">
        <v>1208</v>
      </c>
      <c r="Z252" s="8" t="str">
        <f>HYPERLINK("http://www.poliba.it","http://www.poliba.it")</f>
        <v>http://www.poliba.it</v>
      </c>
      <c r="AG252" s="3" t="s">
        <v>244</v>
      </c>
      <c r="AH252" s="3" t="s">
        <v>244</v>
      </c>
      <c r="AI252" s="3" t="s">
        <v>244</v>
      </c>
      <c r="AJ252" s="3" t="s">
        <v>244</v>
      </c>
      <c r="AK252" s="3" t="s">
        <v>244</v>
      </c>
      <c r="AL252" s="3" t="s">
        <v>244</v>
      </c>
      <c r="AM252" s="3" t="s">
        <v>247</v>
      </c>
      <c r="AN252" s="3" t="s">
        <v>244</v>
      </c>
      <c r="AO252" s="3" t="s">
        <v>247</v>
      </c>
      <c r="AP252" s="3" t="s">
        <v>244</v>
      </c>
      <c r="AQ252" s="3" t="s">
        <v>247</v>
      </c>
      <c r="AR252" s="3" t="s">
        <v>288</v>
      </c>
      <c r="AS252" s="3" t="s">
        <v>244</v>
      </c>
      <c r="AT252" s="3" t="s">
        <v>244</v>
      </c>
      <c r="AU252" s="3" t="s">
        <v>244</v>
      </c>
      <c r="AV252" s="3" t="s">
        <v>288</v>
      </c>
      <c r="AW252" s="3" t="s">
        <v>244</v>
      </c>
      <c r="AX252" s="3" t="s">
        <v>244</v>
      </c>
      <c r="AY252" s="3" t="s">
        <v>247</v>
      </c>
    </row>
    <row r="253" spans="1:51" ht="15.75" customHeight="1">
      <c r="A253" s="3">
        <v>198</v>
      </c>
      <c r="B253" s="5" t="str">
        <f t="shared" si="0"/>
        <v>http://roarmap.eprints.org/198/</v>
      </c>
      <c r="C253" s="3">
        <v>3</v>
      </c>
      <c r="D253" s="3" t="s">
        <v>98</v>
      </c>
      <c r="E253" s="3">
        <v>1</v>
      </c>
      <c r="F253" s="3" t="s">
        <v>1211</v>
      </c>
      <c r="G253" s="3">
        <v>41988.923391203702</v>
      </c>
      <c r="H253" s="3">
        <v>41988.923391203702</v>
      </c>
      <c r="I253" s="3">
        <v>41988.923391203702</v>
      </c>
      <c r="J253" s="3" t="s">
        <v>103</v>
      </c>
      <c r="K253" s="3" t="s">
        <v>105</v>
      </c>
      <c r="L253" s="3" t="s">
        <v>1212</v>
      </c>
      <c r="M253" s="3" t="s">
        <v>469</v>
      </c>
      <c r="O253" s="3" t="s">
        <v>1213</v>
      </c>
      <c r="P253" s="3" t="s">
        <v>1129</v>
      </c>
      <c r="Q253" t="str">
        <f t="shared" si="17"/>
        <v>http://roarmap.eprints.org/view/country/380.html</v>
      </c>
      <c r="R253" s="3">
        <v>380</v>
      </c>
      <c r="S253" s="6" t="s">
        <v>201</v>
      </c>
      <c r="T253" s="9">
        <v>380</v>
      </c>
      <c r="U253" s="7" t="s">
        <v>123</v>
      </c>
      <c r="V253" s="6" t="s">
        <v>76</v>
      </c>
      <c r="W253" s="3" t="s">
        <v>158</v>
      </c>
      <c r="X253" s="3" t="s">
        <v>160</v>
      </c>
      <c r="Y253" s="3" t="s">
        <v>1212</v>
      </c>
      <c r="Z253" s="8" t="str">
        <f>HYPERLINK("http://www.polito.it","http://www.polito.it")</f>
        <v>http://www.polito.it</v>
      </c>
      <c r="AB253" s="8" t="str">
        <f>HYPERLINK("http://porto.polito.it/","http://porto.polito.it/")</f>
        <v>http://porto.polito.it/</v>
      </c>
      <c r="AG253" s="3" t="s">
        <v>244</v>
      </c>
      <c r="AH253" s="3" t="s">
        <v>244</v>
      </c>
      <c r="AI253" s="3" t="s">
        <v>244</v>
      </c>
      <c r="AJ253" s="3" t="s">
        <v>244</v>
      </c>
      <c r="AK253" s="3" t="s">
        <v>244</v>
      </c>
      <c r="AL253" s="3" t="s">
        <v>244</v>
      </c>
      <c r="AM253" s="3" t="s">
        <v>247</v>
      </c>
      <c r="AN253" s="3" t="s">
        <v>244</v>
      </c>
      <c r="AO253" s="3" t="s">
        <v>247</v>
      </c>
      <c r="AP253" s="3" t="s">
        <v>244</v>
      </c>
      <c r="AQ253" s="3" t="s">
        <v>247</v>
      </c>
      <c r="AR253" s="3" t="s">
        <v>288</v>
      </c>
      <c r="AS253" s="3" t="s">
        <v>244</v>
      </c>
      <c r="AT253" s="3" t="s">
        <v>244</v>
      </c>
      <c r="AU253" s="3" t="s">
        <v>244</v>
      </c>
      <c r="AV253" s="3" t="s">
        <v>288</v>
      </c>
      <c r="AW253" s="3" t="s">
        <v>244</v>
      </c>
      <c r="AX253" s="3" t="s">
        <v>244</v>
      </c>
      <c r="AY253" s="3" t="s">
        <v>247</v>
      </c>
    </row>
    <row r="254" spans="1:51" ht="15.75" customHeight="1">
      <c r="A254" s="3">
        <v>199</v>
      </c>
      <c r="B254" s="5" t="str">
        <f t="shared" si="0"/>
        <v>http://roarmap.eprints.org/199/</v>
      </c>
      <c r="C254" s="3">
        <v>5</v>
      </c>
      <c r="D254" s="3" t="s">
        <v>98</v>
      </c>
      <c r="E254" s="3">
        <v>1</v>
      </c>
      <c r="F254" s="3" t="s">
        <v>1214</v>
      </c>
      <c r="G254" s="3">
        <v>41988.923391203702</v>
      </c>
      <c r="H254" s="3">
        <v>42066.887858796297</v>
      </c>
      <c r="I254" s="3">
        <v>41988.923391203702</v>
      </c>
      <c r="J254" s="3" t="s">
        <v>103</v>
      </c>
      <c r="K254" s="3" t="s">
        <v>105</v>
      </c>
      <c r="L254" s="3" t="s">
        <v>1215</v>
      </c>
      <c r="M254" s="3" t="s">
        <v>352</v>
      </c>
      <c r="N254" s="3" t="s">
        <v>1216</v>
      </c>
      <c r="O254" s="3" t="s">
        <v>1217</v>
      </c>
      <c r="P254" s="3" t="s">
        <v>1129</v>
      </c>
      <c r="Q254" t="str">
        <f t="shared" si="17"/>
        <v>http://roarmap.eprints.org/view/country/380.html</v>
      </c>
      <c r="R254" s="3">
        <v>380</v>
      </c>
      <c r="S254" s="6" t="s">
        <v>201</v>
      </c>
      <c r="T254" s="9">
        <v>380</v>
      </c>
      <c r="U254" s="7" t="s">
        <v>123</v>
      </c>
      <c r="V254" s="6" t="s">
        <v>76</v>
      </c>
      <c r="W254" s="3" t="s">
        <v>158</v>
      </c>
      <c r="X254" s="3" t="s">
        <v>160</v>
      </c>
      <c r="Y254" s="3" t="s">
        <v>1215</v>
      </c>
      <c r="Z254" s="8" t="str">
        <f>HYPERLINK("http://www.imtlucca.it","http://www.imtlucca.it")</f>
        <v>http://www.imtlucca.it</v>
      </c>
      <c r="AA254" s="8" t="str">
        <f>HYPERLINK("http://e-theses.imtlucca.it/images/FullDepositGuide.pdf","http://e-theses.imtlucca.it/images/FullDepositGuide.pdf")</f>
        <v>http://e-theses.imtlucca.it/images/FullDepositGuide.pdf</v>
      </c>
      <c r="AB254" s="8" t="str">
        <f>HYPERLINK("http://e-theses.imtlucca.it/","http://e-theses.imtlucca.it/")</f>
        <v>http://e-theses.imtlucca.it/</v>
      </c>
      <c r="AC254" s="3">
        <v>40940</v>
      </c>
      <c r="AF254" s="3" t="s">
        <v>244</v>
      </c>
      <c r="AG254" s="3" t="s">
        <v>178</v>
      </c>
      <c r="AH254" s="3" t="s">
        <v>180</v>
      </c>
      <c r="AI254" s="3" t="s">
        <v>187</v>
      </c>
      <c r="AJ254" s="3" t="s">
        <v>385</v>
      </c>
      <c r="AK254" s="3" t="s">
        <v>244</v>
      </c>
      <c r="AL254" s="3" t="s">
        <v>185</v>
      </c>
      <c r="AM254" s="3" t="s">
        <v>479</v>
      </c>
      <c r="AN254" s="3" t="s">
        <v>244</v>
      </c>
      <c r="AO254" s="3" t="s">
        <v>187</v>
      </c>
      <c r="AP254" s="3" t="s">
        <v>244</v>
      </c>
      <c r="AQ254" s="3" t="s">
        <v>394</v>
      </c>
      <c r="AR254" s="3" t="s">
        <v>288</v>
      </c>
      <c r="AS254" s="3" t="s">
        <v>288</v>
      </c>
      <c r="AT254" s="3" t="s">
        <v>193</v>
      </c>
      <c r="AU254" s="3" t="s">
        <v>193</v>
      </c>
      <c r="AV254" s="3" t="s">
        <v>244</v>
      </c>
      <c r="AW254" s="3" t="s">
        <v>520</v>
      </c>
      <c r="AX254" s="3" t="s">
        <v>244</v>
      </c>
      <c r="AY254" s="3" t="s">
        <v>247</v>
      </c>
    </row>
    <row r="255" spans="1:51" ht="15.75" customHeight="1">
      <c r="A255" s="3">
        <v>200</v>
      </c>
      <c r="B255" s="5" t="str">
        <f t="shared" si="0"/>
        <v>http://roarmap.eprints.org/200/</v>
      </c>
      <c r="C255" s="3">
        <v>3</v>
      </c>
      <c r="D255" s="3" t="s">
        <v>98</v>
      </c>
      <c r="E255" s="3">
        <v>1</v>
      </c>
      <c r="F255" s="3" t="s">
        <v>1218</v>
      </c>
      <c r="G255" s="3">
        <v>41988.923391203702</v>
      </c>
      <c r="H255" s="3">
        <v>41988.923402777778</v>
      </c>
      <c r="I255" s="3">
        <v>41988.923391203702</v>
      </c>
      <c r="J255" s="3" t="s">
        <v>103</v>
      </c>
      <c r="K255" s="3" t="s">
        <v>105</v>
      </c>
      <c r="L255" s="3" t="s">
        <v>1219</v>
      </c>
      <c r="M255" s="3" t="s">
        <v>352</v>
      </c>
      <c r="N255" s="3" t="s">
        <v>1220</v>
      </c>
      <c r="P255" s="3" t="s">
        <v>215</v>
      </c>
      <c r="Q255" t="str">
        <f t="shared" si="17"/>
        <v>http://roarmap.eprints.org/view/country/380.html</v>
      </c>
      <c r="R255" s="3">
        <v>380</v>
      </c>
      <c r="S255" s="6" t="s">
        <v>201</v>
      </c>
      <c r="T255" s="9">
        <v>380</v>
      </c>
      <c r="U255" s="7" t="s">
        <v>123</v>
      </c>
      <c r="V255" s="6" t="s">
        <v>76</v>
      </c>
      <c r="W255" s="3" t="s">
        <v>158</v>
      </c>
      <c r="X255" s="3" t="s">
        <v>160</v>
      </c>
      <c r="Y255" s="3" t="s">
        <v>1219</v>
      </c>
      <c r="Z255" s="8" t="str">
        <f>HYPERLINK("http://www.sissa.it/","http://www.sissa.it/")</f>
        <v>http://www.sissa.it/</v>
      </c>
      <c r="AB255" s="8" t="str">
        <f>HYPERLINK("http://digitallibrary.sissa.it/handle/1963/3","http://digitallibrary.sissa.it/handle/1963/3")</f>
        <v>http://digitallibrary.sissa.it/handle/1963/3</v>
      </c>
      <c r="AF255" s="3" t="s">
        <v>244</v>
      </c>
      <c r="AG255" s="3" t="s">
        <v>244</v>
      </c>
      <c r="AH255" s="3" t="s">
        <v>180</v>
      </c>
      <c r="AI255" s="3" t="s">
        <v>244</v>
      </c>
      <c r="AJ255" s="3" t="s">
        <v>385</v>
      </c>
      <c r="AK255" s="3" t="s">
        <v>244</v>
      </c>
      <c r="AL255" s="3" t="s">
        <v>244</v>
      </c>
      <c r="AM255" s="3" t="s">
        <v>247</v>
      </c>
      <c r="AN255" s="3" t="s">
        <v>244</v>
      </c>
      <c r="AO255" s="3" t="s">
        <v>247</v>
      </c>
      <c r="AP255" s="3" t="s">
        <v>244</v>
      </c>
      <c r="AQ255" s="3" t="s">
        <v>247</v>
      </c>
      <c r="AR255" s="3" t="s">
        <v>288</v>
      </c>
      <c r="AS255" s="3" t="s">
        <v>288</v>
      </c>
      <c r="AT255" s="3" t="s">
        <v>244</v>
      </c>
      <c r="AU255" s="3" t="s">
        <v>244</v>
      </c>
      <c r="AV255" s="3" t="s">
        <v>288</v>
      </c>
      <c r="AW255" s="3" t="s">
        <v>195</v>
      </c>
      <c r="AX255" s="3" t="s">
        <v>244</v>
      </c>
      <c r="AY255" s="3" t="s">
        <v>247</v>
      </c>
    </row>
    <row r="256" spans="1:51" ht="15.75" customHeight="1">
      <c r="A256" s="3">
        <v>202</v>
      </c>
      <c r="B256" s="5" t="str">
        <f t="shared" si="0"/>
        <v>http://roarmap.eprints.org/202/</v>
      </c>
      <c r="C256" s="3">
        <v>3</v>
      </c>
      <c r="D256" s="3" t="s">
        <v>98</v>
      </c>
      <c r="E256" s="3">
        <v>1</v>
      </c>
      <c r="F256" s="3" t="s">
        <v>1221</v>
      </c>
      <c r="G256" s="3">
        <v>41988.923414351855</v>
      </c>
      <c r="H256" s="3">
        <v>41988.923414351855</v>
      </c>
      <c r="I256" s="3">
        <v>41988.923414351855</v>
      </c>
      <c r="J256" s="3" t="s">
        <v>103</v>
      </c>
      <c r="K256" s="3" t="s">
        <v>105</v>
      </c>
      <c r="L256" s="3" t="s">
        <v>1222</v>
      </c>
      <c r="M256" s="3" t="s">
        <v>374</v>
      </c>
      <c r="N256" s="3" t="s">
        <v>1223</v>
      </c>
      <c r="P256" s="3" t="s">
        <v>215</v>
      </c>
      <c r="Q256" t="str">
        <f t="shared" si="17"/>
        <v>http://roarmap.eprints.org/view/country/380.html</v>
      </c>
      <c r="R256" s="3">
        <v>380</v>
      </c>
      <c r="S256" s="6" t="s">
        <v>201</v>
      </c>
      <c r="T256" s="9">
        <v>380</v>
      </c>
      <c r="U256" s="7" t="s">
        <v>123</v>
      </c>
      <c r="V256" s="6" t="s">
        <v>76</v>
      </c>
      <c r="W256" s="3" t="s">
        <v>158</v>
      </c>
      <c r="X256" s="3" t="s">
        <v>376</v>
      </c>
      <c r="Y256" s="3" t="s">
        <v>1222</v>
      </c>
      <c r="Z256" s="8" t="str">
        <f>HYPERLINK("http://www.telethon.it/english/default.aspx","http://www.telethon.it/english/default.aspx")</f>
        <v>http://www.telethon.it/english/default.aspx</v>
      </c>
      <c r="AA256" s="3" t="s">
        <v>1224</v>
      </c>
      <c r="AB256" s="8" t="str">
        <f>HYPERLINK("http://europepmc.org/","http://europepmc.org/")</f>
        <v>http://europepmc.org/</v>
      </c>
      <c r="AF256" s="3" t="s">
        <v>244</v>
      </c>
      <c r="AG256" s="3" t="s">
        <v>333</v>
      </c>
      <c r="AH256" s="3" t="s">
        <v>244</v>
      </c>
      <c r="AI256" s="3" t="s">
        <v>244</v>
      </c>
      <c r="AJ256" s="3" t="s">
        <v>244</v>
      </c>
      <c r="AK256" s="3" t="s">
        <v>244</v>
      </c>
      <c r="AL256" s="3" t="s">
        <v>288</v>
      </c>
      <c r="AM256" s="3" t="s">
        <v>247</v>
      </c>
      <c r="AN256" s="3" t="s">
        <v>244</v>
      </c>
      <c r="AO256" s="3" t="s">
        <v>247</v>
      </c>
      <c r="AP256" s="3" t="s">
        <v>244</v>
      </c>
      <c r="AQ256" s="3" t="s">
        <v>247</v>
      </c>
      <c r="AR256" s="3" t="s">
        <v>288</v>
      </c>
      <c r="AS256" s="3" t="s">
        <v>288</v>
      </c>
      <c r="AT256" s="3" t="s">
        <v>244</v>
      </c>
      <c r="AU256" s="3" t="s">
        <v>244</v>
      </c>
      <c r="AV256" s="3" t="s">
        <v>288</v>
      </c>
      <c r="AW256" s="3" t="s">
        <v>195</v>
      </c>
      <c r="AX256" s="3" t="s">
        <v>244</v>
      </c>
      <c r="AY256" s="3" t="s">
        <v>247</v>
      </c>
    </row>
    <row r="257" spans="1:51" ht="15.75" customHeight="1">
      <c r="A257" s="3">
        <v>205</v>
      </c>
      <c r="B257" s="5" t="str">
        <f t="shared" si="0"/>
        <v>http://roarmap.eprints.org/205/</v>
      </c>
      <c r="C257" s="3">
        <v>3</v>
      </c>
      <c r="D257" s="3" t="s">
        <v>98</v>
      </c>
      <c r="E257" s="3">
        <v>1</v>
      </c>
      <c r="F257" s="3" t="s">
        <v>1225</v>
      </c>
      <c r="G257" s="3">
        <v>41988.923425925925</v>
      </c>
      <c r="H257" s="3">
        <v>41988.923425925925</v>
      </c>
      <c r="I257" s="3">
        <v>41988.923425925925</v>
      </c>
      <c r="J257" s="3" t="s">
        <v>103</v>
      </c>
      <c r="K257" s="3" t="s">
        <v>105</v>
      </c>
      <c r="L257" s="3" t="s">
        <v>1226</v>
      </c>
      <c r="M257" s="3" t="s">
        <v>637</v>
      </c>
      <c r="N257" s="3" t="s">
        <v>1227</v>
      </c>
      <c r="O257" s="3" t="s">
        <v>1228</v>
      </c>
      <c r="P257" s="3" t="s">
        <v>215</v>
      </c>
      <c r="Q257" t="str">
        <f t="shared" si="17"/>
        <v>http://roarmap.eprints.org/view/country/380.html</v>
      </c>
      <c r="R257" s="3">
        <v>380</v>
      </c>
      <c r="S257" s="6" t="s">
        <v>201</v>
      </c>
      <c r="T257" s="9">
        <v>380</v>
      </c>
      <c r="U257" s="7" t="s">
        <v>123</v>
      </c>
      <c r="V257" s="6" t="s">
        <v>76</v>
      </c>
      <c r="W257" s="3" t="s">
        <v>158</v>
      </c>
      <c r="X257" s="3" t="s">
        <v>160</v>
      </c>
      <c r="Y257" s="3" t="s">
        <v>1226</v>
      </c>
      <c r="Z257" s="8" t="str">
        <f>HYPERLINK("http://www.uniroma3.it/","http://www.uniroma3.it/")</f>
        <v>http://www.uniroma3.it/</v>
      </c>
      <c r="AB257" s="8" t="str">
        <f>HYPERLINK("http://dspace-roma3.caspur.it/?locale=en","http://dspace-roma3.caspur.it/?locale=en")</f>
        <v>http://dspace-roma3.caspur.it/?locale=en</v>
      </c>
      <c r="AF257" s="3" t="s">
        <v>244</v>
      </c>
      <c r="AG257" s="3" t="s">
        <v>333</v>
      </c>
      <c r="AH257" s="3" t="s">
        <v>180</v>
      </c>
      <c r="AI257" s="3" t="s">
        <v>244</v>
      </c>
      <c r="AJ257" s="3" t="s">
        <v>385</v>
      </c>
      <c r="AK257" s="3" t="s">
        <v>244</v>
      </c>
      <c r="AL257" s="3" t="s">
        <v>288</v>
      </c>
      <c r="AM257" s="3" t="s">
        <v>479</v>
      </c>
      <c r="AN257" s="3" t="s">
        <v>244</v>
      </c>
      <c r="AO257" s="3" t="s">
        <v>247</v>
      </c>
      <c r="AP257" s="3" t="s">
        <v>244</v>
      </c>
      <c r="AQ257" s="3" t="s">
        <v>247</v>
      </c>
      <c r="AR257" s="3" t="s">
        <v>288</v>
      </c>
      <c r="AS257" s="3" t="s">
        <v>288</v>
      </c>
      <c r="AT257" s="3" t="s">
        <v>244</v>
      </c>
      <c r="AU257" s="3" t="s">
        <v>244</v>
      </c>
      <c r="AV257" s="3" t="s">
        <v>288</v>
      </c>
      <c r="AW257" s="3" t="s">
        <v>195</v>
      </c>
      <c r="AX257" s="3" t="s">
        <v>244</v>
      </c>
      <c r="AY257" s="3" t="s">
        <v>247</v>
      </c>
    </row>
    <row r="258" spans="1:51" ht="15.75" customHeight="1">
      <c r="A258" s="3">
        <v>231</v>
      </c>
      <c r="B258" s="5" t="str">
        <f t="shared" si="0"/>
        <v>http://roarmap.eprints.org/231/</v>
      </c>
      <c r="C258" s="3">
        <v>3</v>
      </c>
      <c r="D258" s="3" t="s">
        <v>98</v>
      </c>
      <c r="E258" s="3">
        <v>1</v>
      </c>
      <c r="F258" s="3" t="s">
        <v>1229</v>
      </c>
      <c r="G258" s="3">
        <v>41988.923506944448</v>
      </c>
      <c r="H258" s="3">
        <v>41988.923506944448</v>
      </c>
      <c r="I258" s="3">
        <v>41988.923506944448</v>
      </c>
      <c r="J258" s="3" t="s">
        <v>103</v>
      </c>
      <c r="K258" s="3" t="s">
        <v>105</v>
      </c>
      <c r="L258" s="3" t="s">
        <v>1230</v>
      </c>
      <c r="M258" s="3" t="s">
        <v>469</v>
      </c>
      <c r="N258" s="3" t="s">
        <v>1231</v>
      </c>
      <c r="O258" s="3" t="s">
        <v>1232</v>
      </c>
      <c r="P258" s="3" t="s">
        <v>1233</v>
      </c>
      <c r="Q258" t="str">
        <f t="shared" si="17"/>
        <v>http://roarmap.eprints.org/view/country/380.html</v>
      </c>
      <c r="R258" s="3">
        <v>380</v>
      </c>
      <c r="S258" s="6" t="s">
        <v>201</v>
      </c>
      <c r="T258" s="9">
        <v>380</v>
      </c>
      <c r="U258" s="7" t="s">
        <v>123</v>
      </c>
      <c r="V258" s="6" t="s">
        <v>76</v>
      </c>
      <c r="W258" s="3" t="s">
        <v>158</v>
      </c>
      <c r="X258" s="3" t="s">
        <v>160</v>
      </c>
      <c r="Y258" s="3" t="s">
        <v>1230</v>
      </c>
      <c r="Z258" s="8" t="str">
        <f>HYPERLINK("http://www.unich.it/","http://www.unich.it/")</f>
        <v>http://www.unich.it/</v>
      </c>
      <c r="AA258" s="8" t="str">
        <f>HYPERLINK("http://www.unich.it/unichieti/ShowBinary/BEA%20Repository/Area_Ateneo/Statuto%20e%20Regolamenti/Statuto/Statuto/file","http://www.unich.it/unichieti/ShowBinary/BEA%20Repository/Area_Ateneo/Statuto%20e%20Regolamenti/Statuto/Statuto//file")</f>
        <v>http://www.unich.it/unichieti/ShowBinary/BEA%20Repository/Area_Ateneo/Statuto%20e%20Regolamenti/Statuto/Statuto//file</v>
      </c>
      <c r="AF258" s="3" t="s">
        <v>177</v>
      </c>
      <c r="AG258" s="3" t="s">
        <v>333</v>
      </c>
      <c r="AH258" s="3" t="s">
        <v>244</v>
      </c>
      <c r="AI258" s="3" t="s">
        <v>244</v>
      </c>
      <c r="AJ258" s="3" t="s">
        <v>244</v>
      </c>
      <c r="AK258" s="3" t="s">
        <v>244</v>
      </c>
      <c r="AL258" s="3" t="s">
        <v>288</v>
      </c>
      <c r="AM258" s="3" t="s">
        <v>479</v>
      </c>
      <c r="AN258" s="3" t="s">
        <v>244</v>
      </c>
      <c r="AO258" s="3" t="s">
        <v>247</v>
      </c>
      <c r="AP258" s="3" t="s">
        <v>244</v>
      </c>
      <c r="AQ258" s="3" t="s">
        <v>247</v>
      </c>
      <c r="AR258" s="3" t="s">
        <v>288</v>
      </c>
      <c r="AS258" s="3" t="s">
        <v>244</v>
      </c>
      <c r="AT258" s="3" t="s">
        <v>244</v>
      </c>
      <c r="AU258" s="3" t="s">
        <v>244</v>
      </c>
      <c r="AV258" s="3" t="s">
        <v>288</v>
      </c>
      <c r="AW258" s="3" t="s">
        <v>244</v>
      </c>
      <c r="AX258" s="3" t="s">
        <v>244</v>
      </c>
      <c r="AY258" s="3" t="s">
        <v>247</v>
      </c>
    </row>
    <row r="259" spans="1:51" ht="15.75" customHeight="1">
      <c r="A259" s="3">
        <v>204</v>
      </c>
      <c r="B259" s="5" t="str">
        <f t="shared" si="0"/>
        <v>http://roarmap.eprints.org/204/</v>
      </c>
      <c r="C259" s="3">
        <v>4</v>
      </c>
      <c r="D259" s="3" t="s">
        <v>98</v>
      </c>
      <c r="E259" s="3">
        <v>1</v>
      </c>
      <c r="F259" s="3" t="s">
        <v>1234</v>
      </c>
      <c r="G259" s="3">
        <v>41988.923414351855</v>
      </c>
      <c r="H259" s="3">
        <v>41988.923414351855</v>
      </c>
      <c r="I259" s="3">
        <v>41988.923414351855</v>
      </c>
      <c r="J259" s="3" t="s">
        <v>103</v>
      </c>
      <c r="K259" s="3" t="s">
        <v>105</v>
      </c>
      <c r="L259" s="3" t="s">
        <v>1235</v>
      </c>
      <c r="M259" s="3" t="s">
        <v>374</v>
      </c>
      <c r="N259" s="3" t="s">
        <v>1236</v>
      </c>
      <c r="O259" s="3" t="s">
        <v>1237</v>
      </c>
      <c r="P259" s="3" t="s">
        <v>215</v>
      </c>
      <c r="Q259" t="str">
        <f t="shared" ref="Q259:Q322" si="20">CONCATENATE("http://roarmap.eprints.org/view/country/",T259,".html")</f>
        <v>http://roarmap.eprints.org/view/country/380.html</v>
      </c>
      <c r="R259" s="3">
        <v>380</v>
      </c>
      <c r="S259" s="6" t="s">
        <v>201</v>
      </c>
      <c r="T259" s="9">
        <v>380</v>
      </c>
      <c r="U259" s="7" t="s">
        <v>123</v>
      </c>
      <c r="V259" s="6" t="s">
        <v>76</v>
      </c>
      <c r="W259" s="3" t="s">
        <v>158</v>
      </c>
      <c r="X259" s="3" t="s">
        <v>160</v>
      </c>
      <c r="Y259" s="3" t="s">
        <v>1235</v>
      </c>
      <c r="Z259" s="8" t="str">
        <f>HYPERLINK("http://www.units.it/","http://www.units.it/")</f>
        <v>http://www.units.it/</v>
      </c>
      <c r="AA259" s="8" t="str">
        <f>HYPERLINK("http://hdl.handle.net/10077/8791","http://hdl.handle.net/10077/8791")</f>
        <v>http://hdl.handle.net/10077/8791</v>
      </c>
      <c r="AB259" s="8" t="str">
        <f>HYPERLINK("http://www.openstarts.units.it","http://www.openstarts.units.it")</f>
        <v>http://www.openstarts.units.it</v>
      </c>
      <c r="AC259" s="3">
        <v>41432</v>
      </c>
      <c r="AD259" s="3">
        <v>41432</v>
      </c>
      <c r="AE259" s="3">
        <v>41432</v>
      </c>
      <c r="AF259" s="3" t="s">
        <v>478</v>
      </c>
      <c r="AG259" s="3" t="s">
        <v>178</v>
      </c>
      <c r="AH259" s="3" t="s">
        <v>180</v>
      </c>
      <c r="AI259" s="3" t="s">
        <v>187</v>
      </c>
      <c r="AJ259" s="3" t="s">
        <v>182</v>
      </c>
      <c r="AK259" s="3" t="s">
        <v>371</v>
      </c>
      <c r="AL259" s="3" t="s">
        <v>185</v>
      </c>
      <c r="AM259" s="3" t="s">
        <v>479</v>
      </c>
      <c r="AN259" s="3" t="s">
        <v>189</v>
      </c>
      <c r="AO259" s="3" t="s">
        <v>247</v>
      </c>
      <c r="AP259" s="3" t="s">
        <v>189</v>
      </c>
      <c r="AQ259" s="3" t="s">
        <v>247</v>
      </c>
      <c r="AR259" s="3" t="s">
        <v>288</v>
      </c>
      <c r="AS259" s="3" t="s">
        <v>288</v>
      </c>
      <c r="AT259" s="3" t="s">
        <v>395</v>
      </c>
      <c r="AU259" s="3" t="s">
        <v>395</v>
      </c>
      <c r="AV259" s="3" t="s">
        <v>244</v>
      </c>
      <c r="AW259" s="3" t="s">
        <v>339</v>
      </c>
      <c r="AX259" s="3" t="s">
        <v>442</v>
      </c>
      <c r="AY259" s="3" t="s">
        <v>247</v>
      </c>
    </row>
    <row r="260" spans="1:51" ht="15.75" customHeight="1">
      <c r="A260" s="3">
        <v>229</v>
      </c>
      <c r="B260" s="5" t="str">
        <f t="shared" si="0"/>
        <v>http://roarmap.eprints.org/229/</v>
      </c>
      <c r="C260" s="3">
        <v>3</v>
      </c>
      <c r="D260" s="3" t="s">
        <v>98</v>
      </c>
      <c r="E260" s="3">
        <v>1</v>
      </c>
      <c r="F260" s="3" t="s">
        <v>1238</v>
      </c>
      <c r="G260" s="3">
        <v>41988.923506944448</v>
      </c>
      <c r="H260" s="3">
        <v>41988.923506944448</v>
      </c>
      <c r="I260" s="3">
        <v>41988.923506944448</v>
      </c>
      <c r="J260" s="3" t="s">
        <v>103</v>
      </c>
      <c r="K260" s="3" t="s">
        <v>105</v>
      </c>
      <c r="L260" s="3" t="s">
        <v>1239</v>
      </c>
      <c r="M260" s="3" t="s">
        <v>352</v>
      </c>
      <c r="N260" s="3" t="s">
        <v>1240</v>
      </c>
      <c r="P260" s="3" t="s">
        <v>215</v>
      </c>
      <c r="Q260" t="str">
        <f t="shared" si="20"/>
        <v>http://roarmap.eprints.org/view/country/380.html</v>
      </c>
      <c r="R260" s="3">
        <v>380</v>
      </c>
      <c r="S260" s="6" t="s">
        <v>201</v>
      </c>
      <c r="T260" s="9">
        <v>380</v>
      </c>
      <c r="U260" s="7" t="s">
        <v>123</v>
      </c>
      <c r="V260" s="6" t="s">
        <v>76</v>
      </c>
      <c r="W260" s="3" t="s">
        <v>158</v>
      </c>
      <c r="X260" s="3" t="s">
        <v>160</v>
      </c>
      <c r="Y260" s="3" t="s">
        <v>1239</v>
      </c>
      <c r="Z260" s="8" t="str">
        <f>HYPERLINK("http://www.unipi.it/","http://www.unipi.it/")</f>
        <v>http://www.unipi.it/</v>
      </c>
      <c r="AA260" s="8" t="str">
        <f>HYPERLINK("http://www.unipi.it/index.php/phoca-ateneo/category/6-area-didattica-e-studenti?download=29%3Aregolamento-per-il-deposito-elettronico-degli-elaborati-finali-e-delle-tesi","http://www.unipi.it/index.php/phoca-ateneo/category/6-area-didattica-e-studenti?download=29%3Aregolamento-per-il-deposito-elettronico-degli-elaborati-finali-e-delle-tesi")</f>
        <v>http://www.unipi.it/index.php/phoca-ateneo/category/6-area-didattica-e-studenti?download=29%3Aregolamento-per-il-deposito-elettronico-degli-elaborati-finali-e-delle-tesi</v>
      </c>
      <c r="AB260" s="8" t="str">
        <f>HYPERLINK("http://etd.adm.unipi.it/","http://etd.adm.unipi.it/")</f>
        <v>http://etd.adm.unipi.it/</v>
      </c>
      <c r="AF260" s="3" t="s">
        <v>177</v>
      </c>
      <c r="AG260" s="3" t="s">
        <v>178</v>
      </c>
      <c r="AH260" s="3" t="s">
        <v>180</v>
      </c>
      <c r="AI260" s="3" t="s">
        <v>244</v>
      </c>
      <c r="AJ260" s="3" t="s">
        <v>385</v>
      </c>
      <c r="AK260" s="3" t="s">
        <v>244</v>
      </c>
      <c r="AL260" s="3" t="s">
        <v>244</v>
      </c>
      <c r="AM260" s="3" t="s">
        <v>178</v>
      </c>
      <c r="AN260" s="3" t="s">
        <v>244</v>
      </c>
      <c r="AO260" s="3" t="s">
        <v>247</v>
      </c>
      <c r="AP260" s="3" t="s">
        <v>244</v>
      </c>
      <c r="AQ260" s="3" t="s">
        <v>247</v>
      </c>
      <c r="AR260" s="3" t="s">
        <v>288</v>
      </c>
      <c r="AS260" s="3" t="s">
        <v>288</v>
      </c>
      <c r="AT260" s="3" t="s">
        <v>244</v>
      </c>
      <c r="AU260" s="3" t="s">
        <v>244</v>
      </c>
      <c r="AV260" s="3" t="s">
        <v>288</v>
      </c>
      <c r="AW260" s="3" t="s">
        <v>371</v>
      </c>
      <c r="AX260" s="3" t="s">
        <v>244</v>
      </c>
      <c r="AY260" s="3" t="s">
        <v>247</v>
      </c>
    </row>
    <row r="261" spans="1:51" ht="15.75" customHeight="1">
      <c r="A261" s="3">
        <v>206</v>
      </c>
      <c r="B261" s="5" t="str">
        <f t="shared" si="0"/>
        <v>http://roarmap.eprints.org/206/</v>
      </c>
      <c r="C261" s="3">
        <v>4</v>
      </c>
      <c r="D261" s="3" t="s">
        <v>98</v>
      </c>
      <c r="E261" s="3">
        <v>257</v>
      </c>
      <c r="F261" s="3" t="s">
        <v>1241</v>
      </c>
      <c r="G261" s="3">
        <v>41988.923425925925</v>
      </c>
      <c r="H261" s="3">
        <v>42046.981666666667</v>
      </c>
      <c r="I261" s="3">
        <v>41988.923425925925</v>
      </c>
      <c r="J261" s="3" t="s">
        <v>103</v>
      </c>
      <c r="K261" s="3" t="s">
        <v>105</v>
      </c>
      <c r="L261" s="3" t="s">
        <v>1242</v>
      </c>
      <c r="M261" s="3" t="s">
        <v>352</v>
      </c>
      <c r="N261" s="3" t="s">
        <v>1243</v>
      </c>
      <c r="O261" s="3" t="s">
        <v>1244</v>
      </c>
      <c r="P261" s="3" t="s">
        <v>215</v>
      </c>
      <c r="Q261" t="str">
        <f t="shared" si="20"/>
        <v>http://roarmap.eprints.org/view/country/380.html</v>
      </c>
      <c r="R261" s="3">
        <v>380</v>
      </c>
      <c r="S261" s="6" t="s">
        <v>201</v>
      </c>
      <c r="T261" s="9">
        <v>380</v>
      </c>
      <c r="U261" s="7" t="s">
        <v>123</v>
      </c>
      <c r="V261" s="6" t="s">
        <v>76</v>
      </c>
      <c r="W261" s="3" t="s">
        <v>158</v>
      </c>
      <c r="X261" s="3" t="s">
        <v>160</v>
      </c>
      <c r="Y261" s="3" t="s">
        <v>1242</v>
      </c>
      <c r="Z261" s="8" t="str">
        <f>HYPERLINK("http://www.unibg.it/en_index.asp","http://www.unibg.it/en_index.asp")</f>
        <v>http://www.unibg.it/en_index.asp</v>
      </c>
      <c r="AB261" s="8" t="str">
        <f>HYPERLINK("http://aisberg.unibg.it/","http://aisberg.unibg.it/")</f>
        <v>http://aisberg.unibg.it/</v>
      </c>
      <c r="AF261" s="3" t="s">
        <v>244</v>
      </c>
      <c r="AG261" s="3" t="s">
        <v>244</v>
      </c>
      <c r="AH261" s="3" t="s">
        <v>180</v>
      </c>
      <c r="AI261" s="3" t="s">
        <v>244</v>
      </c>
      <c r="AJ261" s="3" t="s">
        <v>371</v>
      </c>
      <c r="AK261" s="3" t="s">
        <v>244</v>
      </c>
      <c r="AL261" s="3" t="s">
        <v>244</v>
      </c>
      <c r="AM261" s="3" t="s">
        <v>479</v>
      </c>
      <c r="AN261" s="3" t="s">
        <v>244</v>
      </c>
      <c r="AO261" s="3" t="s">
        <v>247</v>
      </c>
      <c r="AP261" s="3" t="s">
        <v>244</v>
      </c>
      <c r="AQ261" s="3" t="s">
        <v>247</v>
      </c>
      <c r="AR261" s="3" t="s">
        <v>288</v>
      </c>
      <c r="AS261" s="3" t="s">
        <v>288</v>
      </c>
      <c r="AT261" s="3" t="s">
        <v>244</v>
      </c>
      <c r="AU261" s="3" t="s">
        <v>244</v>
      </c>
      <c r="AV261" s="3" t="s">
        <v>288</v>
      </c>
      <c r="AW261" s="3" t="s">
        <v>371</v>
      </c>
      <c r="AX261" s="3" t="s">
        <v>244</v>
      </c>
      <c r="AY261" s="3" t="s">
        <v>247</v>
      </c>
    </row>
    <row r="262" spans="1:51" ht="15.75" customHeight="1">
      <c r="A262" s="3">
        <v>207</v>
      </c>
      <c r="B262" s="5" t="str">
        <f t="shared" si="0"/>
        <v>http://roarmap.eprints.org/207/</v>
      </c>
      <c r="C262" s="3">
        <v>3</v>
      </c>
      <c r="D262" s="3" t="s">
        <v>98</v>
      </c>
      <c r="E262" s="3">
        <v>1</v>
      </c>
      <c r="F262" s="3" t="s">
        <v>1245</v>
      </c>
      <c r="G262" s="3">
        <v>41988.923437500001</v>
      </c>
      <c r="H262" s="3">
        <v>41988.923437500001</v>
      </c>
      <c r="I262" s="3">
        <v>41988.923437500001</v>
      </c>
      <c r="J262" s="3" t="s">
        <v>103</v>
      </c>
      <c r="K262" s="3" t="s">
        <v>105</v>
      </c>
      <c r="L262" s="3" t="s">
        <v>1246</v>
      </c>
      <c r="M262" s="3" t="s">
        <v>352</v>
      </c>
      <c r="N262" s="3" t="s">
        <v>1247</v>
      </c>
      <c r="P262" s="3" t="s">
        <v>215</v>
      </c>
      <c r="Q262" t="str">
        <f t="shared" si="20"/>
        <v>http://roarmap.eprints.org/view/country/380.html</v>
      </c>
      <c r="R262" s="3">
        <v>380</v>
      </c>
      <c r="S262" s="6" t="s">
        <v>201</v>
      </c>
      <c r="T262" s="9">
        <v>380</v>
      </c>
      <c r="U262" s="7" t="s">
        <v>123</v>
      </c>
      <c r="V262" s="6" t="s">
        <v>76</v>
      </c>
      <c r="W262" s="3" t="s">
        <v>158</v>
      </c>
      <c r="X262" s="3" t="s">
        <v>160</v>
      </c>
      <c r="Y262" s="3" t="s">
        <v>1246</v>
      </c>
      <c r="Z262" s="8" t="str">
        <f>HYPERLINK("http://www.unibo.it/en","http://www.unibo.it/en")</f>
        <v>http://www.unibo.it/en</v>
      </c>
      <c r="AB262" s="8" t="str">
        <f>HYPERLINK("http://amsdottorato.cib.unibo.it/","http://amsdottorato.cib.unibo.it/")</f>
        <v>http://amsdottorato.cib.unibo.it/</v>
      </c>
      <c r="AF262" s="3" t="s">
        <v>244</v>
      </c>
      <c r="AG262" s="3" t="s">
        <v>333</v>
      </c>
      <c r="AH262" s="3" t="s">
        <v>180</v>
      </c>
      <c r="AI262" s="3" t="s">
        <v>244</v>
      </c>
      <c r="AJ262" s="3" t="s">
        <v>385</v>
      </c>
      <c r="AK262" s="3" t="s">
        <v>244</v>
      </c>
      <c r="AL262" s="3" t="s">
        <v>288</v>
      </c>
      <c r="AM262" s="3" t="s">
        <v>178</v>
      </c>
      <c r="AN262" s="3" t="s">
        <v>244</v>
      </c>
      <c r="AO262" s="3" t="s">
        <v>247</v>
      </c>
      <c r="AP262" s="3" t="s">
        <v>244</v>
      </c>
      <c r="AQ262" s="3" t="s">
        <v>247</v>
      </c>
      <c r="AR262" s="3" t="s">
        <v>288</v>
      </c>
      <c r="AS262" s="3" t="s">
        <v>288</v>
      </c>
      <c r="AT262" s="3" t="s">
        <v>244</v>
      </c>
      <c r="AU262" s="3" t="s">
        <v>244</v>
      </c>
      <c r="AV262" s="3" t="s">
        <v>288</v>
      </c>
      <c r="AW262" s="3" t="s">
        <v>195</v>
      </c>
      <c r="AX262" s="3" t="s">
        <v>244</v>
      </c>
      <c r="AY262" s="3" t="s">
        <v>247</v>
      </c>
    </row>
    <row r="263" spans="1:51" ht="15.75" customHeight="1">
      <c r="A263" s="3">
        <v>208</v>
      </c>
      <c r="B263" s="5" t="str">
        <f t="shared" si="0"/>
        <v>http://roarmap.eprints.org/208/</v>
      </c>
      <c r="C263" s="3">
        <v>3</v>
      </c>
      <c r="D263" s="3" t="s">
        <v>98</v>
      </c>
      <c r="E263" s="3">
        <v>1</v>
      </c>
      <c r="F263" s="3" t="s">
        <v>1248</v>
      </c>
      <c r="G263" s="3">
        <v>41988.923437500001</v>
      </c>
      <c r="H263" s="3">
        <v>41988.923437500001</v>
      </c>
      <c r="I263" s="3">
        <v>41988.923437500001</v>
      </c>
      <c r="J263" s="3" t="s">
        <v>103</v>
      </c>
      <c r="K263" s="3" t="s">
        <v>105</v>
      </c>
      <c r="L263" s="3" t="s">
        <v>1249</v>
      </c>
      <c r="M263" s="3" t="s">
        <v>352</v>
      </c>
      <c r="N263" s="3" t="s">
        <v>1250</v>
      </c>
      <c r="P263" s="3" t="s">
        <v>215</v>
      </c>
      <c r="Q263" t="str">
        <f t="shared" si="20"/>
        <v>http://roarmap.eprints.org/view/country/380.html</v>
      </c>
      <c r="R263" s="3">
        <v>380</v>
      </c>
      <c r="S263" s="6" t="s">
        <v>201</v>
      </c>
      <c r="T263" s="9">
        <v>380</v>
      </c>
      <c r="U263" s="7" t="s">
        <v>123</v>
      </c>
      <c r="V263" s="6" t="s">
        <v>76</v>
      </c>
      <c r="W263" s="3" t="s">
        <v>158</v>
      </c>
      <c r="X263" s="3" t="s">
        <v>160</v>
      </c>
      <c r="Y263" s="3" t="s">
        <v>1249</v>
      </c>
      <c r="Z263" s="8" t="str">
        <f>HYPERLINK("http://www.unife.it/","http://www.unife.it/")</f>
        <v>http://www.unife.it/</v>
      </c>
      <c r="AA263" s="8" t="str">
        <f>HYPERLINK("http://www.unife.it/progetto/equality-and-diversity/comunicazioni/Lettera%20Ricerca%20di%20genere.pdf","http://www.unife.it/progetto/equality-and-diversity/comunicazioni/Lettera%20Ricerca%20di%20genere.pdf")</f>
        <v>http://www.unife.it/progetto/equality-and-diversity/comunicazioni/Lettera%20Ricerca%20di%20genere.pdf</v>
      </c>
      <c r="AB263" s="8" t="str">
        <f>HYPERLINK("http://eprints.unife.it/","http://eprints.unife.it/")</f>
        <v>http://eprints.unife.it/</v>
      </c>
      <c r="AF263" s="3" t="s">
        <v>244</v>
      </c>
      <c r="AG263" s="3" t="s">
        <v>244</v>
      </c>
      <c r="AH263" s="3" t="s">
        <v>244</v>
      </c>
      <c r="AI263" s="3" t="s">
        <v>244</v>
      </c>
      <c r="AJ263" s="3" t="s">
        <v>244</v>
      </c>
      <c r="AK263" s="3" t="s">
        <v>244</v>
      </c>
      <c r="AL263" s="3" t="s">
        <v>244</v>
      </c>
      <c r="AM263" s="3" t="s">
        <v>247</v>
      </c>
      <c r="AN263" s="3" t="s">
        <v>244</v>
      </c>
      <c r="AO263" s="3" t="s">
        <v>247</v>
      </c>
      <c r="AP263" s="3" t="s">
        <v>244</v>
      </c>
      <c r="AQ263" s="3" t="s">
        <v>247</v>
      </c>
      <c r="AR263" s="3" t="s">
        <v>288</v>
      </c>
      <c r="AS263" s="3" t="s">
        <v>288</v>
      </c>
      <c r="AT263" s="3" t="s">
        <v>244</v>
      </c>
      <c r="AU263" s="3" t="s">
        <v>244</v>
      </c>
      <c r="AV263" s="3" t="s">
        <v>288</v>
      </c>
      <c r="AW263" s="3" t="s">
        <v>244</v>
      </c>
      <c r="AX263" s="3" t="s">
        <v>244</v>
      </c>
      <c r="AY263" s="3" t="s">
        <v>247</v>
      </c>
    </row>
    <row r="264" spans="1:51" ht="15.75" customHeight="1">
      <c r="A264" s="3">
        <v>209</v>
      </c>
      <c r="B264" s="5" t="str">
        <f t="shared" si="0"/>
        <v>http://roarmap.eprints.org/209/</v>
      </c>
      <c r="C264" s="3">
        <v>5</v>
      </c>
      <c r="D264" s="3" t="s">
        <v>98</v>
      </c>
      <c r="E264" s="3">
        <v>258</v>
      </c>
      <c r="F264" s="3" t="s">
        <v>1251</v>
      </c>
      <c r="G264" s="3">
        <v>41988.923437500001</v>
      </c>
      <c r="H264" s="3">
        <v>42046.981666666667</v>
      </c>
      <c r="I264" s="3">
        <v>41988.923437500001</v>
      </c>
      <c r="J264" s="3" t="s">
        <v>103</v>
      </c>
      <c r="K264" s="3" t="s">
        <v>105</v>
      </c>
      <c r="L264" s="3" t="s">
        <v>1252</v>
      </c>
      <c r="M264" s="3" t="s">
        <v>374</v>
      </c>
      <c r="N264" s="3" t="s">
        <v>1253</v>
      </c>
      <c r="O264" s="3" t="s">
        <v>1254</v>
      </c>
      <c r="P264" s="3" t="s">
        <v>215</v>
      </c>
      <c r="Q264" t="str">
        <f t="shared" si="20"/>
        <v>http://roarmap.eprints.org/view/country/380.html</v>
      </c>
      <c r="R264" s="3">
        <v>380</v>
      </c>
      <c r="S264" s="6" t="s">
        <v>201</v>
      </c>
      <c r="T264" s="9">
        <v>380</v>
      </c>
      <c r="U264" s="7" t="s">
        <v>123</v>
      </c>
      <c r="V264" s="6" t="s">
        <v>76</v>
      </c>
      <c r="W264" s="3" t="s">
        <v>158</v>
      </c>
      <c r="X264" s="3" t="s">
        <v>160</v>
      </c>
      <c r="Y264" s="3" t="s">
        <v>1252</v>
      </c>
      <c r="Z264" s="8" t="str">
        <f>HYPERLINK("http://www.unifi.it/","http://www.unifi.it/")</f>
        <v>http://www.unifi.it/</v>
      </c>
      <c r="AA264" s="8" t="str">
        <f>HYPERLINK("http://www.unifi.it/notiziario/upload/sub/2012_2/policy_open_access.pdf","http://www.unifi.it/notiziario/upload/sub/2012_2/policy_open_access.pdf")</f>
        <v>http://www.unifi.it/notiziario/upload/sub/2012_2/policy_open_access.pdf</v>
      </c>
      <c r="AB264" s="8" t="str">
        <f>HYPERLINK("http://sol.unifi.it/flore/consulta","http://sol.unifi.it/flore/consulta")</f>
        <v>http://sol.unifi.it/flore/consulta</v>
      </c>
      <c r="AC264" s="3">
        <v>41010</v>
      </c>
      <c r="AD264" s="3">
        <v>41010</v>
      </c>
      <c r="AF264" s="3" t="s">
        <v>177</v>
      </c>
      <c r="AG264" s="3" t="s">
        <v>333</v>
      </c>
      <c r="AH264" s="3" t="s">
        <v>180</v>
      </c>
      <c r="AI264" s="3" t="s">
        <v>244</v>
      </c>
      <c r="AJ264" s="3" t="s">
        <v>244</v>
      </c>
      <c r="AK264" s="3" t="s">
        <v>183</v>
      </c>
      <c r="AL264" s="3" t="s">
        <v>288</v>
      </c>
      <c r="AM264" s="3" t="s">
        <v>479</v>
      </c>
      <c r="AN264" s="3" t="s">
        <v>244</v>
      </c>
      <c r="AO264" s="3" t="s">
        <v>247</v>
      </c>
      <c r="AP264" s="3" t="s">
        <v>185</v>
      </c>
      <c r="AQ264" s="3" t="s">
        <v>247</v>
      </c>
      <c r="AR264" s="3" t="s">
        <v>244</v>
      </c>
      <c r="AS264" s="3" t="s">
        <v>244</v>
      </c>
      <c r="AT264" s="3" t="s">
        <v>244</v>
      </c>
      <c r="AU264" s="3" t="s">
        <v>244</v>
      </c>
      <c r="AV264" s="3" t="s">
        <v>244</v>
      </c>
      <c r="AW264" s="3" t="s">
        <v>244</v>
      </c>
      <c r="AX264" s="3" t="s">
        <v>244</v>
      </c>
      <c r="AY264" s="3" t="s">
        <v>247</v>
      </c>
    </row>
    <row r="265" spans="1:51" ht="15.75" customHeight="1">
      <c r="A265" s="3">
        <v>210</v>
      </c>
      <c r="B265" s="5" t="str">
        <f t="shared" si="0"/>
        <v>http://roarmap.eprints.org/210/</v>
      </c>
      <c r="C265" s="3">
        <v>4</v>
      </c>
      <c r="D265" s="3" t="s">
        <v>98</v>
      </c>
      <c r="E265" s="3">
        <v>1</v>
      </c>
      <c r="F265" s="3" t="s">
        <v>1255</v>
      </c>
      <c r="G265" s="3">
        <v>41988.923437500001</v>
      </c>
      <c r="H265" s="3">
        <v>41988.923437500001</v>
      </c>
      <c r="I265" s="3">
        <v>41988.923437500001</v>
      </c>
      <c r="J265" s="3" t="s">
        <v>103</v>
      </c>
      <c r="K265" s="3" t="s">
        <v>105</v>
      </c>
      <c r="L265" s="3" t="s">
        <v>1256</v>
      </c>
      <c r="M265" s="3" t="s">
        <v>352</v>
      </c>
      <c r="N265" s="3" t="s">
        <v>1257</v>
      </c>
      <c r="O265" s="3" t="s">
        <v>1258</v>
      </c>
      <c r="P265" s="3" t="s">
        <v>215</v>
      </c>
      <c r="Q265" t="str">
        <f t="shared" si="20"/>
        <v>http://roarmap.eprints.org/view/country/380.html</v>
      </c>
      <c r="R265" s="3">
        <v>380</v>
      </c>
      <c r="S265" s="6" t="s">
        <v>201</v>
      </c>
      <c r="T265" s="9">
        <v>380</v>
      </c>
      <c r="U265" s="7" t="s">
        <v>123</v>
      </c>
      <c r="V265" s="6" t="s">
        <v>76</v>
      </c>
      <c r="W265" s="3" t="s">
        <v>158</v>
      </c>
      <c r="X265" s="3" t="s">
        <v>160</v>
      </c>
      <c r="Y265" s="3" t="s">
        <v>1256</v>
      </c>
      <c r="Z265" s="8" t="str">
        <f>HYPERLINK("http://www.unimib.it/go/102/Home/English","http://www.unimib.it/go/102/Home/English")</f>
        <v>http://www.unimib.it/go/102/Home/English</v>
      </c>
      <c r="AB265" s="8" t="str">
        <f>HYPERLINK("http://boa.unimib.it/","http://boa.unimib.it/")</f>
        <v>http://boa.unimib.it/</v>
      </c>
      <c r="AD265" s="3">
        <v>40118</v>
      </c>
      <c r="AF265" s="3" t="s">
        <v>177</v>
      </c>
      <c r="AG265" s="3" t="s">
        <v>333</v>
      </c>
      <c r="AH265" s="3" t="s">
        <v>180</v>
      </c>
      <c r="AI265" s="3" t="s">
        <v>392</v>
      </c>
      <c r="AJ265" s="3" t="s">
        <v>385</v>
      </c>
      <c r="AK265" s="3" t="s">
        <v>244</v>
      </c>
      <c r="AL265" s="3" t="s">
        <v>288</v>
      </c>
      <c r="AM265" s="3" t="s">
        <v>479</v>
      </c>
      <c r="AN265" s="3" t="s">
        <v>244</v>
      </c>
      <c r="AO265" s="3" t="s">
        <v>247</v>
      </c>
      <c r="AP265" s="3" t="s">
        <v>244</v>
      </c>
      <c r="AQ265" s="3" t="s">
        <v>394</v>
      </c>
      <c r="AR265" s="3" t="s">
        <v>185</v>
      </c>
      <c r="AS265" s="3" t="s">
        <v>288</v>
      </c>
      <c r="AT265" s="3" t="s">
        <v>193</v>
      </c>
      <c r="AU265" s="3" t="s">
        <v>193</v>
      </c>
      <c r="AV265" s="3" t="s">
        <v>185</v>
      </c>
      <c r="AW265" s="3" t="s">
        <v>244</v>
      </c>
      <c r="AX265" s="3" t="s">
        <v>244</v>
      </c>
      <c r="AY265" s="3" t="s">
        <v>247</v>
      </c>
    </row>
    <row r="266" spans="1:51" ht="15.75" customHeight="1">
      <c r="A266" s="3">
        <v>211</v>
      </c>
      <c r="B266" s="5" t="str">
        <f t="shared" si="0"/>
        <v>http://roarmap.eprints.org/211/</v>
      </c>
      <c r="C266" s="3">
        <v>3</v>
      </c>
      <c r="D266" s="3" t="s">
        <v>98</v>
      </c>
      <c r="E266" s="3">
        <v>1</v>
      </c>
      <c r="F266" s="3" t="s">
        <v>1259</v>
      </c>
      <c r="G266" s="3">
        <v>41988.923449074071</v>
      </c>
      <c r="H266" s="3">
        <v>41988.923449074071</v>
      </c>
      <c r="I266" s="3">
        <v>41988.923449074071</v>
      </c>
      <c r="J266" s="3" t="s">
        <v>103</v>
      </c>
      <c r="K266" s="3" t="s">
        <v>105</v>
      </c>
      <c r="L266" s="3" t="s">
        <v>1260</v>
      </c>
      <c r="M266" s="3" t="s">
        <v>352</v>
      </c>
      <c r="N266" s="3" t="s">
        <v>1261</v>
      </c>
      <c r="P266" s="3" t="s">
        <v>215</v>
      </c>
      <c r="Q266" t="str">
        <f t="shared" si="20"/>
        <v>http://roarmap.eprints.org/view/country/380.html</v>
      </c>
      <c r="R266" s="3">
        <v>380</v>
      </c>
      <c r="S266" s="6" t="s">
        <v>201</v>
      </c>
      <c r="T266" s="9">
        <v>380</v>
      </c>
      <c r="U266" s="7" t="s">
        <v>123</v>
      </c>
      <c r="V266" s="6" t="s">
        <v>76</v>
      </c>
      <c r="W266" s="3" t="s">
        <v>158</v>
      </c>
      <c r="X266" s="3" t="s">
        <v>160</v>
      </c>
      <c r="Y266" s="3" t="s">
        <v>1260</v>
      </c>
      <c r="Z266" s="8" t="str">
        <f>HYPERLINK("http://www.unina.it/index.jsp","http://www.unina.it/index.jsp")</f>
        <v>http://www.unina.it/index.jsp</v>
      </c>
      <c r="AB266" s="8" t="str">
        <f>HYPERLINK("http://www.fedoa.unina.it/","http://www.fedoa.unina.it/")</f>
        <v>http://www.fedoa.unina.it/</v>
      </c>
      <c r="AF266" s="3" t="s">
        <v>244</v>
      </c>
      <c r="AG266" s="3" t="s">
        <v>333</v>
      </c>
      <c r="AH266" s="3" t="s">
        <v>180</v>
      </c>
      <c r="AI266" s="3" t="s">
        <v>244</v>
      </c>
      <c r="AJ266" s="3" t="s">
        <v>385</v>
      </c>
      <c r="AK266" s="3" t="s">
        <v>244</v>
      </c>
      <c r="AL266" s="3" t="s">
        <v>288</v>
      </c>
      <c r="AM266" s="3" t="s">
        <v>479</v>
      </c>
      <c r="AN266" s="3" t="s">
        <v>244</v>
      </c>
      <c r="AO266" s="3" t="s">
        <v>247</v>
      </c>
      <c r="AP266" s="3" t="s">
        <v>244</v>
      </c>
      <c r="AQ266" s="3" t="s">
        <v>247</v>
      </c>
      <c r="AR266" s="3" t="s">
        <v>288</v>
      </c>
      <c r="AS266" s="3" t="s">
        <v>288</v>
      </c>
      <c r="AT266" s="3" t="s">
        <v>193</v>
      </c>
      <c r="AU266" s="3" t="s">
        <v>193</v>
      </c>
      <c r="AV266" s="3" t="s">
        <v>244</v>
      </c>
      <c r="AW266" s="3" t="s">
        <v>195</v>
      </c>
      <c r="AX266" s="3" t="s">
        <v>244</v>
      </c>
      <c r="AY266" s="3" t="s">
        <v>247</v>
      </c>
    </row>
    <row r="267" spans="1:51" ht="15.75" customHeight="1">
      <c r="A267" s="3">
        <v>212</v>
      </c>
      <c r="B267" s="5" t="str">
        <f t="shared" si="0"/>
        <v>http://roarmap.eprints.org/212/</v>
      </c>
      <c r="C267" s="3">
        <v>3</v>
      </c>
      <c r="D267" s="3" t="s">
        <v>98</v>
      </c>
      <c r="E267" s="3">
        <v>1</v>
      </c>
      <c r="F267" s="3" t="s">
        <v>1262</v>
      </c>
      <c r="G267" s="3">
        <v>41988.923449074071</v>
      </c>
      <c r="H267" s="3">
        <v>41988.923449074071</v>
      </c>
      <c r="I267" s="3">
        <v>41988.923449074071</v>
      </c>
      <c r="J267" s="3" t="s">
        <v>103</v>
      </c>
      <c r="K267" s="3" t="s">
        <v>105</v>
      </c>
      <c r="L267" s="3" t="s">
        <v>1263</v>
      </c>
      <c r="M267" s="3" t="s">
        <v>352</v>
      </c>
      <c r="N267" s="3" t="s">
        <v>1264</v>
      </c>
      <c r="O267" s="3" t="s">
        <v>1265</v>
      </c>
      <c r="P267" s="3" t="s">
        <v>215</v>
      </c>
      <c r="Q267" t="str">
        <f t="shared" si="20"/>
        <v>http://roarmap.eprints.org/view/country/380.html</v>
      </c>
      <c r="R267" s="3">
        <v>380</v>
      </c>
      <c r="S267" s="6" t="s">
        <v>201</v>
      </c>
      <c r="T267" s="9">
        <v>380</v>
      </c>
      <c r="U267" s="7" t="s">
        <v>123</v>
      </c>
      <c r="V267" s="6" t="s">
        <v>76</v>
      </c>
      <c r="W267" s="3" t="s">
        <v>158</v>
      </c>
      <c r="X267" s="3" t="s">
        <v>160</v>
      </c>
      <c r="Y267" s="3" t="s">
        <v>1263</v>
      </c>
      <c r="Z267" s="8" t="str">
        <f>HYPERLINK("http://www.unipd.it/","http://www.unipd.it/")</f>
        <v>http://www.unipd.it/</v>
      </c>
      <c r="AB267" s="8" t="str">
        <f>HYPERLINK("http://paduaresearch.cab.unipd.it/","http://paduaresearch.cab.unipd.it/")</f>
        <v>http://paduaresearch.cab.unipd.it/</v>
      </c>
      <c r="AF267" s="3" t="s">
        <v>244</v>
      </c>
      <c r="AG267" s="3" t="s">
        <v>333</v>
      </c>
      <c r="AH267" s="3" t="s">
        <v>180</v>
      </c>
      <c r="AI267" s="3" t="s">
        <v>244</v>
      </c>
      <c r="AJ267" s="3" t="s">
        <v>371</v>
      </c>
      <c r="AK267" s="3" t="s">
        <v>244</v>
      </c>
      <c r="AL267" s="3" t="s">
        <v>288</v>
      </c>
      <c r="AM267" s="3" t="s">
        <v>247</v>
      </c>
      <c r="AN267" s="3" t="s">
        <v>244</v>
      </c>
      <c r="AO267" s="3" t="s">
        <v>247</v>
      </c>
      <c r="AP267" s="3" t="s">
        <v>244</v>
      </c>
      <c r="AQ267" s="3" t="s">
        <v>394</v>
      </c>
      <c r="AR267" s="3" t="s">
        <v>288</v>
      </c>
      <c r="AS267" s="3" t="s">
        <v>288</v>
      </c>
      <c r="AT267" s="3" t="s">
        <v>244</v>
      </c>
      <c r="AU267" s="3" t="s">
        <v>244</v>
      </c>
      <c r="AV267" s="3" t="s">
        <v>288</v>
      </c>
      <c r="AW267" s="3" t="s">
        <v>371</v>
      </c>
      <c r="AX267" s="3" t="s">
        <v>244</v>
      </c>
      <c r="AY267" s="3" t="s">
        <v>247</v>
      </c>
    </row>
    <row r="268" spans="1:51" ht="15.75" customHeight="1">
      <c r="A268" s="3">
        <v>213</v>
      </c>
      <c r="B268" s="5" t="str">
        <f t="shared" si="0"/>
        <v>http://roarmap.eprints.org/213/</v>
      </c>
      <c r="C268" s="3">
        <v>3</v>
      </c>
      <c r="D268" s="3" t="s">
        <v>98</v>
      </c>
      <c r="E268" s="3">
        <v>1</v>
      </c>
      <c r="F268" s="3" t="s">
        <v>1266</v>
      </c>
      <c r="G268" s="3">
        <v>41988.923449074071</v>
      </c>
      <c r="H268" s="3">
        <v>41988.923449074071</v>
      </c>
      <c r="I268" s="3">
        <v>41988.923449074071</v>
      </c>
      <c r="J268" s="3" t="s">
        <v>103</v>
      </c>
      <c r="K268" s="3" t="s">
        <v>105</v>
      </c>
      <c r="L268" s="3" t="s">
        <v>1267</v>
      </c>
      <c r="M268" s="3" t="s">
        <v>352</v>
      </c>
      <c r="N268" s="3" t="s">
        <v>1268</v>
      </c>
      <c r="O268" s="3" t="s">
        <v>1269</v>
      </c>
      <c r="P268" s="3" t="s">
        <v>215</v>
      </c>
      <c r="Q268" t="str">
        <f t="shared" si="20"/>
        <v>http://roarmap.eprints.org/view/country/380.html</v>
      </c>
      <c r="R268" s="3">
        <v>380</v>
      </c>
      <c r="S268" s="6" t="s">
        <v>201</v>
      </c>
      <c r="T268" s="9">
        <v>380</v>
      </c>
      <c r="U268" s="7" t="s">
        <v>123</v>
      </c>
      <c r="V268" s="6" t="s">
        <v>76</v>
      </c>
      <c r="W268" s="3" t="s">
        <v>158</v>
      </c>
      <c r="X268" s="3" t="s">
        <v>364</v>
      </c>
      <c r="Y268" s="3" t="s">
        <v>1267</v>
      </c>
      <c r="Z268" s="8" t="str">
        <f>HYPERLINK("http://www.uniss.it/php/home.php","http://www.uniss.it/php/home.php")</f>
        <v>http://www.uniss.it/php/home.php</v>
      </c>
      <c r="AB268" s="8" t="str">
        <f>HYPERLINK("http://eprints.uniss.it/","http://eprints.uniss.it/")</f>
        <v>http://eprints.uniss.it/</v>
      </c>
      <c r="AF268" s="3" t="s">
        <v>244</v>
      </c>
      <c r="AG268" s="3" t="s">
        <v>333</v>
      </c>
      <c r="AH268" s="3" t="s">
        <v>180</v>
      </c>
      <c r="AI268" s="3" t="s">
        <v>244</v>
      </c>
      <c r="AJ268" s="3" t="s">
        <v>371</v>
      </c>
      <c r="AK268" s="3" t="s">
        <v>371</v>
      </c>
      <c r="AL268" s="3" t="s">
        <v>288</v>
      </c>
      <c r="AM268" s="3" t="s">
        <v>247</v>
      </c>
      <c r="AN268" s="3" t="s">
        <v>244</v>
      </c>
      <c r="AO268" s="3" t="s">
        <v>247</v>
      </c>
      <c r="AP268" s="3" t="s">
        <v>244</v>
      </c>
      <c r="AQ268" s="3" t="s">
        <v>247</v>
      </c>
      <c r="AR268" s="3" t="s">
        <v>288</v>
      </c>
      <c r="AS268" s="3" t="s">
        <v>288</v>
      </c>
      <c r="AT268" s="3" t="s">
        <v>244</v>
      </c>
      <c r="AU268" s="3" t="s">
        <v>244</v>
      </c>
      <c r="AV268" s="3" t="s">
        <v>288</v>
      </c>
      <c r="AW268" s="3" t="s">
        <v>244</v>
      </c>
      <c r="AX268" s="3" t="s">
        <v>244</v>
      </c>
      <c r="AY268" s="3" t="s">
        <v>247</v>
      </c>
    </row>
    <row r="269" spans="1:51" ht="15.75" customHeight="1">
      <c r="A269" s="3">
        <v>214</v>
      </c>
      <c r="B269" s="5" t="str">
        <f t="shared" si="0"/>
        <v>http://roarmap.eprints.org/214/</v>
      </c>
      <c r="C269" s="3">
        <v>4</v>
      </c>
      <c r="D269" s="3" t="s">
        <v>98</v>
      </c>
      <c r="E269" s="3">
        <v>259</v>
      </c>
      <c r="F269" s="3" t="s">
        <v>1270</v>
      </c>
      <c r="G269" s="3">
        <v>41988.923449074071</v>
      </c>
      <c r="H269" s="3">
        <v>42046.981666666667</v>
      </c>
      <c r="I269" s="3">
        <v>41988.923449074071</v>
      </c>
      <c r="J269" s="3" t="s">
        <v>103</v>
      </c>
      <c r="K269" s="3" t="s">
        <v>105</v>
      </c>
      <c r="L269" s="3" t="s">
        <v>1271</v>
      </c>
      <c r="M269" s="3" t="s">
        <v>374</v>
      </c>
      <c r="O269" s="3" t="s">
        <v>1272</v>
      </c>
      <c r="P269" s="3" t="s">
        <v>215</v>
      </c>
      <c r="Q269" t="str">
        <f t="shared" si="20"/>
        <v>http://roarmap.eprints.org/view/country/380.html</v>
      </c>
      <c r="R269" s="3">
        <v>380</v>
      </c>
      <c r="S269" s="6" t="s">
        <v>201</v>
      </c>
      <c r="T269" s="9">
        <v>380</v>
      </c>
      <c r="U269" s="7" t="s">
        <v>123</v>
      </c>
      <c r="V269" s="6" t="s">
        <v>76</v>
      </c>
      <c r="W269" s="3" t="s">
        <v>158</v>
      </c>
      <c r="X269" s="3" t="s">
        <v>160</v>
      </c>
      <c r="Y269" s="3" t="s">
        <v>1271</v>
      </c>
      <c r="Z269" s="8" t="str">
        <f>HYPERLINK("http://www.unitn.it/","http://www.unitn.it/")</f>
        <v>http://www.unitn.it/</v>
      </c>
      <c r="AA269" s="8" t="str">
        <f>HYPERLINK("http://roarmap.eprints.org/1004/1/policy-ateneo-open-access-2912014.pdf","http://roarmap.eprints.org/1004/1/policy-ateneo-open-access-2912014.pdf")</f>
        <v>http://roarmap.eprints.org/1004/1/policy-ateneo-open-access-2912014.pdf</v>
      </c>
      <c r="AB269" s="8" t="str">
        <f>HYPERLINK("http://eprints.biblio.unitn.it/","http://eprints.biblio.unitn.it/")</f>
        <v>http://eprints.biblio.unitn.it/</v>
      </c>
      <c r="AC269" s="3">
        <v>41668</v>
      </c>
      <c r="AF269" s="3" t="s">
        <v>244</v>
      </c>
      <c r="AG269" s="3" t="s">
        <v>333</v>
      </c>
      <c r="AH269" s="3" t="s">
        <v>180</v>
      </c>
      <c r="AI269" s="3" t="s">
        <v>244</v>
      </c>
      <c r="AJ269" s="3" t="s">
        <v>182</v>
      </c>
      <c r="AK269" s="3" t="s">
        <v>244</v>
      </c>
      <c r="AL269" s="3" t="s">
        <v>288</v>
      </c>
      <c r="AM269" s="3" t="s">
        <v>247</v>
      </c>
      <c r="AN269" s="3" t="s">
        <v>244</v>
      </c>
      <c r="AO269" s="3" t="s">
        <v>378</v>
      </c>
      <c r="AP269" s="3" t="s">
        <v>189</v>
      </c>
      <c r="AQ269" s="3" t="s">
        <v>394</v>
      </c>
      <c r="AR269" s="3" t="s">
        <v>288</v>
      </c>
      <c r="AS269" s="3" t="s">
        <v>288</v>
      </c>
      <c r="AT269" s="3" t="s">
        <v>244</v>
      </c>
      <c r="AU269" s="3" t="s">
        <v>244</v>
      </c>
      <c r="AV269" s="3" t="s">
        <v>288</v>
      </c>
      <c r="AW269" s="3" t="s">
        <v>195</v>
      </c>
      <c r="AX269" s="3" t="s">
        <v>244</v>
      </c>
      <c r="AY269" s="3" t="s">
        <v>247</v>
      </c>
    </row>
    <row r="270" spans="1:51" ht="15.75" customHeight="1">
      <c r="A270" s="3">
        <v>216</v>
      </c>
      <c r="B270" s="5" t="str">
        <f t="shared" si="0"/>
        <v>http://roarmap.eprints.org/216/</v>
      </c>
      <c r="C270" s="3">
        <v>4</v>
      </c>
      <c r="D270" s="3" t="s">
        <v>98</v>
      </c>
      <c r="E270" s="3">
        <v>260</v>
      </c>
      <c r="F270" s="3" t="s">
        <v>1273</v>
      </c>
      <c r="G270" s="3">
        <v>41988.923449074071</v>
      </c>
      <c r="H270" s="3">
        <v>42046.981678240743</v>
      </c>
      <c r="I270" s="3">
        <v>41988.923449074071</v>
      </c>
      <c r="J270" s="3" t="s">
        <v>103</v>
      </c>
      <c r="K270" s="3" t="s">
        <v>105</v>
      </c>
      <c r="L270" s="3" t="s">
        <v>1274</v>
      </c>
      <c r="M270" s="3" t="s">
        <v>374</v>
      </c>
      <c r="N270" s="3" t="s">
        <v>1275</v>
      </c>
      <c r="P270" s="3" t="s">
        <v>215</v>
      </c>
      <c r="Q270" t="str">
        <f t="shared" si="20"/>
        <v>http://roarmap.eprints.org/view/country/380.html</v>
      </c>
      <c r="R270" s="3">
        <v>380</v>
      </c>
      <c r="S270" s="6" t="s">
        <v>201</v>
      </c>
      <c r="T270" s="9">
        <v>380</v>
      </c>
      <c r="U270" s="7" t="s">
        <v>123</v>
      </c>
      <c r="V270" s="6" t="s">
        <v>76</v>
      </c>
      <c r="W270" s="3" t="s">
        <v>158</v>
      </c>
      <c r="X270" s="3" t="s">
        <v>384</v>
      </c>
      <c r="Y270" s="3" t="s">
        <v>1274</v>
      </c>
      <c r="Z270" s="8" t="str">
        <f>HYPERLINK("http://www.dss.unito.it/dcps/","http://www.dss.unito.it/dcps/")</f>
        <v>http://www.dss.unito.it/dcps/</v>
      </c>
      <c r="AB270" s="8" t="str">
        <f>HYPERLINK("http://aperto.unito.it/","http://aperto.unito.it/")</f>
        <v>http://aperto.unito.it/</v>
      </c>
      <c r="AF270" s="3" t="s">
        <v>244</v>
      </c>
      <c r="AG270" s="3" t="s">
        <v>333</v>
      </c>
      <c r="AH270" s="3" t="s">
        <v>180</v>
      </c>
      <c r="AI270" s="3" t="s">
        <v>244</v>
      </c>
      <c r="AJ270" s="3" t="s">
        <v>182</v>
      </c>
      <c r="AK270" s="3" t="s">
        <v>244</v>
      </c>
      <c r="AL270" s="3" t="s">
        <v>288</v>
      </c>
      <c r="AM270" s="3" t="s">
        <v>247</v>
      </c>
      <c r="AN270" s="3" t="s">
        <v>244</v>
      </c>
      <c r="AO270" s="3" t="s">
        <v>247</v>
      </c>
      <c r="AP270" s="3" t="s">
        <v>244</v>
      </c>
      <c r="AQ270" s="3" t="s">
        <v>394</v>
      </c>
      <c r="AR270" s="3" t="s">
        <v>288</v>
      </c>
      <c r="AS270" s="3" t="s">
        <v>288</v>
      </c>
      <c r="AT270" s="3" t="s">
        <v>244</v>
      </c>
      <c r="AU270" s="3" t="s">
        <v>244</v>
      </c>
      <c r="AV270" s="3" t="s">
        <v>288</v>
      </c>
      <c r="AW270" s="3" t="s">
        <v>244</v>
      </c>
      <c r="AX270" s="3" t="s">
        <v>244</v>
      </c>
      <c r="AY270" s="3" t="s">
        <v>247</v>
      </c>
    </row>
    <row r="271" spans="1:51" ht="15.75" customHeight="1">
      <c r="A271" s="3">
        <v>217</v>
      </c>
      <c r="B271" s="5" t="str">
        <f t="shared" si="0"/>
        <v>http://roarmap.eprints.org/217/</v>
      </c>
      <c r="C271" s="3">
        <v>3</v>
      </c>
      <c r="D271" s="3" t="s">
        <v>98</v>
      </c>
      <c r="E271" s="3">
        <v>1</v>
      </c>
      <c r="F271" s="3" t="s">
        <v>1276</v>
      </c>
      <c r="G271" s="3">
        <v>41988.923449074071</v>
      </c>
      <c r="H271" s="3">
        <v>41988.923460648148</v>
      </c>
      <c r="I271" s="3">
        <v>41988.923449074071</v>
      </c>
      <c r="J271" s="3" t="s">
        <v>103</v>
      </c>
      <c r="K271" s="3" t="s">
        <v>105</v>
      </c>
      <c r="L271" s="3" t="s">
        <v>1277</v>
      </c>
      <c r="M271" s="3" t="s">
        <v>352</v>
      </c>
      <c r="N271" s="3" t="s">
        <v>1278</v>
      </c>
      <c r="P271" s="3" t="s">
        <v>215</v>
      </c>
      <c r="Q271" t="str">
        <f t="shared" si="20"/>
        <v>http://roarmap.eprints.org/view/country/380.html</v>
      </c>
      <c r="R271" s="3">
        <v>380</v>
      </c>
      <c r="S271" s="6" t="s">
        <v>201</v>
      </c>
      <c r="T271" s="9">
        <v>380</v>
      </c>
      <c r="U271" s="7" t="s">
        <v>123</v>
      </c>
      <c r="V271" s="6" t="s">
        <v>76</v>
      </c>
      <c r="W271" s="3" t="s">
        <v>158</v>
      </c>
      <c r="X271" s="3" t="s">
        <v>160</v>
      </c>
      <c r="Y271" s="3" t="s">
        <v>1277</v>
      </c>
      <c r="Z271" s="8" t="str">
        <f>HYPERLINK("http://www3.unitus.it/","http://www3.unitus.it/")</f>
        <v>http://www3.unitus.it/</v>
      </c>
      <c r="AB271" s="8" t="str">
        <f>HYPERLINK("http://dspace.unitus.it/handle/2067/14","http://dspace.unitus.it/handle/2067/14")</f>
        <v>http://dspace.unitus.it/handle/2067/14</v>
      </c>
      <c r="AF271" s="3" t="s">
        <v>244</v>
      </c>
      <c r="AG271" s="3" t="s">
        <v>333</v>
      </c>
      <c r="AH271" s="3" t="s">
        <v>180</v>
      </c>
      <c r="AI271" s="3" t="s">
        <v>244</v>
      </c>
      <c r="AJ271" s="3" t="s">
        <v>385</v>
      </c>
      <c r="AK271" s="3" t="s">
        <v>244</v>
      </c>
      <c r="AL271" s="3" t="s">
        <v>288</v>
      </c>
      <c r="AM271" s="3" t="s">
        <v>247</v>
      </c>
      <c r="AN271" s="3" t="s">
        <v>244</v>
      </c>
      <c r="AO271" s="3" t="s">
        <v>247</v>
      </c>
      <c r="AP271" s="3" t="s">
        <v>244</v>
      </c>
      <c r="AQ271" s="3" t="s">
        <v>394</v>
      </c>
      <c r="AR271" s="3" t="s">
        <v>288</v>
      </c>
      <c r="AS271" s="3" t="s">
        <v>288</v>
      </c>
      <c r="AT271" s="3" t="s">
        <v>395</v>
      </c>
      <c r="AU271" s="3" t="s">
        <v>395</v>
      </c>
      <c r="AV271" s="3" t="s">
        <v>244</v>
      </c>
      <c r="AW271" s="3" t="s">
        <v>244</v>
      </c>
      <c r="AX271" s="3" t="s">
        <v>244</v>
      </c>
      <c r="AY271" s="3" t="s">
        <v>247</v>
      </c>
    </row>
    <row r="272" spans="1:51" ht="15.75" customHeight="1">
      <c r="A272" s="3">
        <v>218</v>
      </c>
      <c r="B272" s="5" t="str">
        <f t="shared" si="0"/>
        <v>http://roarmap.eprints.org/218/</v>
      </c>
      <c r="C272" s="3">
        <v>3</v>
      </c>
      <c r="D272" s="3" t="s">
        <v>98</v>
      </c>
      <c r="E272" s="3">
        <v>1</v>
      </c>
      <c r="F272" s="3" t="s">
        <v>1279</v>
      </c>
      <c r="G272" s="3">
        <v>41988.923460648148</v>
      </c>
      <c r="H272" s="3">
        <v>41988.923460648148</v>
      </c>
      <c r="I272" s="3">
        <v>41988.923460648148</v>
      </c>
      <c r="J272" s="3" t="s">
        <v>103</v>
      </c>
      <c r="K272" s="3" t="s">
        <v>105</v>
      </c>
      <c r="L272" s="3" t="s">
        <v>1280</v>
      </c>
      <c r="M272" s="3" t="s">
        <v>469</v>
      </c>
      <c r="N272" s="3" t="s">
        <v>1281</v>
      </c>
      <c r="O272" s="3" t="s">
        <v>1282</v>
      </c>
      <c r="P272" s="3" t="s">
        <v>1129</v>
      </c>
      <c r="Q272" t="str">
        <f t="shared" si="20"/>
        <v>http://roarmap.eprints.org/view/country/380.html</v>
      </c>
      <c r="R272" s="3">
        <v>380</v>
      </c>
      <c r="S272" s="6" t="s">
        <v>201</v>
      </c>
      <c r="T272" s="9">
        <v>380</v>
      </c>
      <c r="U272" s="7" t="s">
        <v>123</v>
      </c>
      <c r="V272" s="6" t="s">
        <v>76</v>
      </c>
      <c r="W272" s="3" t="s">
        <v>158</v>
      </c>
      <c r="X272" s="3" t="s">
        <v>160</v>
      </c>
      <c r="Y272" s="3" t="s">
        <v>1280</v>
      </c>
      <c r="Z272" s="8" t="str">
        <f>HYPERLINK("http://www.unive.it","http://www.unive.it")</f>
        <v>http://www.unive.it</v>
      </c>
      <c r="AB272" s="8" t="str">
        <f>HYPERLINK("http://dspace.unive.it/","http://dspace.unive.it/")</f>
        <v>http://dspace.unive.it/</v>
      </c>
      <c r="AG272" s="3" t="s">
        <v>244</v>
      </c>
      <c r="AH272" s="3" t="s">
        <v>244</v>
      </c>
      <c r="AI272" s="3" t="s">
        <v>244</v>
      </c>
      <c r="AJ272" s="3" t="s">
        <v>244</v>
      </c>
      <c r="AK272" s="3" t="s">
        <v>244</v>
      </c>
      <c r="AL272" s="3" t="s">
        <v>244</v>
      </c>
      <c r="AM272" s="3" t="s">
        <v>247</v>
      </c>
      <c r="AN272" s="3" t="s">
        <v>244</v>
      </c>
      <c r="AO272" s="3" t="s">
        <v>247</v>
      </c>
      <c r="AP272" s="3" t="s">
        <v>244</v>
      </c>
      <c r="AQ272" s="3" t="s">
        <v>247</v>
      </c>
      <c r="AR272" s="3" t="s">
        <v>288</v>
      </c>
      <c r="AS272" s="3" t="s">
        <v>244</v>
      </c>
      <c r="AT272" s="3" t="s">
        <v>244</v>
      </c>
      <c r="AU272" s="3" t="s">
        <v>244</v>
      </c>
      <c r="AV272" s="3" t="s">
        <v>288</v>
      </c>
      <c r="AW272" s="3" t="s">
        <v>244</v>
      </c>
      <c r="AX272" s="3" t="s">
        <v>244</v>
      </c>
      <c r="AY272" s="3" t="s">
        <v>247</v>
      </c>
    </row>
    <row r="273" spans="1:51" ht="15.75" customHeight="1">
      <c r="A273" s="3">
        <v>203</v>
      </c>
      <c r="B273" s="5" t="str">
        <f t="shared" si="0"/>
        <v>http://roarmap.eprints.org/203/</v>
      </c>
      <c r="C273" s="3">
        <v>6</v>
      </c>
      <c r="D273" s="3" t="s">
        <v>98</v>
      </c>
      <c r="E273" s="3">
        <v>1</v>
      </c>
      <c r="F273" s="3" t="s">
        <v>1283</v>
      </c>
      <c r="G273" s="3">
        <v>41988.923414351855</v>
      </c>
      <c r="H273" s="3">
        <v>41988.923414351855</v>
      </c>
      <c r="I273" s="3">
        <v>41988.923414351855</v>
      </c>
      <c r="J273" s="3" t="s">
        <v>103</v>
      </c>
      <c r="K273" s="3" t="s">
        <v>105</v>
      </c>
      <c r="L273" s="3" t="s">
        <v>1284</v>
      </c>
      <c r="M273" s="3" t="s">
        <v>637</v>
      </c>
      <c r="N273" s="3" t="s">
        <v>1272</v>
      </c>
      <c r="O273" s="3" t="s">
        <v>1285</v>
      </c>
      <c r="P273" s="3" t="s">
        <v>215</v>
      </c>
      <c r="Q273" t="str">
        <f t="shared" si="20"/>
        <v>http://roarmap.eprints.org/view/country/380.html</v>
      </c>
      <c r="R273" s="3">
        <v>380</v>
      </c>
      <c r="S273" s="6" t="s">
        <v>201</v>
      </c>
      <c r="T273" s="9">
        <v>380</v>
      </c>
      <c r="U273" s="7" t="s">
        <v>123</v>
      </c>
      <c r="V273" s="6" t="s">
        <v>76</v>
      </c>
      <c r="W273" s="3" t="s">
        <v>158</v>
      </c>
      <c r="X273" s="3" t="s">
        <v>160</v>
      </c>
      <c r="Y273" s="3" t="s">
        <v>1284</v>
      </c>
      <c r="Z273" s="8" t="str">
        <f t="shared" ref="Z273:Z274" si="21">HYPERLINK("http://www.unicattolica.it/","http://www.unicattolica.it/")</f>
        <v>http://www.unicattolica.it/</v>
      </c>
      <c r="AA273" s="8" t="str">
        <f>HYPERLINK("http://www.unicatt.it/libraries/sbda-archivi-istituzionali-docta-tesi-di-dottorato","http://www.unicatt.it/libraries/sbda-archivi-istituzionali-docta-tesi-di-dottorato")</f>
        <v>http://www.unicatt.it/libraries/sbda-archivi-istituzionali-docta-tesi-di-dottorato</v>
      </c>
      <c r="AB273" s="8" t="str">
        <f>HYPERLINK("http://tesionline.unicatt.it/","http://tesionline.unicatt.it/")</f>
        <v>http://tesionline.unicatt.it/</v>
      </c>
      <c r="AC273" s="3">
        <v>39722</v>
      </c>
      <c r="AD273" s="3">
        <v>39722</v>
      </c>
      <c r="AE273" s="3">
        <v>2008</v>
      </c>
      <c r="AF273" s="3" t="s">
        <v>177</v>
      </c>
      <c r="AG273" s="3" t="s">
        <v>178</v>
      </c>
      <c r="AH273" s="3" t="s">
        <v>180</v>
      </c>
      <c r="AI273" s="3" t="s">
        <v>371</v>
      </c>
      <c r="AJ273" s="3" t="s">
        <v>385</v>
      </c>
      <c r="AK273" s="3" t="s">
        <v>371</v>
      </c>
      <c r="AL273" s="3" t="s">
        <v>185</v>
      </c>
      <c r="AM273" s="3" t="s">
        <v>371</v>
      </c>
      <c r="AN273" s="3" t="s">
        <v>288</v>
      </c>
      <c r="AO273" s="3" t="s">
        <v>247</v>
      </c>
      <c r="AP273" s="3" t="s">
        <v>244</v>
      </c>
      <c r="AQ273" s="3" t="s">
        <v>394</v>
      </c>
      <c r="AR273" s="3" t="s">
        <v>288</v>
      </c>
      <c r="AS273" s="3" t="s">
        <v>288</v>
      </c>
      <c r="AT273" s="3" t="s">
        <v>244</v>
      </c>
      <c r="AU273" s="3" t="s">
        <v>244</v>
      </c>
      <c r="AV273" s="3" t="s">
        <v>288</v>
      </c>
      <c r="AW273" s="3" t="s">
        <v>244</v>
      </c>
      <c r="AX273" s="3" t="s">
        <v>244</v>
      </c>
      <c r="AY273" s="3" t="s">
        <v>247</v>
      </c>
    </row>
    <row r="274" spans="1:51" ht="15.75" customHeight="1">
      <c r="A274" s="3">
        <v>642</v>
      </c>
      <c r="B274" s="5" t="str">
        <f t="shared" si="0"/>
        <v>http://roarmap.eprints.org/642/</v>
      </c>
      <c r="C274" s="3">
        <v>9</v>
      </c>
      <c r="D274" s="3" t="s">
        <v>98</v>
      </c>
      <c r="E274" s="3">
        <v>67</v>
      </c>
      <c r="F274" s="3" t="s">
        <v>1286</v>
      </c>
      <c r="G274" s="3">
        <v>41988.92428240741</v>
      </c>
      <c r="H274" s="3">
        <v>42046.981759259259</v>
      </c>
      <c r="I274" s="3">
        <v>41988.92428240741</v>
      </c>
      <c r="J274" s="3" t="s">
        <v>103</v>
      </c>
      <c r="K274" s="3" t="s">
        <v>105</v>
      </c>
      <c r="L274" s="3" t="s">
        <v>1284</v>
      </c>
      <c r="M274" s="3" t="s">
        <v>637</v>
      </c>
      <c r="N274" s="3" t="s">
        <v>1272</v>
      </c>
      <c r="O274" s="3" t="s">
        <v>1285</v>
      </c>
      <c r="P274" s="3" t="s">
        <v>215</v>
      </c>
      <c r="Q274" t="str">
        <f t="shared" si="20"/>
        <v>http://roarmap.eprints.org/view/country/380.html</v>
      </c>
      <c r="R274" s="3">
        <v>380</v>
      </c>
      <c r="S274" s="6" t="s">
        <v>201</v>
      </c>
      <c r="T274" s="9">
        <v>380</v>
      </c>
      <c r="U274" s="7" t="s">
        <v>123</v>
      </c>
      <c r="V274" s="6" t="s">
        <v>76</v>
      </c>
      <c r="W274" s="3" t="s">
        <v>158</v>
      </c>
      <c r="X274" s="3" t="s">
        <v>160</v>
      </c>
      <c r="Y274" s="3" t="s">
        <v>1284</v>
      </c>
      <c r="Z274" s="8" t="str">
        <f t="shared" si="21"/>
        <v>http://www.unicattolica.it/</v>
      </c>
      <c r="AA274" s="8" t="str">
        <f>HYPERLINK("http://publicatt.unicatt.it/cms/Policy.htm","http://publicatt.unicatt.it/cms/Policy.htm")</f>
        <v>http://publicatt.unicatt.it/cms/Policy.htm</v>
      </c>
      <c r="AB274" s="8" t="str">
        <f>HYPERLINK("http://publicatt.unicatt.it/","http://publicatt.unicatt.it/")</f>
        <v>http://publicatt.unicatt.it/</v>
      </c>
      <c r="AC274" s="3">
        <v>41030</v>
      </c>
      <c r="AD274" s="3">
        <v>41030</v>
      </c>
      <c r="AE274" s="3">
        <v>41030</v>
      </c>
      <c r="AF274" s="3" t="s">
        <v>177</v>
      </c>
      <c r="AG274" s="3" t="s">
        <v>178</v>
      </c>
      <c r="AH274" s="3" t="s">
        <v>180</v>
      </c>
      <c r="AI274" s="3" t="s">
        <v>244</v>
      </c>
      <c r="AJ274" s="3" t="s">
        <v>182</v>
      </c>
      <c r="AK274" s="3" t="s">
        <v>244</v>
      </c>
      <c r="AL274" s="3" t="s">
        <v>288</v>
      </c>
      <c r="AM274" s="3" t="s">
        <v>247</v>
      </c>
      <c r="AN274" s="3" t="s">
        <v>244</v>
      </c>
      <c r="AO274" s="3" t="s">
        <v>247</v>
      </c>
      <c r="AP274" s="3" t="s">
        <v>189</v>
      </c>
      <c r="AQ274" s="3" t="s">
        <v>247</v>
      </c>
      <c r="AR274" s="3" t="s">
        <v>288</v>
      </c>
      <c r="AS274" s="3" t="s">
        <v>288</v>
      </c>
      <c r="AT274" s="3" t="s">
        <v>244</v>
      </c>
      <c r="AU274" s="3" t="s">
        <v>244</v>
      </c>
      <c r="AV274" s="3" t="s">
        <v>288</v>
      </c>
      <c r="AW274" s="3" t="s">
        <v>244</v>
      </c>
      <c r="AX274" s="3" t="s">
        <v>244</v>
      </c>
      <c r="AY274" s="3" t="s">
        <v>247</v>
      </c>
    </row>
    <row r="275" spans="1:51" ht="15.75" customHeight="1">
      <c r="A275" s="3">
        <v>638</v>
      </c>
      <c r="B275" s="5" t="str">
        <f t="shared" si="0"/>
        <v>http://roarmap.eprints.org/638/</v>
      </c>
      <c r="C275" s="3">
        <v>8</v>
      </c>
      <c r="D275" s="3" t="s">
        <v>98</v>
      </c>
      <c r="E275" s="3">
        <v>1</v>
      </c>
      <c r="F275" s="3" t="s">
        <v>1287</v>
      </c>
      <c r="G275" s="3">
        <v>41988.924270833333</v>
      </c>
      <c r="H275" s="3">
        <v>42020.602048611108</v>
      </c>
      <c r="I275" s="3">
        <v>41988.924270833333</v>
      </c>
      <c r="J275" s="3" t="s">
        <v>103</v>
      </c>
      <c r="K275" s="3" t="s">
        <v>105</v>
      </c>
      <c r="L275" s="3" t="s">
        <v>1288</v>
      </c>
      <c r="O275" s="3" t="s">
        <v>1289</v>
      </c>
      <c r="Q275" t="str">
        <f t="shared" si="20"/>
        <v>http://roarmap.eprints.org/view/country/380.html</v>
      </c>
      <c r="R275" s="3">
        <v>380</v>
      </c>
      <c r="S275" s="6" t="s">
        <v>201</v>
      </c>
      <c r="T275" s="9">
        <v>380</v>
      </c>
      <c r="U275" s="7" t="s">
        <v>123</v>
      </c>
      <c r="V275" s="6" t="s">
        <v>76</v>
      </c>
      <c r="W275" s="3" t="s">
        <v>158</v>
      </c>
      <c r="X275" s="3" t="s">
        <v>160</v>
      </c>
      <c r="Y275" s="3" t="s">
        <v>1288</v>
      </c>
      <c r="Z275" s="8" t="str">
        <f>HYPERLINK("http://www.univpm.it/","http://www.univpm.it/")</f>
        <v>http://www.univpm.it/</v>
      </c>
      <c r="AA275" s="8" t="str">
        <f t="shared" ref="AA275:AB275" si="22">HYPERLINK("http://openarchive.univpm.it/jspui/","http://openarchive.univpm.it/jspui/")</f>
        <v>http://openarchive.univpm.it/jspui/</v>
      </c>
      <c r="AB275" s="8" t="str">
        <f t="shared" si="22"/>
        <v>http://openarchive.univpm.it/jspui/</v>
      </c>
      <c r="AF275" s="3" t="s">
        <v>177</v>
      </c>
      <c r="AG275" s="3" t="s">
        <v>178</v>
      </c>
      <c r="AH275" s="3" t="s">
        <v>180</v>
      </c>
      <c r="AI275" s="3" t="s">
        <v>377</v>
      </c>
      <c r="AJ275" s="3" t="s">
        <v>385</v>
      </c>
      <c r="AK275" s="3" t="s">
        <v>371</v>
      </c>
      <c r="AL275" s="3" t="s">
        <v>244</v>
      </c>
      <c r="AM275" s="3" t="s">
        <v>178</v>
      </c>
      <c r="AN275" s="3" t="s">
        <v>185</v>
      </c>
      <c r="AO275" s="3" t="s">
        <v>392</v>
      </c>
      <c r="AP275" s="3" t="s">
        <v>244</v>
      </c>
      <c r="AQ275" s="3" t="s">
        <v>394</v>
      </c>
      <c r="AR275" s="3" t="s">
        <v>244</v>
      </c>
      <c r="AS275" s="3" t="s">
        <v>244</v>
      </c>
      <c r="AT275" s="3" t="s">
        <v>395</v>
      </c>
      <c r="AV275" s="3" t="s">
        <v>244</v>
      </c>
      <c r="AW275" s="3" t="s">
        <v>244</v>
      </c>
      <c r="AX275" s="3" t="s">
        <v>244</v>
      </c>
      <c r="AY275" s="3" t="s">
        <v>247</v>
      </c>
    </row>
    <row r="276" spans="1:51" ht="15.75" customHeight="1">
      <c r="A276" s="3">
        <v>224</v>
      </c>
      <c r="B276" s="5" t="str">
        <f t="shared" si="0"/>
        <v>http://roarmap.eprints.org/224/</v>
      </c>
      <c r="C276" s="3">
        <v>3</v>
      </c>
      <c r="D276" s="3" t="s">
        <v>98</v>
      </c>
      <c r="E276" s="3">
        <v>1</v>
      </c>
      <c r="F276" s="3" t="s">
        <v>1290</v>
      </c>
      <c r="G276" s="3">
        <v>41988.923495370371</v>
      </c>
      <c r="H276" s="3">
        <v>41988.923495370371</v>
      </c>
      <c r="I276" s="3">
        <v>41988.923495370371</v>
      </c>
      <c r="J276" s="3" t="s">
        <v>103</v>
      </c>
      <c r="K276" s="3" t="s">
        <v>105</v>
      </c>
      <c r="L276" s="3" t="s">
        <v>1291</v>
      </c>
      <c r="M276" s="3" t="s">
        <v>469</v>
      </c>
      <c r="O276" s="3" t="s">
        <v>1292</v>
      </c>
      <c r="P276" s="3" t="s">
        <v>1129</v>
      </c>
      <c r="Q276" t="str">
        <f t="shared" si="20"/>
        <v>http://roarmap.eprints.org/view/country/380.html</v>
      </c>
      <c r="R276" s="3">
        <v>380</v>
      </c>
      <c r="S276" s="6" t="s">
        <v>201</v>
      </c>
      <c r="T276" s="9">
        <v>380</v>
      </c>
      <c r="U276" s="7" t="s">
        <v>123</v>
      </c>
      <c r="V276" s="6" t="s">
        <v>76</v>
      </c>
      <c r="W276" s="3" t="s">
        <v>158</v>
      </c>
      <c r="X276" s="3" t="s">
        <v>160</v>
      </c>
      <c r="Y276" s="3" t="s">
        <v>1291</v>
      </c>
      <c r="Z276" s="8" t="str">
        <f>HYPERLINK("http://www.unipmn.it/","http://www.unipmn.it/")</f>
        <v>http://www.unipmn.it/</v>
      </c>
      <c r="AG276" s="3" t="s">
        <v>244</v>
      </c>
      <c r="AH276" s="3" t="s">
        <v>244</v>
      </c>
      <c r="AI276" s="3" t="s">
        <v>244</v>
      </c>
      <c r="AJ276" s="3" t="s">
        <v>244</v>
      </c>
      <c r="AK276" s="3" t="s">
        <v>244</v>
      </c>
      <c r="AL276" s="3" t="s">
        <v>244</v>
      </c>
      <c r="AM276" s="3" t="s">
        <v>247</v>
      </c>
      <c r="AN276" s="3" t="s">
        <v>244</v>
      </c>
      <c r="AO276" s="3" t="s">
        <v>247</v>
      </c>
      <c r="AP276" s="3" t="s">
        <v>244</v>
      </c>
      <c r="AQ276" s="3" t="s">
        <v>247</v>
      </c>
      <c r="AR276" s="3" t="s">
        <v>288</v>
      </c>
      <c r="AS276" s="3" t="s">
        <v>244</v>
      </c>
      <c r="AT276" s="3" t="s">
        <v>244</v>
      </c>
      <c r="AU276" s="3" t="s">
        <v>244</v>
      </c>
      <c r="AV276" s="3" t="s">
        <v>288</v>
      </c>
      <c r="AW276" s="3" t="s">
        <v>244</v>
      </c>
      <c r="AX276" s="3" t="s">
        <v>244</v>
      </c>
      <c r="AY276" s="3" t="s">
        <v>247</v>
      </c>
    </row>
    <row r="277" spans="1:51" ht="15.75" customHeight="1">
      <c r="A277" s="3">
        <v>227</v>
      </c>
      <c r="B277" s="5" t="str">
        <f t="shared" si="0"/>
        <v>http://roarmap.eprints.org/227/</v>
      </c>
      <c r="C277" s="3">
        <v>3</v>
      </c>
      <c r="D277" s="3" t="s">
        <v>98</v>
      </c>
      <c r="E277" s="3">
        <v>1</v>
      </c>
      <c r="F277" s="3" t="s">
        <v>1293</v>
      </c>
      <c r="G277" s="3">
        <v>41988.923506944448</v>
      </c>
      <c r="H277" s="3">
        <v>41988.923506944448</v>
      </c>
      <c r="I277" s="3">
        <v>41988.923506944448</v>
      </c>
      <c r="J277" s="3" t="s">
        <v>103</v>
      </c>
      <c r="K277" s="3" t="s">
        <v>105</v>
      </c>
      <c r="L277" s="3" t="s">
        <v>1294</v>
      </c>
      <c r="M277" s="3" t="s">
        <v>352</v>
      </c>
      <c r="N277" s="3" t="s">
        <v>1295</v>
      </c>
      <c r="O277" s="3" t="s">
        <v>1296</v>
      </c>
      <c r="P277" s="3" t="s">
        <v>215</v>
      </c>
      <c r="Q277" t="str">
        <f t="shared" si="20"/>
        <v>http://roarmap.eprints.org/view/country/380.html</v>
      </c>
      <c r="R277" s="3">
        <v>380</v>
      </c>
      <c r="S277" s="6" t="s">
        <v>201</v>
      </c>
      <c r="T277" s="9">
        <v>380</v>
      </c>
      <c r="U277" s="7" t="s">
        <v>123</v>
      </c>
      <c r="V277" s="6" t="s">
        <v>76</v>
      </c>
      <c r="W277" s="3" t="s">
        <v>158</v>
      </c>
      <c r="X277" s="3" t="s">
        <v>160</v>
      </c>
      <c r="Y277" s="3" t="s">
        <v>1294</v>
      </c>
      <c r="Z277" s="8" t="str">
        <f>HYPERLINK("http://www4.uninsubria.it/on-line/home.html","http://www4.uninsubria.it/on-line/home.html")</f>
        <v>http://www4.uninsubria.it/on-line/home.html</v>
      </c>
      <c r="AA277" s="8" t="str">
        <f>HYPERLINK("http://www.unipi.it/index.php/phoca-ateneo/category/6-area-didattica-e-studenti?download=29%3Aregolamento-per-il-deposito-elettronico-degli-elaborati-finali-e-delle-tesi","http://www.unipi.it/index.php/phoca-ateneo/category/6-area-didattica-e-studenti?download=29%3Aregolamento-per-il-deposito-elettronico-degli-elaborati-finali-e-delle-tesi")</f>
        <v>http://www.unipi.it/index.php/phoca-ateneo/category/6-area-didattica-e-studenti?download=29%3Aregolamento-per-il-deposito-elettronico-degli-elaborati-finali-e-delle-tesi</v>
      </c>
      <c r="AC277" s="3">
        <v>40179</v>
      </c>
      <c r="AF277" s="3" t="s">
        <v>177</v>
      </c>
      <c r="AG277" s="3" t="s">
        <v>178</v>
      </c>
      <c r="AH277" s="3" t="s">
        <v>180</v>
      </c>
      <c r="AI277" s="3" t="s">
        <v>244</v>
      </c>
      <c r="AJ277" s="3" t="s">
        <v>385</v>
      </c>
      <c r="AK277" s="3" t="s">
        <v>244</v>
      </c>
      <c r="AL277" s="3" t="s">
        <v>244</v>
      </c>
      <c r="AM277" s="3" t="s">
        <v>247</v>
      </c>
      <c r="AN277" s="3" t="s">
        <v>244</v>
      </c>
      <c r="AO277" s="3" t="s">
        <v>247</v>
      </c>
      <c r="AP277" s="3" t="s">
        <v>244</v>
      </c>
      <c r="AQ277" s="3" t="s">
        <v>247</v>
      </c>
      <c r="AR277" s="3" t="s">
        <v>288</v>
      </c>
      <c r="AS277" s="3" t="s">
        <v>288</v>
      </c>
      <c r="AT277" s="3" t="s">
        <v>244</v>
      </c>
      <c r="AU277" s="3" t="s">
        <v>244</v>
      </c>
      <c r="AV277" s="3" t="s">
        <v>288</v>
      </c>
      <c r="AW277" s="3" t="s">
        <v>371</v>
      </c>
      <c r="AX277" s="3" t="s">
        <v>244</v>
      </c>
      <c r="AY277" s="3" t="s">
        <v>247</v>
      </c>
    </row>
    <row r="278" spans="1:51" ht="15.75" customHeight="1">
      <c r="A278" s="3">
        <v>219</v>
      </c>
      <c r="B278" s="5" t="str">
        <f t="shared" si="0"/>
        <v>http://roarmap.eprints.org/219/</v>
      </c>
      <c r="C278" s="3">
        <v>4</v>
      </c>
      <c r="D278" s="3" t="s">
        <v>98</v>
      </c>
      <c r="E278" s="3">
        <v>261</v>
      </c>
      <c r="F278" s="3" t="s">
        <v>1297</v>
      </c>
      <c r="G278" s="3">
        <v>41988.923460648148</v>
      </c>
      <c r="H278" s="3">
        <v>42046.981678240743</v>
      </c>
      <c r="I278" s="3">
        <v>41988.923460648148</v>
      </c>
      <c r="J278" s="3" t="s">
        <v>103</v>
      </c>
      <c r="K278" s="3" t="s">
        <v>105</v>
      </c>
      <c r="L278" s="3" t="s">
        <v>1298</v>
      </c>
      <c r="M278" s="3" t="s">
        <v>352</v>
      </c>
      <c r="N278" s="3" t="s">
        <v>1299</v>
      </c>
      <c r="O278" s="3" t="s">
        <v>1300</v>
      </c>
      <c r="P278" s="3" t="s">
        <v>1129</v>
      </c>
      <c r="Q278" t="str">
        <f t="shared" si="20"/>
        <v>http://roarmap.eprints.org/view/country/380.html</v>
      </c>
      <c r="R278" s="3">
        <v>380</v>
      </c>
      <c r="S278" s="6" t="s">
        <v>201</v>
      </c>
      <c r="T278" s="9">
        <v>380</v>
      </c>
      <c r="U278" s="7" t="s">
        <v>123</v>
      </c>
      <c r="V278" s="6" t="s">
        <v>76</v>
      </c>
      <c r="W278" s="3" t="s">
        <v>158</v>
      </c>
      <c r="X278" s="3" t="s">
        <v>160</v>
      </c>
      <c r="Y278" s="3" t="s">
        <v>1298</v>
      </c>
      <c r="Z278" s="8" t="str">
        <f>HYPERLINK("http://www.unica.it","http://www.unica.it")</f>
        <v>http://www.unica.it</v>
      </c>
      <c r="AB278" s="8" t="str">
        <f>HYPERLINK("http://veprints.unica.it/","http://veprints.unica.it/")</f>
        <v>http://veprints.unica.it/</v>
      </c>
      <c r="AC278" s="3">
        <v>40330</v>
      </c>
      <c r="AF278" s="3" t="s">
        <v>244</v>
      </c>
      <c r="AG278" s="3" t="s">
        <v>178</v>
      </c>
      <c r="AH278" s="3" t="s">
        <v>180</v>
      </c>
      <c r="AI278" s="3" t="s">
        <v>187</v>
      </c>
      <c r="AJ278" s="3" t="s">
        <v>385</v>
      </c>
      <c r="AK278" s="3" t="s">
        <v>244</v>
      </c>
      <c r="AL278" s="3" t="s">
        <v>244</v>
      </c>
      <c r="AM278" s="3" t="s">
        <v>178</v>
      </c>
      <c r="AN278" s="3" t="s">
        <v>244</v>
      </c>
      <c r="AO278" s="3" t="s">
        <v>378</v>
      </c>
      <c r="AP278" s="3" t="s">
        <v>244</v>
      </c>
      <c r="AQ278" s="3" t="s">
        <v>394</v>
      </c>
      <c r="AR278" s="3" t="s">
        <v>288</v>
      </c>
      <c r="AS278" s="3" t="s">
        <v>185</v>
      </c>
      <c r="AT278" s="3" t="s">
        <v>193</v>
      </c>
      <c r="AU278" s="3" t="s">
        <v>193</v>
      </c>
      <c r="AV278" s="3" t="s">
        <v>244</v>
      </c>
      <c r="AW278" s="3" t="s">
        <v>244</v>
      </c>
      <c r="AX278" s="3" t="s">
        <v>244</v>
      </c>
      <c r="AY278" s="3" t="s">
        <v>247</v>
      </c>
    </row>
    <row r="279" spans="1:51" ht="15.75" customHeight="1">
      <c r="A279" s="3">
        <v>220</v>
      </c>
      <c r="B279" s="5" t="str">
        <f t="shared" si="0"/>
        <v>http://roarmap.eprints.org/220/</v>
      </c>
      <c r="C279" s="3">
        <v>3</v>
      </c>
      <c r="D279" s="3" t="s">
        <v>98</v>
      </c>
      <c r="E279" s="3">
        <v>1</v>
      </c>
      <c r="F279" s="3" t="s">
        <v>1301</v>
      </c>
      <c r="G279" s="3">
        <v>41988.923472222225</v>
      </c>
      <c r="H279" s="3">
        <v>41988.923472222225</v>
      </c>
      <c r="I279" s="3">
        <v>41988.923472222225</v>
      </c>
      <c r="J279" s="3" t="s">
        <v>103</v>
      </c>
      <c r="K279" s="3" t="s">
        <v>105</v>
      </c>
      <c r="L279" s="3" t="s">
        <v>1302</v>
      </c>
      <c r="M279" s="3" t="s">
        <v>469</v>
      </c>
      <c r="O279" s="3" t="s">
        <v>1303</v>
      </c>
      <c r="P279" s="3" t="s">
        <v>1129</v>
      </c>
      <c r="Q279" t="str">
        <f t="shared" si="20"/>
        <v>http://roarmap.eprints.org/view/country/380.html</v>
      </c>
      <c r="R279" s="3">
        <v>380</v>
      </c>
      <c r="S279" s="6" t="s">
        <v>201</v>
      </c>
      <c r="T279" s="9">
        <v>380</v>
      </c>
      <c r="U279" s="7" t="s">
        <v>123</v>
      </c>
      <c r="V279" s="6" t="s">
        <v>76</v>
      </c>
      <c r="W279" s="3" t="s">
        <v>158</v>
      </c>
      <c r="X279" s="3" t="s">
        <v>160</v>
      </c>
      <c r="Y279" s="3" t="s">
        <v>1302</v>
      </c>
      <c r="Z279" s="8" t="str">
        <f>HYPERLINK("http://www.unime.it","http://www.unime.it")</f>
        <v>http://www.unime.it</v>
      </c>
      <c r="AB279" s="8" t="str">
        <f>HYPERLINK("http://cab.unime.it/mus/","http://cab.unime.it/mus/")</f>
        <v>http://cab.unime.it/mus/</v>
      </c>
      <c r="AG279" s="3" t="s">
        <v>244</v>
      </c>
      <c r="AH279" s="3" t="s">
        <v>244</v>
      </c>
      <c r="AI279" s="3" t="s">
        <v>244</v>
      </c>
      <c r="AJ279" s="3" t="s">
        <v>244</v>
      </c>
      <c r="AK279" s="3" t="s">
        <v>244</v>
      </c>
      <c r="AL279" s="3" t="s">
        <v>244</v>
      </c>
      <c r="AM279" s="3" t="s">
        <v>247</v>
      </c>
      <c r="AN279" s="3" t="s">
        <v>244</v>
      </c>
      <c r="AO279" s="3" t="s">
        <v>247</v>
      </c>
      <c r="AP279" s="3" t="s">
        <v>244</v>
      </c>
      <c r="AQ279" s="3" t="s">
        <v>247</v>
      </c>
      <c r="AR279" s="3" t="s">
        <v>288</v>
      </c>
      <c r="AS279" s="3" t="s">
        <v>244</v>
      </c>
      <c r="AT279" s="3" t="s">
        <v>244</v>
      </c>
      <c r="AU279" s="3" t="s">
        <v>244</v>
      </c>
      <c r="AV279" s="3" t="s">
        <v>288</v>
      </c>
      <c r="AW279" s="3" t="s">
        <v>244</v>
      </c>
      <c r="AX279" s="3" t="s">
        <v>244</v>
      </c>
      <c r="AY279" s="3" t="s">
        <v>247</v>
      </c>
    </row>
    <row r="280" spans="1:51" ht="15.75" customHeight="1">
      <c r="A280" s="3">
        <v>221</v>
      </c>
      <c r="B280" s="5" t="str">
        <f t="shared" si="0"/>
        <v>http://roarmap.eprints.org/221/</v>
      </c>
      <c r="C280" s="3">
        <v>6</v>
      </c>
      <c r="D280" s="3" t="s">
        <v>98</v>
      </c>
      <c r="E280" s="3">
        <v>1</v>
      </c>
      <c r="F280" s="3" t="s">
        <v>1304</v>
      </c>
      <c r="G280" s="3">
        <v>41988.923483796294</v>
      </c>
      <c r="H280" s="3">
        <v>41988.923483796294</v>
      </c>
      <c r="I280" s="3">
        <v>41988.923483796294</v>
      </c>
      <c r="J280" s="3" t="s">
        <v>103</v>
      </c>
      <c r="K280" s="3" t="s">
        <v>105</v>
      </c>
      <c r="L280" s="3" t="s">
        <v>1305</v>
      </c>
      <c r="M280" s="3" t="s">
        <v>352</v>
      </c>
      <c r="N280" s="3" t="s">
        <v>1306</v>
      </c>
      <c r="O280" s="3" t="s">
        <v>1307</v>
      </c>
      <c r="P280" s="3" t="s">
        <v>215</v>
      </c>
      <c r="Q280" t="str">
        <f t="shared" si="20"/>
        <v>http://roarmap.eprints.org/view/country/380.html</v>
      </c>
      <c r="R280" s="3">
        <v>380</v>
      </c>
      <c r="S280" s="6" t="s">
        <v>201</v>
      </c>
      <c r="T280" s="9">
        <v>380</v>
      </c>
      <c r="U280" s="7" t="s">
        <v>123</v>
      </c>
      <c r="V280" s="6" t="s">
        <v>76</v>
      </c>
      <c r="W280" s="3" t="s">
        <v>158</v>
      </c>
      <c r="X280" s="3" t="s">
        <v>160</v>
      </c>
      <c r="Y280" s="3" t="s">
        <v>1305</v>
      </c>
      <c r="Z280" s="8" t="str">
        <f>HYPERLINK("http://www.unimi.it/","http://www.unimi.it/")</f>
        <v>http://www.unimi.it/</v>
      </c>
      <c r="AA280" s="8" t="str">
        <f>HYPERLINK("http://www.unimi.it/ricerca/air/76762.htm","http://www.unimi.it/ricerca/air/76762.htm")</f>
        <v>http://www.unimi.it/ricerca/air/76762.htm</v>
      </c>
      <c r="AB280" s="8" t="str">
        <f>HYPERLINK("http://air.unimi.it/","http://air.unimi.it/")</f>
        <v>http://air.unimi.it/</v>
      </c>
      <c r="AC280" s="3">
        <v>41773</v>
      </c>
      <c r="AD280" s="3">
        <v>42005</v>
      </c>
      <c r="AF280" s="3" t="s">
        <v>478</v>
      </c>
      <c r="AG280" s="3" t="s">
        <v>178</v>
      </c>
      <c r="AH280" s="3" t="s">
        <v>180</v>
      </c>
      <c r="AI280" s="3" t="s">
        <v>392</v>
      </c>
      <c r="AJ280" s="3" t="s">
        <v>182</v>
      </c>
      <c r="AK280" s="3" t="s">
        <v>393</v>
      </c>
      <c r="AL280" s="3" t="s">
        <v>185</v>
      </c>
      <c r="AM280" s="3" t="s">
        <v>479</v>
      </c>
      <c r="AN280" s="3" t="s">
        <v>189</v>
      </c>
      <c r="AO280" s="3" t="s">
        <v>181</v>
      </c>
      <c r="AP280" s="3" t="s">
        <v>185</v>
      </c>
      <c r="AQ280" s="3" t="s">
        <v>394</v>
      </c>
      <c r="AR280" s="3" t="s">
        <v>185</v>
      </c>
      <c r="AS280" s="3" t="s">
        <v>189</v>
      </c>
      <c r="AT280" s="3" t="s">
        <v>395</v>
      </c>
      <c r="AU280" s="3" t="s">
        <v>459</v>
      </c>
      <c r="AV280" s="3" t="s">
        <v>189</v>
      </c>
      <c r="AW280" s="3" t="s">
        <v>339</v>
      </c>
      <c r="AX280" s="3" t="s">
        <v>442</v>
      </c>
      <c r="AY280" s="3" t="s">
        <v>198</v>
      </c>
    </row>
    <row r="281" spans="1:51" ht="15.75" customHeight="1">
      <c r="A281" s="3">
        <v>222</v>
      </c>
      <c r="B281" s="5" t="str">
        <f t="shared" si="0"/>
        <v>http://roarmap.eprints.org/222/</v>
      </c>
      <c r="C281" s="3">
        <v>3</v>
      </c>
      <c r="D281" s="3" t="s">
        <v>98</v>
      </c>
      <c r="E281" s="3">
        <v>1</v>
      </c>
      <c r="F281" s="3" t="s">
        <v>1308</v>
      </c>
      <c r="G281" s="3">
        <v>41988.923483796294</v>
      </c>
      <c r="H281" s="3">
        <v>41988.923483796294</v>
      </c>
      <c r="I281" s="3">
        <v>41988.923483796294</v>
      </c>
      <c r="J281" s="3" t="s">
        <v>103</v>
      </c>
      <c r="K281" s="3" t="s">
        <v>105</v>
      </c>
      <c r="L281" s="3" t="s">
        <v>1309</v>
      </c>
      <c r="M281" s="3" t="s">
        <v>352</v>
      </c>
      <c r="N281" s="3" t="s">
        <v>1310</v>
      </c>
      <c r="P281" s="3" t="s">
        <v>1129</v>
      </c>
      <c r="Q281" t="str">
        <f t="shared" si="20"/>
        <v>http://roarmap.eprints.org/view/country/380.html</v>
      </c>
      <c r="R281" s="3">
        <v>380</v>
      </c>
      <c r="S281" s="6" t="s">
        <v>201</v>
      </c>
      <c r="T281" s="9">
        <v>380</v>
      </c>
      <c r="U281" s="7" t="s">
        <v>123</v>
      </c>
      <c r="V281" s="6" t="s">
        <v>76</v>
      </c>
      <c r="W281" s="3" t="s">
        <v>158</v>
      </c>
      <c r="X281" s="3" t="s">
        <v>160</v>
      </c>
      <c r="Y281" s="3" t="s">
        <v>1309</v>
      </c>
      <c r="Z281" s="8" t="str">
        <f>HYPERLINK("http://www.unimo.it","http://www.unimo.it")</f>
        <v>http://www.unimo.it</v>
      </c>
      <c r="AA281" s="8" t="str">
        <f>HYPERLINK("https://morethesis.unimore.it/RegolamentoDeposito.pdf","https://morethesis.unimore.it/RegolamentoDeposito.pdf")</f>
        <v>https://morethesis.unimore.it/RegolamentoDeposito.pdf</v>
      </c>
      <c r="AB281" s="8" t="str">
        <f>HYPERLINK("https://morethesis.unimore.it/","https://morethesis.unimore.it/")</f>
        <v>https://morethesis.unimore.it/</v>
      </c>
      <c r="AC281" s="3">
        <v>40855</v>
      </c>
      <c r="AF281" s="3" t="s">
        <v>177</v>
      </c>
      <c r="AG281" s="3" t="s">
        <v>178</v>
      </c>
      <c r="AH281" s="3" t="s">
        <v>180</v>
      </c>
      <c r="AI281" s="3" t="s">
        <v>187</v>
      </c>
      <c r="AJ281" s="3" t="s">
        <v>385</v>
      </c>
      <c r="AK281" s="3" t="s">
        <v>244</v>
      </c>
      <c r="AL281" s="3" t="s">
        <v>244</v>
      </c>
      <c r="AM281" s="3" t="s">
        <v>479</v>
      </c>
      <c r="AN281" s="3" t="s">
        <v>244</v>
      </c>
      <c r="AO281" s="3" t="s">
        <v>378</v>
      </c>
      <c r="AP281" s="3" t="s">
        <v>244</v>
      </c>
      <c r="AQ281" s="3" t="s">
        <v>394</v>
      </c>
      <c r="AR281" s="3" t="s">
        <v>288</v>
      </c>
      <c r="AS281" s="3" t="s">
        <v>185</v>
      </c>
      <c r="AT281" s="3" t="s">
        <v>193</v>
      </c>
      <c r="AU281" s="3" t="s">
        <v>193</v>
      </c>
      <c r="AV281" s="3" t="s">
        <v>244</v>
      </c>
      <c r="AW281" s="3" t="s">
        <v>339</v>
      </c>
      <c r="AX281" s="3" t="s">
        <v>244</v>
      </c>
      <c r="AY281" s="3" t="s">
        <v>247</v>
      </c>
    </row>
    <row r="282" spans="1:51" ht="15.75" customHeight="1">
      <c r="A282" s="3">
        <v>228</v>
      </c>
      <c r="B282" s="5" t="str">
        <f t="shared" si="0"/>
        <v>http://roarmap.eprints.org/228/</v>
      </c>
      <c r="C282" s="3">
        <v>3</v>
      </c>
      <c r="D282" s="3" t="s">
        <v>98</v>
      </c>
      <c r="E282" s="3">
        <v>1</v>
      </c>
      <c r="F282" s="3" t="s">
        <v>1311</v>
      </c>
      <c r="G282" s="3">
        <v>41988.923506944448</v>
      </c>
      <c r="H282" s="3">
        <v>41988.923506944448</v>
      </c>
      <c r="I282" s="3">
        <v>41988.923506944448</v>
      </c>
      <c r="J282" s="3" t="s">
        <v>103</v>
      </c>
      <c r="K282" s="3" t="s">
        <v>105</v>
      </c>
      <c r="L282" s="3" t="s">
        <v>1312</v>
      </c>
      <c r="M282" s="3" t="s">
        <v>352</v>
      </c>
      <c r="P282" s="3" t="s">
        <v>215</v>
      </c>
      <c r="Q282" t="str">
        <f t="shared" si="20"/>
        <v>http://roarmap.eprints.org/view/country/380.html</v>
      </c>
      <c r="R282" s="3">
        <v>380</v>
      </c>
      <c r="S282" s="6" t="s">
        <v>201</v>
      </c>
      <c r="T282" s="9">
        <v>380</v>
      </c>
      <c r="U282" s="7" t="s">
        <v>123</v>
      </c>
      <c r="V282" s="6" t="s">
        <v>76</v>
      </c>
      <c r="W282" s="3" t="s">
        <v>158</v>
      </c>
      <c r="X282" s="3" t="s">
        <v>160</v>
      </c>
      <c r="Y282" s="3" t="s">
        <v>1312</v>
      </c>
      <c r="Z282" s="8" t="str">
        <f>HYPERLINK("http://www.uniparthenope.it/","http://www.uniparthenope.it/")</f>
        <v>http://www.uniparthenope.it/</v>
      </c>
      <c r="AA282" s="8" t="str">
        <f>HYPERLINK("http://www.unipi.it/index.php/phoca-ateneo/category/6-area-didattica-e-studenti?download=29%3Aregolamento-per-il-deposito-elettronico-degli-elaborati-finali-e-delle-tesi","http://www.unipi.it/index.php/phoca-ateneo/category/6-area-didattica-e-studenti?download=29%3Aregolamento-per-il-deposito-elettronico-degli-elaborati-finali-e-delle-tesi")</f>
        <v>http://www.unipi.it/index.php/phoca-ateneo/category/6-area-didattica-e-studenti?download=29%3Aregolamento-per-il-deposito-elettronico-degli-elaborati-finali-e-delle-tesi</v>
      </c>
      <c r="AF282" s="3" t="s">
        <v>177</v>
      </c>
      <c r="AG282" s="3" t="s">
        <v>178</v>
      </c>
      <c r="AH282" s="3" t="s">
        <v>180</v>
      </c>
      <c r="AI282" s="3" t="s">
        <v>244</v>
      </c>
      <c r="AJ282" s="3" t="s">
        <v>385</v>
      </c>
      <c r="AK282" s="3" t="s">
        <v>244</v>
      </c>
      <c r="AL282" s="3" t="s">
        <v>244</v>
      </c>
      <c r="AM282" s="3" t="s">
        <v>178</v>
      </c>
      <c r="AN282" s="3" t="s">
        <v>244</v>
      </c>
      <c r="AO282" s="3" t="s">
        <v>247</v>
      </c>
      <c r="AP282" s="3" t="s">
        <v>244</v>
      </c>
      <c r="AQ282" s="3" t="s">
        <v>247</v>
      </c>
      <c r="AR282" s="3" t="s">
        <v>288</v>
      </c>
      <c r="AS282" s="3" t="s">
        <v>185</v>
      </c>
      <c r="AT282" s="3" t="s">
        <v>244</v>
      </c>
      <c r="AU282" s="3" t="s">
        <v>244</v>
      </c>
      <c r="AV282" s="3" t="s">
        <v>288</v>
      </c>
      <c r="AW282" s="3" t="s">
        <v>371</v>
      </c>
      <c r="AX282" s="3" t="s">
        <v>244</v>
      </c>
      <c r="AY282" s="3" t="s">
        <v>247</v>
      </c>
    </row>
    <row r="283" spans="1:51" ht="15.75" customHeight="1">
      <c r="A283" s="3">
        <v>225</v>
      </c>
      <c r="B283" s="5" t="str">
        <f t="shared" si="0"/>
        <v>http://roarmap.eprints.org/225/</v>
      </c>
      <c r="C283" s="3">
        <v>3</v>
      </c>
      <c r="D283" s="3" t="s">
        <v>98</v>
      </c>
      <c r="E283" s="3">
        <v>1</v>
      </c>
      <c r="F283" s="3" t="s">
        <v>1313</v>
      </c>
      <c r="G283" s="3">
        <v>41988.923495370371</v>
      </c>
      <c r="H283" s="3">
        <v>41988.923495370371</v>
      </c>
      <c r="I283" s="3">
        <v>41988.923495370371</v>
      </c>
      <c r="J283" s="3" t="s">
        <v>103</v>
      </c>
      <c r="K283" s="3" t="s">
        <v>105</v>
      </c>
      <c r="L283" s="3" t="s">
        <v>1314</v>
      </c>
      <c r="M283" s="3" t="s">
        <v>352</v>
      </c>
      <c r="N283" s="3" t="s">
        <v>1315</v>
      </c>
      <c r="O283" s="3" t="s">
        <v>1316</v>
      </c>
      <c r="P283" s="3" t="s">
        <v>215</v>
      </c>
      <c r="Q283" t="str">
        <f t="shared" si="20"/>
        <v>http://roarmap.eprints.org/view/country/380.html</v>
      </c>
      <c r="R283" s="3">
        <v>380</v>
      </c>
      <c r="S283" s="6" t="s">
        <v>201</v>
      </c>
      <c r="T283" s="9">
        <v>380</v>
      </c>
      <c r="U283" s="7" t="s">
        <v>123</v>
      </c>
      <c r="V283" s="6" t="s">
        <v>76</v>
      </c>
      <c r="W283" s="3" t="s">
        <v>158</v>
      </c>
      <c r="X283" s="3" t="s">
        <v>160</v>
      </c>
      <c r="Y283" s="3" t="s">
        <v>1314</v>
      </c>
      <c r="Z283" s="8" t="str">
        <f>HYPERLINK("http://www.unisa.it/","http://www.unisa.it/")</f>
        <v>http://www.unisa.it/</v>
      </c>
      <c r="AB283" s="8" t="str">
        <f>HYPERLINK("http://elea.unisa.it:8080/jspui/","http://elea.unisa.it:8080/jspui/")</f>
        <v>http://elea.unisa.it:8080/jspui/</v>
      </c>
      <c r="AF283" s="3" t="s">
        <v>244</v>
      </c>
      <c r="AG283" s="3" t="s">
        <v>244</v>
      </c>
      <c r="AH283" s="3" t="s">
        <v>180</v>
      </c>
      <c r="AI283" s="3" t="s">
        <v>244</v>
      </c>
      <c r="AJ283" s="3" t="s">
        <v>385</v>
      </c>
      <c r="AK283" s="3" t="s">
        <v>244</v>
      </c>
      <c r="AL283" s="3" t="s">
        <v>244</v>
      </c>
      <c r="AM283" s="3" t="s">
        <v>247</v>
      </c>
      <c r="AN283" s="3" t="s">
        <v>244</v>
      </c>
      <c r="AO283" s="3" t="s">
        <v>247</v>
      </c>
      <c r="AP283" s="3" t="s">
        <v>244</v>
      </c>
      <c r="AQ283" s="3" t="s">
        <v>247</v>
      </c>
      <c r="AR283" s="3" t="s">
        <v>288</v>
      </c>
      <c r="AS283" s="3" t="s">
        <v>288</v>
      </c>
      <c r="AT283" s="3" t="s">
        <v>244</v>
      </c>
      <c r="AU283" s="3" t="s">
        <v>244</v>
      </c>
      <c r="AV283" s="3" t="s">
        <v>288</v>
      </c>
      <c r="AW283" s="3" t="s">
        <v>371</v>
      </c>
      <c r="AX283" s="3" t="s">
        <v>244</v>
      </c>
      <c r="AY283" s="3" t="s">
        <v>247</v>
      </c>
    </row>
    <row r="284" spans="1:51" ht="15.75" customHeight="1">
      <c r="A284" s="3">
        <v>230</v>
      </c>
      <c r="B284" s="5" t="str">
        <f t="shared" si="0"/>
        <v>http://roarmap.eprints.org/230/</v>
      </c>
      <c r="C284" s="3">
        <v>4</v>
      </c>
      <c r="D284" s="3" t="s">
        <v>98</v>
      </c>
      <c r="E284" s="3">
        <v>1</v>
      </c>
      <c r="F284" s="3" t="s">
        <v>1317</v>
      </c>
      <c r="G284" s="3">
        <v>41988.923506944448</v>
      </c>
      <c r="H284" s="3">
        <v>42023.031793981485</v>
      </c>
      <c r="I284" s="3">
        <v>41988.923506944448</v>
      </c>
      <c r="J284" s="3" t="s">
        <v>103</v>
      </c>
      <c r="K284" s="3" t="s">
        <v>105</v>
      </c>
      <c r="L284" s="3" t="s">
        <v>1318</v>
      </c>
      <c r="M284" s="3" t="s">
        <v>469</v>
      </c>
      <c r="N284" s="3" t="s">
        <v>1319</v>
      </c>
      <c r="O284" s="3" t="s">
        <v>1320</v>
      </c>
      <c r="P284" s="3" t="s">
        <v>1129</v>
      </c>
      <c r="Q284" t="str">
        <f t="shared" si="20"/>
        <v>http://roarmap.eprints.org/view/country/380.html</v>
      </c>
      <c r="R284" s="3">
        <v>380</v>
      </c>
      <c r="S284" s="6" t="s">
        <v>201</v>
      </c>
      <c r="T284" s="9">
        <v>380</v>
      </c>
      <c r="U284" s="7" t="s">
        <v>123</v>
      </c>
      <c r="V284" s="6" t="s">
        <v>76</v>
      </c>
      <c r="W284" s="3" t="s">
        <v>158</v>
      </c>
      <c r="X284" s="3" t="s">
        <v>160</v>
      </c>
      <c r="Y284" s="3" t="s">
        <v>1318</v>
      </c>
      <c r="Z284" s="8" t="str">
        <f>HYPERLINK("http://www.uniud.it/","http://www.uniud.it/")</f>
        <v>http://www.uniud.it/</v>
      </c>
      <c r="AB284" s="8" t="str">
        <f>HYPERLINK("https://dspace-uniud.cilea.it/","https://dspace-uniud.cilea.it/")</f>
        <v>https://dspace-uniud.cilea.it/</v>
      </c>
      <c r="AF284" s="3" t="s">
        <v>244</v>
      </c>
      <c r="AG284" s="3" t="s">
        <v>178</v>
      </c>
      <c r="AH284" s="3" t="s">
        <v>180</v>
      </c>
      <c r="AI284" s="3" t="s">
        <v>244</v>
      </c>
      <c r="AJ284" s="3" t="s">
        <v>385</v>
      </c>
      <c r="AK284" s="3" t="s">
        <v>244</v>
      </c>
      <c r="AL284" s="3" t="s">
        <v>244</v>
      </c>
      <c r="AM284" s="3" t="s">
        <v>479</v>
      </c>
      <c r="AN284" s="3" t="s">
        <v>244</v>
      </c>
      <c r="AO284" s="3" t="s">
        <v>247</v>
      </c>
      <c r="AP284" s="3" t="s">
        <v>244</v>
      </c>
      <c r="AQ284" s="3" t="s">
        <v>394</v>
      </c>
      <c r="AR284" s="3" t="s">
        <v>288</v>
      </c>
      <c r="AS284" s="3" t="s">
        <v>244</v>
      </c>
      <c r="AT284" s="3" t="s">
        <v>244</v>
      </c>
      <c r="AU284" s="3" t="s">
        <v>244</v>
      </c>
      <c r="AV284" s="3" t="s">
        <v>288</v>
      </c>
      <c r="AW284" s="3" t="s">
        <v>244</v>
      </c>
      <c r="AX284" s="3" t="s">
        <v>244</v>
      </c>
      <c r="AY284" s="3" t="s">
        <v>247</v>
      </c>
    </row>
    <row r="285" spans="1:51" ht="15.75" customHeight="1">
      <c r="A285" s="3">
        <v>226</v>
      </c>
      <c r="B285" s="5" t="str">
        <f t="shared" si="0"/>
        <v>http://roarmap.eprints.org/226/</v>
      </c>
      <c r="C285" s="3">
        <v>4</v>
      </c>
      <c r="D285" s="3" t="s">
        <v>98</v>
      </c>
      <c r="E285" s="3">
        <v>1</v>
      </c>
      <c r="F285" s="3" t="s">
        <v>1321</v>
      </c>
      <c r="G285" s="3">
        <v>41988.923495370371</v>
      </c>
      <c r="H285" s="3">
        <v>41988.923506944448</v>
      </c>
      <c r="I285" s="3">
        <v>41988.923495370371</v>
      </c>
      <c r="J285" s="3" t="s">
        <v>103</v>
      </c>
      <c r="K285" s="3" t="s">
        <v>105</v>
      </c>
      <c r="L285" s="3" t="s">
        <v>1322</v>
      </c>
      <c r="M285" s="3" t="s">
        <v>352</v>
      </c>
      <c r="N285" s="3" t="s">
        <v>1323</v>
      </c>
      <c r="O285" s="3" t="s">
        <v>1324</v>
      </c>
      <c r="P285" s="3" t="s">
        <v>215</v>
      </c>
      <c r="Q285" t="str">
        <f t="shared" si="20"/>
        <v>http://roarmap.eprints.org/view/country/380.html</v>
      </c>
      <c r="R285" s="3">
        <v>380</v>
      </c>
      <c r="S285" s="6" t="s">
        <v>201</v>
      </c>
      <c r="T285" s="9">
        <v>380</v>
      </c>
      <c r="U285" s="7" t="s">
        <v>123</v>
      </c>
      <c r="V285" s="6" t="s">
        <v>76</v>
      </c>
      <c r="W285" s="3" t="s">
        <v>158</v>
      </c>
      <c r="X285" s="3" t="s">
        <v>160</v>
      </c>
      <c r="Y285" s="3" t="s">
        <v>1322</v>
      </c>
      <c r="Z285" s="8" t="str">
        <f>HYPERLINK("http://www.univr.it/jsp/index.jsp","http://www.univr.it/jsp/index.jsp")</f>
        <v>http://www.univr.it/jsp/index.jsp</v>
      </c>
      <c r="AA285" s="8" t="str">
        <f>HYPERLINK("http://www.eprints.org/openaccess/policysignup/fullinfo.php?inst=Universit%C3%A0%20degli%20Studi%20di%20Verona","http://www.eprints.org/openaccess/policysignup/fullinfo.php?inst=Universit%C3%A0%20degli%20Studi%20di%20Verona")</f>
        <v>http://www.eprints.org/openaccess/policysignup/fullinfo.php?inst=Universit%C3%A0%20degli%20Studi%20di%20Verona</v>
      </c>
      <c r="AB285" s="8" t="str">
        <f>HYPERLINK("http://www.univr.it/main?ent=catalogoaol&amp;page=pubblicazioni&amp;lang=it","http://www.univr.it/main?ent=catalogoaol&amp;page=pubblicazioni&amp;lang=it")</f>
        <v>http://www.univr.it/main?ent=catalogoaol&amp;page=pubblicazioni&amp;lang=it</v>
      </c>
      <c r="AF285" s="3" t="s">
        <v>244</v>
      </c>
      <c r="AG285" s="3" t="s">
        <v>244</v>
      </c>
      <c r="AH285" s="3" t="s">
        <v>180</v>
      </c>
      <c r="AI285" s="3" t="s">
        <v>181</v>
      </c>
      <c r="AJ285" s="3" t="s">
        <v>182</v>
      </c>
      <c r="AK285" s="3" t="s">
        <v>371</v>
      </c>
      <c r="AL285" s="3" t="s">
        <v>288</v>
      </c>
      <c r="AM285" s="3" t="s">
        <v>479</v>
      </c>
      <c r="AN285" s="3" t="s">
        <v>189</v>
      </c>
      <c r="AO285" s="3" t="s">
        <v>181</v>
      </c>
      <c r="AP285" s="3" t="s">
        <v>189</v>
      </c>
      <c r="AQ285" s="3" t="s">
        <v>386</v>
      </c>
      <c r="AR285" s="3" t="s">
        <v>244</v>
      </c>
      <c r="AS285" s="3" t="s">
        <v>189</v>
      </c>
      <c r="AT285" s="3" t="s">
        <v>379</v>
      </c>
      <c r="AU285" s="3" t="s">
        <v>459</v>
      </c>
      <c r="AV285" s="3" t="s">
        <v>244</v>
      </c>
      <c r="AW285" s="3" t="s">
        <v>630</v>
      </c>
      <c r="AX285" s="3" t="s">
        <v>341</v>
      </c>
      <c r="AY285" s="3" t="s">
        <v>247</v>
      </c>
    </row>
    <row r="286" spans="1:51" ht="15.75" customHeight="1">
      <c r="A286" s="3">
        <v>215</v>
      </c>
      <c r="B286" s="5" t="str">
        <f t="shared" si="0"/>
        <v>http://roarmap.eprints.org/215/</v>
      </c>
      <c r="C286" s="3">
        <v>6</v>
      </c>
      <c r="D286" s="3" t="s">
        <v>98</v>
      </c>
      <c r="E286" s="3">
        <v>260</v>
      </c>
      <c r="F286" s="3" t="s">
        <v>1325</v>
      </c>
      <c r="G286" s="3">
        <v>41988.923449074071</v>
      </c>
      <c r="H286" s="3">
        <v>42046.981666666667</v>
      </c>
      <c r="I286" s="3">
        <v>41988.923449074071</v>
      </c>
      <c r="J286" s="3" t="s">
        <v>103</v>
      </c>
      <c r="K286" s="3" t="s">
        <v>105</v>
      </c>
      <c r="L286" s="3" t="s">
        <v>1326</v>
      </c>
      <c r="M286" s="3" t="s">
        <v>374</v>
      </c>
      <c r="N286" s="3" t="s">
        <v>1327</v>
      </c>
      <c r="O286" s="3" t="s">
        <v>1328</v>
      </c>
      <c r="P286" s="3" t="s">
        <v>215</v>
      </c>
      <c r="Q286" t="str">
        <f t="shared" si="20"/>
        <v>http://roarmap.eprints.org/view/country/380.html</v>
      </c>
      <c r="R286" s="3">
        <v>380</v>
      </c>
      <c r="S286" s="6" t="s">
        <v>201</v>
      </c>
      <c r="T286" s="9">
        <v>380</v>
      </c>
      <c r="U286" s="7" t="s">
        <v>123</v>
      </c>
      <c r="V286" s="6" t="s">
        <v>76</v>
      </c>
      <c r="W286" s="3" t="s">
        <v>158</v>
      </c>
      <c r="X286" s="3" t="s">
        <v>160</v>
      </c>
      <c r="Y286" s="3" t="s">
        <v>1326</v>
      </c>
      <c r="Z286" s="8" t="str">
        <f>HYPERLINK("http://www.unito.it/","http://www.unito.it/")</f>
        <v>http://www.unito.it/</v>
      </c>
      <c r="AA286" s="8" t="str">
        <f>HYPERLINK("http://www.unito.it/unitoWAR/ShowBinary/FSRepo/Area_Portale_Pubblico/Documenti/R/regolamento_accesso_aperto.PDF","http://www.unito.it/unitoWAR/ShowBinary/FSRepo/Area_Portale_Pubblico/Documenti/R/regolamento_accesso_aperto.PDF")</f>
        <v>http://www.unito.it/unitoWAR/ShowBinary/FSRepo/Area_Portale_Pubblico/Documenti/R/regolamento_accesso_aperto.PDF</v>
      </c>
      <c r="AB286" s="8" t="str">
        <f>HYPERLINK("http://aperto.unito.it/","http://aperto.unito.it/")</f>
        <v>http://aperto.unito.it/</v>
      </c>
      <c r="AC286" s="3">
        <v>41442</v>
      </c>
      <c r="AD286" s="3">
        <v>41579</v>
      </c>
      <c r="AE286" s="3">
        <v>41871</v>
      </c>
      <c r="AF286" s="3" t="s">
        <v>478</v>
      </c>
      <c r="AG286" s="3" t="s">
        <v>178</v>
      </c>
      <c r="AH286" s="3" t="s">
        <v>180</v>
      </c>
      <c r="AI286" s="3" t="s">
        <v>392</v>
      </c>
      <c r="AJ286" s="3" t="s">
        <v>182</v>
      </c>
      <c r="AK286" s="3" t="s">
        <v>393</v>
      </c>
      <c r="AL286" s="3" t="s">
        <v>189</v>
      </c>
      <c r="AM286" s="3" t="s">
        <v>178</v>
      </c>
      <c r="AN286" s="3" t="s">
        <v>189</v>
      </c>
      <c r="AO286" s="3" t="s">
        <v>181</v>
      </c>
      <c r="AP286" s="3" t="s">
        <v>189</v>
      </c>
      <c r="AQ286" s="3" t="s">
        <v>247</v>
      </c>
      <c r="AR286" s="3" t="s">
        <v>288</v>
      </c>
      <c r="AS286" s="3" t="s">
        <v>244</v>
      </c>
      <c r="AT286" s="3" t="s">
        <v>244</v>
      </c>
      <c r="AU286" s="3" t="s">
        <v>244</v>
      </c>
      <c r="AV286" s="3" t="s">
        <v>288</v>
      </c>
      <c r="AW286" s="3" t="s">
        <v>339</v>
      </c>
      <c r="AX286" s="3" t="s">
        <v>244</v>
      </c>
      <c r="AY286" s="3" t="s">
        <v>247</v>
      </c>
    </row>
    <row r="287" spans="1:51" ht="15.75" customHeight="1">
      <c r="A287" s="3">
        <v>223</v>
      </c>
      <c r="B287" s="5" t="str">
        <f t="shared" si="0"/>
        <v>http://roarmap.eprints.org/223/</v>
      </c>
      <c r="C287" s="3">
        <v>3</v>
      </c>
      <c r="D287" s="3" t="s">
        <v>98</v>
      </c>
      <c r="E287" s="3">
        <v>1</v>
      </c>
      <c r="F287" s="3" t="s">
        <v>1329</v>
      </c>
      <c r="G287" s="3">
        <v>41988.923483796294</v>
      </c>
      <c r="H287" s="3">
        <v>41988.923483796294</v>
      </c>
      <c r="I287" s="3">
        <v>41988.923483796294</v>
      </c>
      <c r="J287" s="3" t="s">
        <v>103</v>
      </c>
      <c r="K287" s="3" t="s">
        <v>105</v>
      </c>
      <c r="L287" s="3" t="s">
        <v>1330</v>
      </c>
      <c r="M287" s="3" t="s">
        <v>352</v>
      </c>
      <c r="N287" s="3" t="s">
        <v>1331</v>
      </c>
      <c r="O287" s="3" t="s">
        <v>1332</v>
      </c>
      <c r="P287" s="3" t="s">
        <v>1129</v>
      </c>
      <c r="Q287" t="str">
        <f t="shared" si="20"/>
        <v>http://roarmap.eprints.org/view/country/380.html</v>
      </c>
      <c r="R287" s="3">
        <v>380</v>
      </c>
      <c r="S287" s="6" t="s">
        <v>201</v>
      </c>
      <c r="T287" s="9">
        <v>380</v>
      </c>
      <c r="U287" s="7" t="s">
        <v>123</v>
      </c>
      <c r="V287" s="6" t="s">
        <v>76</v>
      </c>
      <c r="W287" s="3" t="s">
        <v>158</v>
      </c>
      <c r="X287" s="3" t="s">
        <v>160</v>
      </c>
      <c r="Y287" s="3" t="s">
        <v>1330</v>
      </c>
      <c r="Z287" s="8" t="str">
        <f>HYPERLINK("http://www.unipa.it/","http://www.unipa.it/")</f>
        <v>http://www.unipa.it/</v>
      </c>
      <c r="AA287" s="8" t="str">
        <f>HYPERLINK("http://portale.unipa.it/dipartimenti/beniculturalistudiculturali/dottorati/studiculturalieuropei/.content/documenti/regolamento_dottorato_studi_europei.pdf","http://portale.unipa.it/dipartimenti/beniculturalistudiculturali/dottorati/studiculturalieuropei/.content/documenti/regolamento_dottorato_studi_europei.pdf")</f>
        <v>http://portale.unipa.it/dipartimenti/beniculturalistudiculturali/dottorati/studiculturalieuropei/.content/documenti/regolamento_dottorato_studi_europei.pdf</v>
      </c>
      <c r="AB287" s="8" t="str">
        <f>HYPERLINK("http://surplus.unipa.it/oa/","http://surplus.unipa.it/oa/")</f>
        <v>http://surplus.unipa.it/oa/</v>
      </c>
      <c r="AC287" s="3">
        <v>40007</v>
      </c>
      <c r="AF287" s="3" t="s">
        <v>177</v>
      </c>
      <c r="AG287" s="3" t="s">
        <v>333</v>
      </c>
      <c r="AH287" s="3" t="s">
        <v>180</v>
      </c>
      <c r="AI287" s="3" t="s">
        <v>187</v>
      </c>
      <c r="AJ287" s="3" t="s">
        <v>182</v>
      </c>
      <c r="AK287" s="3" t="s">
        <v>244</v>
      </c>
      <c r="AL287" s="3" t="s">
        <v>288</v>
      </c>
      <c r="AM287" s="3" t="s">
        <v>479</v>
      </c>
      <c r="AN287" s="3" t="s">
        <v>244</v>
      </c>
      <c r="AO287" s="3" t="s">
        <v>247</v>
      </c>
      <c r="AP287" s="3" t="s">
        <v>244</v>
      </c>
      <c r="AQ287" s="3" t="s">
        <v>394</v>
      </c>
      <c r="AR287" s="3" t="s">
        <v>288</v>
      </c>
      <c r="AS287" s="3" t="s">
        <v>244</v>
      </c>
      <c r="AT287" s="3" t="s">
        <v>244</v>
      </c>
      <c r="AU287" s="3" t="s">
        <v>244</v>
      </c>
      <c r="AV287" s="3" t="s">
        <v>288</v>
      </c>
      <c r="AW287" s="3" t="s">
        <v>244</v>
      </c>
      <c r="AX287" s="3" t="s">
        <v>244</v>
      </c>
      <c r="AY287" s="3" t="s">
        <v>247</v>
      </c>
    </row>
    <row r="288" spans="1:51" ht="15.75" customHeight="1">
      <c r="A288" s="3">
        <v>640</v>
      </c>
      <c r="B288" s="5" t="str">
        <f t="shared" si="0"/>
        <v>http://roarmap.eprints.org/640/</v>
      </c>
      <c r="C288" s="3">
        <v>7</v>
      </c>
      <c r="D288" s="3" t="s">
        <v>98</v>
      </c>
      <c r="E288" s="3">
        <v>1</v>
      </c>
      <c r="F288" s="3" t="s">
        <v>1333</v>
      </c>
      <c r="G288" s="3">
        <v>41988.924270833333</v>
      </c>
      <c r="H288" s="3">
        <v>41988.924270833333</v>
      </c>
      <c r="I288" s="3">
        <v>41988.924270833333</v>
      </c>
      <c r="J288" s="3" t="s">
        <v>103</v>
      </c>
      <c r="K288" s="3" t="s">
        <v>105</v>
      </c>
      <c r="L288" s="3" t="s">
        <v>1334</v>
      </c>
      <c r="O288" s="3" t="s">
        <v>1335</v>
      </c>
      <c r="P288" s="3" t="s">
        <v>215</v>
      </c>
      <c r="Q288" t="str">
        <f t="shared" si="20"/>
        <v>http://roarmap.eprints.org/view/country/380.html</v>
      </c>
      <c r="R288" s="3">
        <v>380</v>
      </c>
      <c r="S288" s="6" t="s">
        <v>201</v>
      </c>
      <c r="T288" s="9">
        <v>380</v>
      </c>
      <c r="U288" s="7" t="s">
        <v>123</v>
      </c>
      <c r="V288" s="6" t="s">
        <v>76</v>
      </c>
      <c r="W288" s="3" t="s">
        <v>158</v>
      </c>
      <c r="X288" s="3" t="s">
        <v>160</v>
      </c>
      <c r="Y288" s="3" t="s">
        <v>1334</v>
      </c>
      <c r="Z288" s="8" t="str">
        <f>HYPERLINK("http://www.unipr.it/","http://www.unipr.it/")</f>
        <v>http://www.unipr.it/</v>
      </c>
      <c r="AB288" s="8" t="str">
        <f>HYPERLINK("http://dspace-unipr.cineca.it/","http://dspace-unipr.cineca.it/")</f>
        <v>http://dspace-unipr.cineca.it/</v>
      </c>
      <c r="AC288" s="3">
        <v>39142</v>
      </c>
      <c r="AF288" s="3" t="s">
        <v>478</v>
      </c>
      <c r="AG288" s="3" t="s">
        <v>178</v>
      </c>
      <c r="AH288" s="3" t="s">
        <v>180</v>
      </c>
      <c r="AI288" s="3" t="s">
        <v>244</v>
      </c>
      <c r="AJ288" s="3" t="s">
        <v>385</v>
      </c>
      <c r="AK288" s="3" t="s">
        <v>244</v>
      </c>
      <c r="AL288" s="3" t="s">
        <v>185</v>
      </c>
      <c r="AM288" s="3" t="s">
        <v>479</v>
      </c>
      <c r="AN288" s="3" t="s">
        <v>189</v>
      </c>
      <c r="AO288" s="3" t="s">
        <v>378</v>
      </c>
      <c r="AP288" s="3" t="s">
        <v>244</v>
      </c>
      <c r="AQ288" s="3" t="s">
        <v>394</v>
      </c>
      <c r="AR288" s="3" t="s">
        <v>185</v>
      </c>
      <c r="AS288" s="3" t="s">
        <v>189</v>
      </c>
      <c r="AT288" s="3" t="s">
        <v>459</v>
      </c>
      <c r="AU288" s="3" t="s">
        <v>459</v>
      </c>
      <c r="AV288" s="3" t="s">
        <v>189</v>
      </c>
      <c r="AW288" s="3" t="s">
        <v>339</v>
      </c>
      <c r="AX288" s="3" t="s">
        <v>244</v>
      </c>
      <c r="AY288" s="3" t="s">
        <v>247</v>
      </c>
    </row>
    <row r="289" spans="1:52" ht="15.75" customHeight="1">
      <c r="A289" s="3">
        <v>769</v>
      </c>
      <c r="B289" s="5" t="str">
        <f t="shared" si="0"/>
        <v>http://roarmap.eprints.org/769/</v>
      </c>
      <c r="C289" s="3">
        <v>12</v>
      </c>
      <c r="D289" s="3" t="s">
        <v>98</v>
      </c>
      <c r="E289" s="3">
        <v>782</v>
      </c>
      <c r="F289" s="3" t="s">
        <v>1336</v>
      </c>
      <c r="G289" s="3">
        <v>42145.449629629627</v>
      </c>
      <c r="H289" s="3">
        <v>42145.449629629627</v>
      </c>
      <c r="I289" s="3">
        <v>42145.449629629627</v>
      </c>
      <c r="J289" s="3" t="s">
        <v>103</v>
      </c>
      <c r="K289" s="3" t="s">
        <v>105</v>
      </c>
      <c r="L289" s="3" t="s">
        <v>1337</v>
      </c>
      <c r="Q289" t="str">
        <f t="shared" si="20"/>
        <v>http://roarmap.eprints.org/view/country/380.html</v>
      </c>
      <c r="R289" s="3">
        <v>380</v>
      </c>
      <c r="S289" s="6" t="s">
        <v>201</v>
      </c>
      <c r="T289" s="9">
        <v>380</v>
      </c>
      <c r="U289" s="7" t="s">
        <v>123</v>
      </c>
      <c r="V289" s="6" t="s">
        <v>76</v>
      </c>
      <c r="W289" s="3" t="s">
        <v>158</v>
      </c>
      <c r="X289" s="3" t="s">
        <v>376</v>
      </c>
      <c r="Y289" s="3" t="s">
        <v>1337</v>
      </c>
      <c r="Z289" s="8" t="str">
        <f>HYPERLINK("http://www.fondazionecariplo.it/it/index.html","http://www.fondazionecariplo.it/it/index.html")</f>
        <v>http://www.fondazionecariplo.it/it/index.html</v>
      </c>
      <c r="AA289" s="8" t="str">
        <f>HYPERLINK("http://www.fondazionecariplo.it/static/upload/pol/policy_open_access_en.pdf","http://www.fondazionecariplo.it/static/upload/pol/policy_open_access_en.pdf")</f>
        <v>http://www.fondazionecariplo.it/static/upload/pol/policy_open_access_en.pdf</v>
      </c>
      <c r="AC289" s="3">
        <v>41153</v>
      </c>
      <c r="AF289" s="3" t="s">
        <v>371</v>
      </c>
      <c r="AH289" s="3" t="s">
        <v>180</v>
      </c>
      <c r="AI289" s="3" t="s">
        <v>371</v>
      </c>
      <c r="AJ289" s="3" t="s">
        <v>182</v>
      </c>
      <c r="AK289" s="3" t="s">
        <v>244</v>
      </c>
      <c r="AM289" s="3" t="s">
        <v>479</v>
      </c>
      <c r="AO289" s="3" t="s">
        <v>371</v>
      </c>
      <c r="AP289" s="3" t="s">
        <v>185</v>
      </c>
      <c r="AQ289" s="3" t="s">
        <v>394</v>
      </c>
      <c r="AT289" s="3" t="s">
        <v>379</v>
      </c>
      <c r="AU289" s="3" t="s">
        <v>379</v>
      </c>
      <c r="AV289" s="3" t="s">
        <v>244</v>
      </c>
      <c r="AX289" s="3" t="s">
        <v>442</v>
      </c>
      <c r="AY289" s="3" t="s">
        <v>198</v>
      </c>
    </row>
    <row r="290" spans="1:52" ht="15.75" customHeight="1">
      <c r="A290" s="3">
        <v>39</v>
      </c>
      <c r="B290" s="5" t="str">
        <f t="shared" si="0"/>
        <v>http://roarmap.eprints.org/39/</v>
      </c>
      <c r="C290" s="3">
        <v>3</v>
      </c>
      <c r="D290" s="3" t="s">
        <v>98</v>
      </c>
      <c r="E290" s="3">
        <v>1</v>
      </c>
      <c r="F290" s="3" t="s">
        <v>1338</v>
      </c>
      <c r="G290" s="3">
        <v>41988.923125000001</v>
      </c>
      <c r="H290" s="3">
        <v>41988.923125000001</v>
      </c>
      <c r="I290" s="3">
        <v>41988.923125000001</v>
      </c>
      <c r="J290" s="3" t="s">
        <v>103</v>
      </c>
      <c r="K290" s="3" t="s">
        <v>105</v>
      </c>
      <c r="L290" s="3" t="s">
        <v>1339</v>
      </c>
      <c r="M290" s="3" t="s">
        <v>374</v>
      </c>
      <c r="N290" s="3" t="s">
        <v>1340</v>
      </c>
      <c r="P290" s="3" t="s">
        <v>215</v>
      </c>
      <c r="Q290" t="str">
        <f t="shared" si="20"/>
        <v>http://roarmap.eprints.org/view/country/392.html</v>
      </c>
      <c r="R290" s="3">
        <v>392</v>
      </c>
      <c r="S290" s="6" t="s">
        <v>204</v>
      </c>
      <c r="T290" s="9">
        <v>392</v>
      </c>
      <c r="U290" s="7" t="s">
        <v>118</v>
      </c>
      <c r="V290" s="6" t="s">
        <v>70</v>
      </c>
      <c r="W290" s="3" t="s">
        <v>158</v>
      </c>
      <c r="X290" s="3" t="s">
        <v>160</v>
      </c>
      <c r="Y290" s="3" t="s">
        <v>1339</v>
      </c>
      <c r="Z290" s="8" t="str">
        <f>HYPERLINK("http://www.oia.hokudai.ac.jp/","http://www.oia.hokudai.ac.jp/")</f>
        <v>http://www.oia.hokudai.ac.jp/</v>
      </c>
      <c r="AA290" s="8" t="str">
        <f>HYPERLINK("http://eprints.lib.hokudai.ac.jp/dspace/staff/policy_en.jsp","http://eprints.lib.hokudai.ac.jp/dspace/staff/policy_en.jsp")</f>
        <v>http://eprints.lib.hokudai.ac.jp/dspace/staff/policy_en.jsp</v>
      </c>
      <c r="AB290" s="8" t="str">
        <f>HYPERLINK("http://eprints.lib.hokudai.ac.jp/dspace/","http://eprints.lib.hokudai.ac.jp/dspace/")</f>
        <v>http://eprints.lib.hokudai.ac.jp/dspace/</v>
      </c>
      <c r="AC290" s="3">
        <v>39408</v>
      </c>
      <c r="AD290" s="3">
        <v>39408</v>
      </c>
      <c r="AE290" s="3">
        <v>41365</v>
      </c>
      <c r="AF290" s="3" t="s">
        <v>177</v>
      </c>
      <c r="AG290" s="3" t="s">
        <v>333</v>
      </c>
      <c r="AH290" s="3" t="s">
        <v>180</v>
      </c>
      <c r="AI290" s="3" t="s">
        <v>244</v>
      </c>
      <c r="AJ290" s="3" t="s">
        <v>182</v>
      </c>
      <c r="AK290" s="3" t="s">
        <v>244</v>
      </c>
      <c r="AL290" s="3" t="s">
        <v>288</v>
      </c>
      <c r="AM290" s="3" t="s">
        <v>247</v>
      </c>
      <c r="AN290" s="3" t="s">
        <v>244</v>
      </c>
      <c r="AO290" s="3" t="s">
        <v>181</v>
      </c>
      <c r="AP290" s="3" t="s">
        <v>244</v>
      </c>
      <c r="AQ290" s="3" t="s">
        <v>247</v>
      </c>
      <c r="AR290" s="3" t="s">
        <v>288</v>
      </c>
      <c r="AS290" s="3" t="s">
        <v>288</v>
      </c>
      <c r="AT290" s="3" t="s">
        <v>244</v>
      </c>
      <c r="AU290" s="3" t="s">
        <v>244</v>
      </c>
      <c r="AV290" s="3" t="s">
        <v>288</v>
      </c>
      <c r="AW290" s="3" t="s">
        <v>371</v>
      </c>
      <c r="AX290" s="3" t="s">
        <v>244</v>
      </c>
      <c r="AY290" s="3" t="s">
        <v>428</v>
      </c>
      <c r="AZ290" s="8" t="str">
        <f>HYPERLINK("http://www.oia.hokudai.ac.jp/blog/2014/04/25/scholarly_publication_support_2014/","http://www.oia.hokudai.ac.jp/blog/2014/04/25/scholarly_publication_support_2014/")</f>
        <v>http://www.oia.hokudai.ac.jp/blog/2014/04/25/scholarly_publication_support_2014/</v>
      </c>
    </row>
    <row r="291" spans="1:52" ht="15.75" customHeight="1">
      <c r="A291" s="3">
        <v>40</v>
      </c>
      <c r="B291" s="5" t="str">
        <f t="shared" si="0"/>
        <v>http://roarmap.eprints.org/40/</v>
      </c>
      <c r="C291" s="3">
        <v>3</v>
      </c>
      <c r="D291" s="3" t="s">
        <v>98</v>
      </c>
      <c r="E291" s="3">
        <v>1</v>
      </c>
      <c r="F291" s="3" t="s">
        <v>1341</v>
      </c>
      <c r="G291" s="3">
        <v>41988.923125000001</v>
      </c>
      <c r="H291" s="3">
        <v>41988.923136574071</v>
      </c>
      <c r="I291" s="3">
        <v>41988.923125000001</v>
      </c>
      <c r="J291" s="3" t="s">
        <v>103</v>
      </c>
      <c r="K291" s="3" t="s">
        <v>105</v>
      </c>
      <c r="L291" s="3" t="s">
        <v>1342</v>
      </c>
      <c r="M291" s="3" t="s">
        <v>469</v>
      </c>
      <c r="P291" s="3" t="s">
        <v>215</v>
      </c>
      <c r="Q291" t="str">
        <f t="shared" si="20"/>
        <v>http://roarmap.eprints.org/view/country/392.html</v>
      </c>
      <c r="R291" s="3">
        <v>392</v>
      </c>
      <c r="S291" s="6" t="s">
        <v>204</v>
      </c>
      <c r="T291" s="9">
        <v>392</v>
      </c>
      <c r="U291" s="7" t="s">
        <v>118</v>
      </c>
      <c r="V291" s="6" t="s">
        <v>70</v>
      </c>
      <c r="W291" s="3" t="s">
        <v>158</v>
      </c>
      <c r="X291" s="3" t="s">
        <v>376</v>
      </c>
      <c r="Y291" s="3" t="s">
        <v>1342</v>
      </c>
      <c r="Z291" s="8" t="str">
        <f>HYPERLINK("http://www.mext.go.jp/","http://www.mext.go.jp/")</f>
        <v>http://www.mext.go.jp/</v>
      </c>
      <c r="AA291" s="8" t="str">
        <f>HYPERLINK("http://www.mext.go.jp/component/b_menu/shingi/toushin/__icsFiles/afieldfile/2012/10/25/1323890_3_1.pdf","http://www.mext.go.jp/component/b_menu/shingi/toushin/__icsFiles/afieldfile/2012/10/25/1323890_3_1.pdf")</f>
        <v>http://www.mext.go.jp/component/b_menu/shingi/toushin/__icsFiles/afieldfile/2012/10/25/1323890_3_1.pdf</v>
      </c>
      <c r="AC291" s="3">
        <v>41091</v>
      </c>
      <c r="AD291" s="3">
        <v>41092</v>
      </c>
      <c r="AF291" s="3" t="s">
        <v>371</v>
      </c>
      <c r="AG291" s="3" t="s">
        <v>333</v>
      </c>
      <c r="AH291" s="3" t="s">
        <v>180</v>
      </c>
      <c r="AI291" s="3" t="s">
        <v>244</v>
      </c>
      <c r="AJ291" s="3" t="s">
        <v>244</v>
      </c>
      <c r="AK291" s="3" t="s">
        <v>393</v>
      </c>
      <c r="AL291" s="3" t="s">
        <v>288</v>
      </c>
      <c r="AM291" s="3" t="s">
        <v>247</v>
      </c>
      <c r="AN291" s="3" t="s">
        <v>244</v>
      </c>
      <c r="AO291" s="3" t="s">
        <v>181</v>
      </c>
      <c r="AP291" s="3" t="s">
        <v>189</v>
      </c>
      <c r="AQ291" s="3" t="s">
        <v>386</v>
      </c>
      <c r="AR291" s="3" t="s">
        <v>288</v>
      </c>
      <c r="AS291" s="3" t="s">
        <v>288</v>
      </c>
      <c r="AT291" s="3" t="s">
        <v>244</v>
      </c>
      <c r="AU291" s="3" t="s">
        <v>244</v>
      </c>
      <c r="AV291" s="3" t="s">
        <v>288</v>
      </c>
      <c r="AW291" s="3" t="s">
        <v>339</v>
      </c>
      <c r="AX291" s="3" t="s">
        <v>341</v>
      </c>
      <c r="AY291" s="3" t="s">
        <v>371</v>
      </c>
      <c r="AZ291" s="8" t="str">
        <f>HYPERLINK("https://www.jsps.go.jp/english/e-grants/data/kakenhi_pamph_e.pdf","https://www.jsps.go.jp/english/e-grants/data/kakenhi_pamph_e.pdf")</f>
        <v>https://www.jsps.go.jp/english/e-grants/data/kakenhi_pamph_e.pdf</v>
      </c>
    </row>
    <row r="292" spans="1:52" ht="15.75" customHeight="1">
      <c r="A292" s="3">
        <v>41</v>
      </c>
      <c r="B292" s="5" t="str">
        <f t="shared" si="0"/>
        <v>http://roarmap.eprints.org/41/</v>
      </c>
      <c r="C292" s="3">
        <v>3</v>
      </c>
      <c r="D292" s="3" t="s">
        <v>98</v>
      </c>
      <c r="E292" s="3">
        <v>1</v>
      </c>
      <c r="F292" s="3" t="s">
        <v>1343</v>
      </c>
      <c r="G292" s="3">
        <v>41988.923136574071</v>
      </c>
      <c r="H292" s="3">
        <v>41988.923136574071</v>
      </c>
      <c r="I292" s="3">
        <v>41988.923136574071</v>
      </c>
      <c r="J292" s="3" t="s">
        <v>103</v>
      </c>
      <c r="K292" s="3" t="s">
        <v>105</v>
      </c>
      <c r="L292" s="3" t="s">
        <v>1344</v>
      </c>
      <c r="M292" s="3" t="s">
        <v>352</v>
      </c>
      <c r="P292" s="3" t="s">
        <v>215</v>
      </c>
      <c r="Q292" t="str">
        <f t="shared" si="20"/>
        <v>http://roarmap.eprints.org/view/country/392.html</v>
      </c>
      <c r="R292" s="3">
        <v>392</v>
      </c>
      <c r="S292" s="6" t="s">
        <v>204</v>
      </c>
      <c r="T292" s="9">
        <v>392</v>
      </c>
      <c r="U292" s="7" t="s">
        <v>118</v>
      </c>
      <c r="V292" s="6" t="s">
        <v>70</v>
      </c>
      <c r="W292" s="3" t="s">
        <v>158</v>
      </c>
      <c r="X292" s="3" t="s">
        <v>376</v>
      </c>
      <c r="Y292" s="3" t="s">
        <v>1344</v>
      </c>
      <c r="Z292" s="8" t="str">
        <f>HYPERLINK("http://www.mext.go.jp/english/","http://www.mext.go.jp/english/")</f>
        <v>http://www.mext.go.jp/english/</v>
      </c>
      <c r="AA292" s="8" t="str">
        <f>HYPERLINK("http://drf.lib.hokudai.ac.jp/drf/index.php?plugin=attach&amp;refer=ETD2013&amp;openfile=notice_en.pdf","http://drf.lib.hokudai.ac.jp/drf/index.php?plugin=attach&amp;refer=ETD2013&amp;openfile=notice_en.pdf")</f>
        <v>http://drf.lib.hokudai.ac.jp/drf/index.php?plugin=attach&amp;refer=ETD2013&amp;openfile=notice_en.pdf</v>
      </c>
      <c r="AC292" s="3">
        <v>41365</v>
      </c>
      <c r="AD292" s="3">
        <v>41365</v>
      </c>
      <c r="AF292" s="3" t="s">
        <v>371</v>
      </c>
      <c r="AG292" s="3" t="s">
        <v>178</v>
      </c>
      <c r="AH292" s="3" t="s">
        <v>180</v>
      </c>
      <c r="AI292" s="3" t="s">
        <v>392</v>
      </c>
      <c r="AJ292" s="3" t="s">
        <v>385</v>
      </c>
      <c r="AK292" s="3" t="s">
        <v>244</v>
      </c>
      <c r="AL292" s="3" t="s">
        <v>185</v>
      </c>
      <c r="AM292" s="3" t="s">
        <v>247</v>
      </c>
      <c r="AN292" s="3" t="s">
        <v>244</v>
      </c>
      <c r="AO292" s="3" t="s">
        <v>378</v>
      </c>
      <c r="AP292" s="3" t="s">
        <v>185</v>
      </c>
      <c r="AQ292" s="3" t="s">
        <v>386</v>
      </c>
      <c r="AR292" s="3" t="s">
        <v>288</v>
      </c>
      <c r="AS292" s="3" t="s">
        <v>189</v>
      </c>
      <c r="AT292" s="3" t="s">
        <v>395</v>
      </c>
      <c r="AU292" s="3" t="s">
        <v>395</v>
      </c>
      <c r="AV292" s="3" t="s">
        <v>244</v>
      </c>
      <c r="AW292" s="3" t="s">
        <v>339</v>
      </c>
      <c r="AX292" s="3" t="s">
        <v>244</v>
      </c>
      <c r="AY292" s="3" t="s">
        <v>247</v>
      </c>
    </row>
    <row r="293" spans="1:52" ht="15.75" customHeight="1">
      <c r="A293" s="3">
        <v>762</v>
      </c>
      <c r="B293" s="5" t="str">
        <f t="shared" si="0"/>
        <v>http://roarmap.eprints.org/762/</v>
      </c>
      <c r="C293" s="3">
        <v>4</v>
      </c>
      <c r="D293" s="3" t="s">
        <v>98</v>
      </c>
      <c r="E293" s="3">
        <v>772</v>
      </c>
      <c r="F293" s="3" t="s">
        <v>1345</v>
      </c>
      <c r="G293" s="3">
        <v>42131.878946759258</v>
      </c>
      <c r="H293" s="3">
        <v>42131.878946759258</v>
      </c>
      <c r="I293" s="3">
        <v>42131.878946759258</v>
      </c>
      <c r="J293" s="3" t="s">
        <v>103</v>
      </c>
      <c r="K293" s="3" t="s">
        <v>105</v>
      </c>
      <c r="L293" s="3" t="s">
        <v>1346</v>
      </c>
      <c r="Q293" t="str">
        <f t="shared" si="20"/>
        <v>http://roarmap.eprints.org/view/country/392.html</v>
      </c>
      <c r="R293" s="3">
        <v>392</v>
      </c>
      <c r="S293" s="6" t="s">
        <v>204</v>
      </c>
      <c r="T293" s="9">
        <v>392</v>
      </c>
      <c r="U293" s="7" t="s">
        <v>118</v>
      </c>
      <c r="V293" s="6" t="s">
        <v>70</v>
      </c>
      <c r="W293" s="3" t="s">
        <v>158</v>
      </c>
      <c r="X293" s="3" t="s">
        <v>160</v>
      </c>
      <c r="Y293" s="3" t="s">
        <v>1346</v>
      </c>
      <c r="Z293" s="8" t="str">
        <f>HYPERLINK("http://www.kyoto-u.ac.jp/en","http://www.kyoto-u.ac.jp/en")</f>
        <v>http://www.kyoto-u.ac.jp/en</v>
      </c>
      <c r="AA293" s="8" t="str">
        <f>HYPERLINK("http://www.kulib.kyoto-u.ac.jp/modules/content0/index.php?content_id=92&amp;ml_lang=en","http://www.kulib.kyoto-u.ac.jp/modules/content0/index.php?content_id=92&amp;ml_lang=en")</f>
        <v>http://www.kulib.kyoto-u.ac.jp/modules/content0/index.php?content_id=92&amp;ml_lang=en</v>
      </c>
      <c r="AB293" s="8" t="str">
        <f>HYPERLINK("http://repository.kulib.kyoto-u.ac.jp/dspace/?locale=en","http://repository.kulib.kyoto-u.ac.jp/dspace/?locale=en")</f>
        <v>http://repository.kulib.kyoto-u.ac.jp/dspace/?locale=en</v>
      </c>
      <c r="AC293" s="3">
        <v>42122</v>
      </c>
      <c r="AF293" s="3" t="s">
        <v>177</v>
      </c>
      <c r="AG293" s="3" t="s">
        <v>178</v>
      </c>
      <c r="AH293" s="3" t="s">
        <v>180</v>
      </c>
      <c r="AI293" s="3" t="s">
        <v>181</v>
      </c>
      <c r="AJ293" s="3" t="s">
        <v>182</v>
      </c>
      <c r="AK293" s="3" t="s">
        <v>393</v>
      </c>
      <c r="AL293" s="3" t="s">
        <v>189</v>
      </c>
      <c r="AM293" s="3" t="s">
        <v>178</v>
      </c>
      <c r="AN293" s="3" t="s">
        <v>189</v>
      </c>
      <c r="AO293" s="3" t="s">
        <v>181</v>
      </c>
      <c r="AP293" s="3" t="s">
        <v>185</v>
      </c>
      <c r="AQ293" s="3" t="s">
        <v>394</v>
      </c>
      <c r="AR293" s="3" t="s">
        <v>288</v>
      </c>
      <c r="AS293" s="3" t="s">
        <v>189</v>
      </c>
      <c r="AT293" s="3" t="s">
        <v>244</v>
      </c>
      <c r="AU293" s="3" t="s">
        <v>244</v>
      </c>
      <c r="AV293" s="3" t="s">
        <v>244</v>
      </c>
      <c r="AW293" s="3" t="s">
        <v>339</v>
      </c>
      <c r="AX293" s="3" t="s">
        <v>244</v>
      </c>
      <c r="AY293" s="3" t="s">
        <v>247</v>
      </c>
    </row>
    <row r="294" spans="1:52" ht="15.75" customHeight="1">
      <c r="A294" s="3">
        <v>42</v>
      </c>
      <c r="B294" s="5" t="str">
        <f t="shared" si="0"/>
        <v>http://roarmap.eprints.org/42/</v>
      </c>
      <c r="C294" s="3">
        <v>3</v>
      </c>
      <c r="D294" s="3" t="s">
        <v>98</v>
      </c>
      <c r="E294" s="3">
        <v>1</v>
      </c>
      <c r="F294" s="3" t="s">
        <v>1347</v>
      </c>
      <c r="G294" s="3">
        <v>41988.923136574071</v>
      </c>
      <c r="H294" s="3">
        <v>41988.923136574071</v>
      </c>
      <c r="I294" s="3">
        <v>41988.923136574071</v>
      </c>
      <c r="J294" s="3" t="s">
        <v>103</v>
      </c>
      <c r="K294" s="3" t="s">
        <v>105</v>
      </c>
      <c r="L294" s="3" t="s">
        <v>1348</v>
      </c>
      <c r="M294" s="3" t="s">
        <v>637</v>
      </c>
      <c r="P294" s="3" t="s">
        <v>501</v>
      </c>
      <c r="Q294" t="str">
        <f t="shared" si="20"/>
        <v>http://roarmap.eprints.org/view/country/392.html</v>
      </c>
      <c r="R294" s="3">
        <v>392</v>
      </c>
      <c r="S294" s="6" t="s">
        <v>204</v>
      </c>
      <c r="T294" s="9">
        <v>392</v>
      </c>
      <c r="U294" s="7" t="s">
        <v>118</v>
      </c>
      <c r="V294" s="6" t="s">
        <v>70</v>
      </c>
      <c r="W294" s="3" t="s">
        <v>158</v>
      </c>
      <c r="X294" s="3" t="s">
        <v>160</v>
      </c>
      <c r="Y294" s="3" t="s">
        <v>1348</v>
      </c>
      <c r="Z294" s="8" t="str">
        <f>HYPERLINK("http://www.nitech.ac.jp/eng/","http://www.nitech.ac.jp/eng/")</f>
        <v>http://www.nitech.ac.jp/eng/</v>
      </c>
      <c r="AA294" s="8" t="str">
        <f>HYPERLINK("http://drf.lib.hokudai.ac.jp/drf/index.php?plugin=attach&amp;refer=DRF-Fukushima&amp;openfile=hayashi.pdf","http://drf.lib.hokudai.ac.jp/drf/index.php?plugin=attach&amp;refer=DRF-Fukushima&amp;openfile=hayashi.pdf")</f>
        <v>http://drf.lib.hokudai.ac.jp/drf/index.php?plugin=attach&amp;refer=DRF-Fukushima&amp;openfile=hayashi.pdf</v>
      </c>
      <c r="AB294" s="8" t="str">
        <f>HYPERLINK("http://repo.lib.nitech.ac.jp/?lang=en","http://repo.lib.nitech.ac.jp/?lang=en")</f>
        <v>http://repo.lib.nitech.ac.jp/?lang=en</v>
      </c>
      <c r="AC294" s="3">
        <v>41559</v>
      </c>
      <c r="AD294" s="3">
        <v>41559</v>
      </c>
      <c r="AE294" s="3">
        <v>41789</v>
      </c>
      <c r="AF294" s="3" t="s">
        <v>177</v>
      </c>
      <c r="AG294" s="3" t="s">
        <v>178</v>
      </c>
      <c r="AH294" s="3" t="s">
        <v>180</v>
      </c>
      <c r="AI294" s="3" t="s">
        <v>244</v>
      </c>
      <c r="AJ294" s="3" t="s">
        <v>182</v>
      </c>
      <c r="AK294" s="3" t="s">
        <v>244</v>
      </c>
      <c r="AL294" s="3" t="s">
        <v>189</v>
      </c>
      <c r="AM294" s="3" t="s">
        <v>178</v>
      </c>
      <c r="AN294" s="3" t="s">
        <v>189</v>
      </c>
      <c r="AO294" s="3" t="s">
        <v>181</v>
      </c>
      <c r="AP294" s="3" t="s">
        <v>244</v>
      </c>
      <c r="AQ294" s="3" t="s">
        <v>247</v>
      </c>
      <c r="AR294" s="3" t="s">
        <v>288</v>
      </c>
      <c r="AS294" s="3" t="s">
        <v>288</v>
      </c>
      <c r="AT294" s="3" t="s">
        <v>244</v>
      </c>
      <c r="AU294" s="3" t="s">
        <v>244</v>
      </c>
      <c r="AV294" s="3" t="s">
        <v>288</v>
      </c>
      <c r="AW294" s="3" t="s">
        <v>371</v>
      </c>
      <c r="AX294" s="3" t="s">
        <v>244</v>
      </c>
      <c r="AY294" s="3" t="s">
        <v>247</v>
      </c>
    </row>
    <row r="295" spans="1:52" ht="15.75" customHeight="1">
      <c r="A295" s="3">
        <v>2</v>
      </c>
      <c r="B295" s="5" t="str">
        <f t="shared" si="0"/>
        <v>http://roarmap.eprints.org/2/</v>
      </c>
      <c r="C295" s="3">
        <v>3</v>
      </c>
      <c r="D295" s="3" t="s">
        <v>98</v>
      </c>
      <c r="E295" s="3">
        <v>1</v>
      </c>
      <c r="F295" s="3" t="s">
        <v>1349</v>
      </c>
      <c r="G295" s="3">
        <v>41988.923067129632</v>
      </c>
      <c r="H295" s="3">
        <v>41988.923067129632</v>
      </c>
      <c r="I295" s="3">
        <v>41988.923067129632</v>
      </c>
      <c r="J295" s="3" t="s">
        <v>103</v>
      </c>
      <c r="K295" s="3" t="s">
        <v>105</v>
      </c>
      <c r="L295" s="3" t="s">
        <v>1350</v>
      </c>
      <c r="M295" s="3" t="s">
        <v>374</v>
      </c>
      <c r="P295" s="3" t="s">
        <v>215</v>
      </c>
      <c r="Q295" t="str">
        <f t="shared" si="20"/>
        <v>http://roarmap.eprints.org/view/country/404.html</v>
      </c>
      <c r="R295" s="3">
        <v>404</v>
      </c>
      <c r="S295" s="6" t="s">
        <v>207</v>
      </c>
      <c r="T295" s="9">
        <v>404</v>
      </c>
      <c r="U295" s="7" t="s">
        <v>51</v>
      </c>
      <c r="V295" s="6" t="s">
        <v>59</v>
      </c>
      <c r="W295" s="3" t="s">
        <v>158</v>
      </c>
      <c r="X295" s="3" t="s">
        <v>160</v>
      </c>
      <c r="Y295" s="3" t="s">
        <v>1350</v>
      </c>
      <c r="Z295" s="8" t="str">
        <f>HYPERLINK("http://www.jkuat.ac.ke","http://www.jkuat.ac.ke")</f>
        <v>http://www.jkuat.ac.ke</v>
      </c>
      <c r="AA295" s="8" t="str">
        <f>HYPERLINK("http://www.jkuat.ac.ke/?wpdmact=process&amp;did=NjguaG90bGluaw==","http://www.jkuat.ac.ke/?wpdmact=process&amp;did=NjguaG90bGluaw==")</f>
        <v>http://www.jkuat.ac.ke/?wpdmact=process&amp;did=NjguaG90bGluaw==</v>
      </c>
      <c r="AB295" s="8" t="str">
        <f>HYPERLINK("http://41.204.187.24:8080/jspui/","http://41.204.187.24:8080/jspui/")</f>
        <v>http://41.204.187.24:8080/jspui/</v>
      </c>
      <c r="AC295" s="3">
        <v>41082</v>
      </c>
      <c r="AD295" s="3">
        <v>41072</v>
      </c>
      <c r="AF295" s="3" t="s">
        <v>177</v>
      </c>
      <c r="AG295" s="3" t="s">
        <v>178</v>
      </c>
      <c r="AH295" s="3" t="s">
        <v>180</v>
      </c>
      <c r="AI295" s="3" t="s">
        <v>392</v>
      </c>
      <c r="AJ295" s="3" t="s">
        <v>244</v>
      </c>
      <c r="AK295" s="3" t="s">
        <v>244</v>
      </c>
      <c r="AL295" s="3" t="s">
        <v>185</v>
      </c>
      <c r="AM295" s="3" t="s">
        <v>178</v>
      </c>
      <c r="AN295" s="3" t="s">
        <v>189</v>
      </c>
      <c r="AO295" s="3" t="s">
        <v>181</v>
      </c>
      <c r="AP295" s="3" t="s">
        <v>185</v>
      </c>
      <c r="AQ295" s="3" t="s">
        <v>648</v>
      </c>
      <c r="AR295" s="3" t="s">
        <v>189</v>
      </c>
      <c r="AS295" s="3" t="s">
        <v>189</v>
      </c>
      <c r="AT295" s="3" t="s">
        <v>244</v>
      </c>
      <c r="AU295" s="3" t="s">
        <v>244</v>
      </c>
      <c r="AV295" s="3" t="s">
        <v>288</v>
      </c>
      <c r="AW295" s="3" t="s">
        <v>371</v>
      </c>
      <c r="AX295" s="3" t="s">
        <v>244</v>
      </c>
      <c r="AY295" s="3" t="s">
        <v>247</v>
      </c>
    </row>
    <row r="296" spans="1:52" ht="15.75" customHeight="1">
      <c r="A296" s="3">
        <v>3</v>
      </c>
      <c r="B296" s="5" t="str">
        <f t="shared" si="0"/>
        <v>http://roarmap.eprints.org/3/</v>
      </c>
      <c r="C296" s="3">
        <v>4</v>
      </c>
      <c r="D296" s="3" t="s">
        <v>98</v>
      </c>
      <c r="E296" s="3">
        <v>224</v>
      </c>
      <c r="F296" s="3" t="s">
        <v>1351</v>
      </c>
      <c r="G296" s="3">
        <v>41988.923067129632</v>
      </c>
      <c r="H296" s="3">
        <v>42046.981631944444</v>
      </c>
      <c r="I296" s="3">
        <v>41988.923067129632</v>
      </c>
      <c r="J296" s="3" t="s">
        <v>103</v>
      </c>
      <c r="K296" s="3" t="s">
        <v>105</v>
      </c>
      <c r="L296" s="3" t="s">
        <v>1352</v>
      </c>
      <c r="M296" s="3" t="s">
        <v>374</v>
      </c>
      <c r="P296" s="3" t="s">
        <v>215</v>
      </c>
      <c r="Q296" t="str">
        <f t="shared" si="20"/>
        <v>http://roarmap.eprints.org/view/country/404.html</v>
      </c>
      <c r="R296" s="3">
        <v>404</v>
      </c>
      <c r="S296" s="6" t="s">
        <v>207</v>
      </c>
      <c r="T296" s="9">
        <v>404</v>
      </c>
      <c r="U296" s="7" t="s">
        <v>51</v>
      </c>
      <c r="V296" s="6" t="s">
        <v>59</v>
      </c>
      <c r="W296" s="3" t="s">
        <v>158</v>
      </c>
      <c r="X296" s="3" t="s">
        <v>160</v>
      </c>
      <c r="Y296" s="3" t="s">
        <v>1352</v>
      </c>
      <c r="Z296" s="8" t="str">
        <f>HYPERLINK("http://www.ku.ac.ke","http://www.ku.ac.ke")</f>
        <v>http://www.ku.ac.ke</v>
      </c>
      <c r="AA296" s="8" t="str">
        <f>HYPERLINK("http://library.ku.ac.ke/wp-content/uploads/2013/01/Library-IR-Policy.pdf","http://library.ku.ac.ke/wp-content/uploads/2013/01/Library-IR-Policy.pdf")</f>
        <v>http://library.ku.ac.ke/wp-content/uploads/2013/01/Library-IR-Policy.pdf</v>
      </c>
      <c r="AB296" s="8" t="str">
        <f>HYPERLINK("http://ir-library.ku.ac.ke/","http://ir-library.ku.ac.ke/")</f>
        <v>http://ir-library.ku.ac.ke/</v>
      </c>
      <c r="AC296" s="3">
        <v>41648</v>
      </c>
      <c r="AD296" s="3">
        <v>41648</v>
      </c>
      <c r="AF296" s="3" t="s">
        <v>177</v>
      </c>
      <c r="AG296" s="3" t="s">
        <v>178</v>
      </c>
      <c r="AH296" s="3" t="s">
        <v>180</v>
      </c>
      <c r="AI296" s="3" t="s">
        <v>244</v>
      </c>
      <c r="AJ296" s="3" t="s">
        <v>244</v>
      </c>
      <c r="AK296" s="3" t="s">
        <v>244</v>
      </c>
      <c r="AL296" s="3" t="s">
        <v>185</v>
      </c>
      <c r="AM296" s="3" t="s">
        <v>178</v>
      </c>
      <c r="AN296" s="3" t="s">
        <v>189</v>
      </c>
      <c r="AO296" s="3" t="s">
        <v>181</v>
      </c>
      <c r="AP296" s="3" t="s">
        <v>185</v>
      </c>
      <c r="AQ296" s="3" t="s">
        <v>394</v>
      </c>
      <c r="AR296" s="3" t="s">
        <v>288</v>
      </c>
      <c r="AS296" s="3" t="s">
        <v>189</v>
      </c>
      <c r="AT296" s="3" t="s">
        <v>244</v>
      </c>
      <c r="AU296" s="3" t="s">
        <v>244</v>
      </c>
      <c r="AV296" s="3" t="s">
        <v>288</v>
      </c>
      <c r="AW296" s="3" t="s">
        <v>371</v>
      </c>
      <c r="AX296" s="3" t="s">
        <v>244</v>
      </c>
      <c r="AY296" s="3" t="s">
        <v>247</v>
      </c>
    </row>
    <row r="297" spans="1:52" ht="15.75" customHeight="1">
      <c r="A297" s="3">
        <v>656</v>
      </c>
      <c r="B297" s="5" t="str">
        <f t="shared" si="0"/>
        <v>http://roarmap.eprints.org/656/</v>
      </c>
      <c r="C297" s="3">
        <v>9</v>
      </c>
      <c r="D297" s="3" t="s">
        <v>98</v>
      </c>
      <c r="E297" s="3">
        <v>366</v>
      </c>
      <c r="F297" s="3" t="s">
        <v>1353</v>
      </c>
      <c r="G297" s="3">
        <v>42020.672291666669</v>
      </c>
      <c r="H297" s="3">
        <v>42046.981770833336</v>
      </c>
      <c r="I297" s="3">
        <v>42020.672291666669</v>
      </c>
      <c r="J297" s="3" t="s">
        <v>103</v>
      </c>
      <c r="K297" s="3" t="s">
        <v>105</v>
      </c>
      <c r="L297" s="3" t="s">
        <v>1354</v>
      </c>
      <c r="N297" s="3" t="s">
        <v>1355</v>
      </c>
      <c r="O297" s="3" t="s">
        <v>1356</v>
      </c>
      <c r="P297" s="3" t="s">
        <v>215</v>
      </c>
      <c r="Q297" t="str">
        <f t="shared" si="20"/>
        <v>http://roarmap.eprints.org/view/country/404.html</v>
      </c>
      <c r="R297" s="3">
        <v>404</v>
      </c>
      <c r="S297" s="6" t="s">
        <v>207</v>
      </c>
      <c r="T297" s="9">
        <v>404</v>
      </c>
      <c r="U297" s="7" t="s">
        <v>51</v>
      </c>
      <c r="V297" s="6" t="s">
        <v>59</v>
      </c>
      <c r="W297" s="3" t="s">
        <v>158</v>
      </c>
      <c r="X297" s="3" t="s">
        <v>160</v>
      </c>
      <c r="Y297" s="3" t="s">
        <v>1354</v>
      </c>
      <c r="Z297" s="8" t="str">
        <f>HYPERLINK("http://pu.ac.ke/","http://pu.ac.ke/")</f>
        <v>http://pu.ac.ke/</v>
      </c>
      <c r="AB297" s="8" t="str">
        <f>HYPERLINK("http://elibrary.pu.ac.ke/ir/","http://elibrary.pu.ac.ke/ir/")</f>
        <v>http://elibrary.pu.ac.ke/ir/</v>
      </c>
      <c r="AC297" s="3">
        <v>41792</v>
      </c>
      <c r="AF297" s="3" t="s">
        <v>177</v>
      </c>
      <c r="AG297" s="3" t="s">
        <v>178</v>
      </c>
      <c r="AH297" s="3" t="s">
        <v>180</v>
      </c>
      <c r="AI297" s="3" t="s">
        <v>392</v>
      </c>
      <c r="AJ297" s="3" t="s">
        <v>385</v>
      </c>
      <c r="AK297" s="3" t="s">
        <v>371</v>
      </c>
      <c r="AL297" s="3" t="s">
        <v>185</v>
      </c>
      <c r="AM297" s="3" t="s">
        <v>178</v>
      </c>
      <c r="AN297" s="3" t="s">
        <v>185</v>
      </c>
      <c r="AO297" s="3" t="s">
        <v>621</v>
      </c>
      <c r="AP297" s="3" t="s">
        <v>189</v>
      </c>
      <c r="AQ297" s="3" t="s">
        <v>394</v>
      </c>
      <c r="AR297" s="3" t="s">
        <v>288</v>
      </c>
      <c r="AS297" s="3" t="s">
        <v>185</v>
      </c>
      <c r="AT297" s="3" t="s">
        <v>459</v>
      </c>
      <c r="AU297" s="3" t="s">
        <v>459</v>
      </c>
      <c r="AV297" s="3" t="s">
        <v>185</v>
      </c>
      <c r="AW297" s="3" t="s">
        <v>244</v>
      </c>
      <c r="AX297" s="3" t="s">
        <v>244</v>
      </c>
      <c r="AY297" s="3" t="s">
        <v>247</v>
      </c>
    </row>
    <row r="298" spans="1:52" ht="15.75" customHeight="1">
      <c r="A298" s="3">
        <v>4</v>
      </c>
      <c r="B298" s="5" t="str">
        <f t="shared" si="0"/>
        <v>http://roarmap.eprints.org/4/</v>
      </c>
      <c r="C298" s="3">
        <v>3</v>
      </c>
      <c r="D298" s="3" t="s">
        <v>98</v>
      </c>
      <c r="E298" s="3">
        <v>1</v>
      </c>
      <c r="F298" s="3" t="s">
        <v>1357</v>
      </c>
      <c r="G298" s="3">
        <v>41988.923067129632</v>
      </c>
      <c r="H298" s="3">
        <v>41988.923067129632</v>
      </c>
      <c r="I298" s="3">
        <v>41988.923067129632</v>
      </c>
      <c r="J298" s="3" t="s">
        <v>103</v>
      </c>
      <c r="K298" s="3" t="s">
        <v>105</v>
      </c>
      <c r="L298" s="3" t="s">
        <v>1358</v>
      </c>
      <c r="M298" s="3" t="s">
        <v>532</v>
      </c>
      <c r="N298" s="3" t="s">
        <v>1359</v>
      </c>
      <c r="P298" s="3" t="s">
        <v>215</v>
      </c>
      <c r="Q298" t="str">
        <f t="shared" si="20"/>
        <v>http://roarmap.eprints.org/view/country/404.html</v>
      </c>
      <c r="R298" s="3">
        <v>404</v>
      </c>
      <c r="S298" s="6" t="s">
        <v>207</v>
      </c>
      <c r="T298" s="9">
        <v>404</v>
      </c>
      <c r="U298" s="7" t="s">
        <v>51</v>
      </c>
      <c r="V298" s="6" t="s">
        <v>59</v>
      </c>
      <c r="W298" s="3" t="s">
        <v>158</v>
      </c>
      <c r="X298" s="3" t="s">
        <v>160</v>
      </c>
      <c r="Y298" s="3" t="s">
        <v>1358</v>
      </c>
      <c r="Z298" s="8" t="str">
        <f>HYPERLINK("http://www.strathmore.edu/","http://www.strathmore.edu/")</f>
        <v>http://www.strathmore.edu/</v>
      </c>
      <c r="AA298" s="8" t="str">
        <f>HYPERLINK("http://www.eifl.net/news/strathmore-university-open-access-policy-keny","http://www.eifl.net/news/strathmore-university-open-access-policy-keny")</f>
        <v>http://www.eifl.net/news/strathmore-university-open-access-policy-keny</v>
      </c>
      <c r="AB298" s="8" t="str">
        <f>HYPERLINK("http://ir.library.strathmore.edu/","http://ir.library.strathmore.edu/")</f>
        <v>http://ir.library.strathmore.edu/</v>
      </c>
      <c r="AC298" s="3">
        <v>40599</v>
      </c>
      <c r="AD298" s="3">
        <v>40599</v>
      </c>
      <c r="AF298" s="3" t="s">
        <v>478</v>
      </c>
      <c r="AG298" s="3" t="s">
        <v>178</v>
      </c>
      <c r="AH298" s="3" t="s">
        <v>180</v>
      </c>
      <c r="AI298" s="3" t="s">
        <v>392</v>
      </c>
      <c r="AJ298" s="3" t="s">
        <v>182</v>
      </c>
      <c r="AK298" s="3" t="s">
        <v>393</v>
      </c>
      <c r="AL298" s="3" t="s">
        <v>189</v>
      </c>
      <c r="AM298" s="3" t="s">
        <v>178</v>
      </c>
      <c r="AN298" s="3" t="s">
        <v>244</v>
      </c>
      <c r="AO298" s="3" t="s">
        <v>247</v>
      </c>
      <c r="AP298" s="3" t="s">
        <v>244</v>
      </c>
      <c r="AQ298" s="3" t="s">
        <v>648</v>
      </c>
      <c r="AR298" s="3" t="s">
        <v>189</v>
      </c>
      <c r="AS298" s="3" t="s">
        <v>288</v>
      </c>
      <c r="AT298" s="3" t="s">
        <v>244</v>
      </c>
      <c r="AU298" s="3" t="s">
        <v>244</v>
      </c>
      <c r="AV298" s="3" t="s">
        <v>288</v>
      </c>
      <c r="AW298" s="3" t="s">
        <v>339</v>
      </c>
      <c r="AX298" s="3" t="s">
        <v>244</v>
      </c>
      <c r="AY298" s="3" t="s">
        <v>247</v>
      </c>
    </row>
    <row r="299" spans="1:52" ht="15.75" customHeight="1">
      <c r="A299" s="3">
        <v>5</v>
      </c>
      <c r="B299" s="5" t="str">
        <f t="shared" si="0"/>
        <v>http://roarmap.eprints.org/5/</v>
      </c>
      <c r="C299" s="3">
        <v>3</v>
      </c>
      <c r="D299" s="3" t="s">
        <v>98</v>
      </c>
      <c r="E299" s="3">
        <v>1</v>
      </c>
      <c r="F299" s="3" t="s">
        <v>1360</v>
      </c>
      <c r="G299" s="3">
        <v>41988.923078703701</v>
      </c>
      <c r="H299" s="3">
        <v>41988.923078703701</v>
      </c>
      <c r="I299" s="3">
        <v>41988.923078703701</v>
      </c>
      <c r="J299" s="3" t="s">
        <v>103</v>
      </c>
      <c r="K299" s="3" t="s">
        <v>105</v>
      </c>
      <c r="L299" s="3" t="s">
        <v>1361</v>
      </c>
      <c r="M299" s="3" t="s">
        <v>374</v>
      </c>
      <c r="P299" s="3" t="s">
        <v>215</v>
      </c>
      <c r="Q299" t="str">
        <f t="shared" si="20"/>
        <v>http://roarmap.eprints.org/view/country/404.html</v>
      </c>
      <c r="R299" s="3">
        <v>404</v>
      </c>
      <c r="S299" s="6" t="s">
        <v>207</v>
      </c>
      <c r="T299" s="9">
        <v>404</v>
      </c>
      <c r="U299" s="7" t="s">
        <v>51</v>
      </c>
      <c r="V299" s="6" t="s">
        <v>59</v>
      </c>
      <c r="W299" s="3" t="s">
        <v>158</v>
      </c>
      <c r="X299" s="3" t="s">
        <v>160</v>
      </c>
      <c r="Y299" s="3" t="s">
        <v>1361</v>
      </c>
      <c r="Z299" s="8" t="str">
        <f>HYPERLINK("http://www.uonbi.ac.ke","http://www.uonbi.ac.ke")</f>
        <v>http://www.uonbi.ac.ke</v>
      </c>
      <c r="AA299" s="8" t="str">
        <f>HYPERLINK("http://erepository.uonbi.ac.ke:8080/xmlui/handle/11295/7447?show=full","http://erepository.uonbi.ac.ke:8080/xmlui/handle/11295/7447?show=full")</f>
        <v>http://erepository.uonbi.ac.ke:8080/xmlui/handle/11295/7447?show=full</v>
      </c>
      <c r="AB299" s="8" t="str">
        <f>HYPERLINK("http://erepository.uonbi.ac.ke","http://erepository.uonbi.ac.ke")</f>
        <v>http://erepository.uonbi.ac.ke</v>
      </c>
      <c r="AC299" s="3">
        <v>40878</v>
      </c>
      <c r="AD299" s="3">
        <v>40878</v>
      </c>
      <c r="AF299" s="3" t="s">
        <v>177</v>
      </c>
      <c r="AG299" s="3" t="s">
        <v>178</v>
      </c>
      <c r="AH299" s="3" t="s">
        <v>180</v>
      </c>
      <c r="AI299" s="3" t="s">
        <v>392</v>
      </c>
      <c r="AJ299" s="3" t="s">
        <v>182</v>
      </c>
      <c r="AK299" s="3" t="s">
        <v>393</v>
      </c>
      <c r="AL299" s="3" t="s">
        <v>185</v>
      </c>
      <c r="AM299" s="3" t="s">
        <v>178</v>
      </c>
      <c r="AN299" s="3" t="s">
        <v>244</v>
      </c>
      <c r="AO299" s="3" t="s">
        <v>181</v>
      </c>
      <c r="AP299" s="3" t="s">
        <v>244</v>
      </c>
      <c r="AQ299" s="3" t="s">
        <v>394</v>
      </c>
      <c r="AR299" s="3" t="s">
        <v>288</v>
      </c>
      <c r="AS299" s="3" t="s">
        <v>288</v>
      </c>
      <c r="AT299" s="3" t="s">
        <v>244</v>
      </c>
      <c r="AU299" s="3" t="s">
        <v>244</v>
      </c>
      <c r="AV299" s="3" t="s">
        <v>288</v>
      </c>
      <c r="AW299" s="3" t="s">
        <v>371</v>
      </c>
      <c r="AX299" s="3" t="s">
        <v>341</v>
      </c>
      <c r="AY299" s="3" t="s">
        <v>247</v>
      </c>
    </row>
    <row r="300" spans="1:52" ht="15.75" customHeight="1">
      <c r="A300" s="3">
        <v>232</v>
      </c>
      <c r="B300" s="5" t="str">
        <f t="shared" si="0"/>
        <v>http://roarmap.eprints.org/232/</v>
      </c>
      <c r="C300" s="3">
        <v>3</v>
      </c>
      <c r="D300" s="3" t="s">
        <v>98</v>
      </c>
      <c r="E300" s="3">
        <v>1</v>
      </c>
      <c r="F300" s="3" t="s">
        <v>1362</v>
      </c>
      <c r="G300" s="3">
        <v>41988.923506944448</v>
      </c>
      <c r="H300" s="3">
        <v>41988.923506944448</v>
      </c>
      <c r="I300" s="3">
        <v>41988.923506944448</v>
      </c>
      <c r="J300" s="3" t="s">
        <v>103</v>
      </c>
      <c r="K300" s="3" t="s">
        <v>105</v>
      </c>
      <c r="L300" s="3" t="s">
        <v>1363</v>
      </c>
      <c r="M300" s="3" t="s">
        <v>352</v>
      </c>
      <c r="N300" s="3" t="s">
        <v>1364</v>
      </c>
      <c r="P300" s="3" t="s">
        <v>795</v>
      </c>
      <c r="Q300" t="str">
        <f t="shared" si="20"/>
        <v>http://roarmap.eprints.org/view/country/428.html</v>
      </c>
      <c r="R300" s="3">
        <v>428</v>
      </c>
      <c r="S300" s="6" t="s">
        <v>220</v>
      </c>
      <c r="T300" s="9">
        <v>428</v>
      </c>
      <c r="U300" s="7" t="s">
        <v>123</v>
      </c>
      <c r="V300" s="6" t="s">
        <v>125</v>
      </c>
      <c r="W300" s="3" t="s">
        <v>158</v>
      </c>
      <c r="X300" s="3" t="s">
        <v>160</v>
      </c>
      <c r="Y300" s="3" t="s">
        <v>1363</v>
      </c>
      <c r="Z300" s="8" t="str">
        <f>HYPERLINK("http://www.lu.lv/eng/","http://www.lu.lv/eng/")</f>
        <v>http://www.lu.lv/eng/</v>
      </c>
      <c r="AB300" s="8" t="str">
        <f>HYPERLINK("https://dspace.lu.lv/dspace/","https://dspace.lu.lv/dspace/")</f>
        <v>https://dspace.lu.lv/dspace/</v>
      </c>
      <c r="AC300" s="3" t="s">
        <v>1365</v>
      </c>
      <c r="AD300" s="3" t="s">
        <v>1366</v>
      </c>
      <c r="AF300" s="3" t="s">
        <v>177</v>
      </c>
      <c r="AG300" s="3" t="s">
        <v>333</v>
      </c>
      <c r="AH300" s="3" t="s">
        <v>180</v>
      </c>
      <c r="AI300" s="3" t="s">
        <v>244</v>
      </c>
      <c r="AJ300" s="3" t="s">
        <v>182</v>
      </c>
      <c r="AK300" s="3" t="s">
        <v>244</v>
      </c>
      <c r="AL300" s="3" t="s">
        <v>288</v>
      </c>
      <c r="AM300" s="3" t="s">
        <v>479</v>
      </c>
      <c r="AN300" s="3" t="s">
        <v>244</v>
      </c>
      <c r="AO300" s="3" t="s">
        <v>247</v>
      </c>
      <c r="AP300" s="3" t="s">
        <v>185</v>
      </c>
      <c r="AQ300" s="3" t="s">
        <v>247</v>
      </c>
      <c r="AR300" s="3" t="s">
        <v>288</v>
      </c>
      <c r="AS300" s="3" t="s">
        <v>288</v>
      </c>
      <c r="AT300" s="3" t="s">
        <v>244</v>
      </c>
      <c r="AU300" s="3" t="s">
        <v>244</v>
      </c>
      <c r="AV300" s="3" t="s">
        <v>288</v>
      </c>
      <c r="AW300" s="3" t="s">
        <v>371</v>
      </c>
      <c r="AX300" s="3" t="s">
        <v>244</v>
      </c>
      <c r="AY300" s="3" t="s">
        <v>247</v>
      </c>
    </row>
    <row r="301" spans="1:52" ht="15.75" customHeight="1">
      <c r="A301" s="3">
        <v>233</v>
      </c>
      <c r="B301" s="5" t="str">
        <f t="shared" si="0"/>
        <v>http://roarmap.eprints.org/233/</v>
      </c>
      <c r="C301" s="3">
        <v>4</v>
      </c>
      <c r="D301" s="3" t="s">
        <v>98</v>
      </c>
      <c r="E301" s="3">
        <v>262</v>
      </c>
      <c r="F301" s="3" t="s">
        <v>1367</v>
      </c>
      <c r="G301" s="3">
        <v>41988.923506944448</v>
      </c>
      <c r="H301" s="3">
        <v>42046.981678240743</v>
      </c>
      <c r="I301" s="3">
        <v>41988.923506944448</v>
      </c>
      <c r="J301" s="3" t="s">
        <v>103</v>
      </c>
      <c r="K301" s="3" t="s">
        <v>105</v>
      </c>
      <c r="L301" s="3" t="s">
        <v>1368</v>
      </c>
      <c r="M301" s="3" t="s">
        <v>352</v>
      </c>
      <c r="N301" s="3" t="s">
        <v>1369</v>
      </c>
      <c r="O301" s="3" t="s">
        <v>1370</v>
      </c>
      <c r="P301" s="3" t="s">
        <v>215</v>
      </c>
      <c r="Q301" t="str">
        <f t="shared" si="20"/>
        <v>http://roarmap.eprints.org/view/country/440.html</v>
      </c>
      <c r="R301" s="3">
        <v>440</v>
      </c>
      <c r="S301" s="6" t="s">
        <v>224</v>
      </c>
      <c r="T301" s="9">
        <v>440</v>
      </c>
      <c r="U301" s="7" t="s">
        <v>123</v>
      </c>
      <c r="V301" s="6" t="s">
        <v>125</v>
      </c>
      <c r="W301" s="3" t="s">
        <v>158</v>
      </c>
      <c r="X301" s="3" t="s">
        <v>364</v>
      </c>
      <c r="Y301" s="3" t="s">
        <v>1368</v>
      </c>
      <c r="Z301" s="8" t="str">
        <f>HYPERLINK("http://www.lsmuni.lt/","http://www.lsmuni.lt/")</f>
        <v>http://www.lsmuni.lt/</v>
      </c>
      <c r="AA301" s="8" t="str">
        <f>HYPERLINK("http://roarmap.eprints.org/704/1/ESFmandateRec.pdf","http://roarmap.eprints.org/704/1/ESFmandateRec.pdf")</f>
        <v>http://roarmap.eprints.org/704/1/ESFmandateRec.pdf</v>
      </c>
      <c r="AB301" s="8" t="str">
        <f>HYPERLINK("http://eknygos.lsmuni.lt/etalpykla/index.html","http://eknygos.lsmuni.lt/etalpykla/index.html")</f>
        <v>http://eknygos.lsmuni.lt/etalpykla/index.html</v>
      </c>
      <c r="AF301" s="3" t="s">
        <v>371</v>
      </c>
      <c r="AG301" s="3" t="s">
        <v>333</v>
      </c>
      <c r="AH301" s="3" t="s">
        <v>180</v>
      </c>
      <c r="AI301" s="3" t="s">
        <v>244</v>
      </c>
      <c r="AJ301" s="3" t="s">
        <v>182</v>
      </c>
      <c r="AK301" s="3" t="s">
        <v>244</v>
      </c>
      <c r="AL301" s="3" t="s">
        <v>288</v>
      </c>
      <c r="AM301" s="3" t="s">
        <v>479</v>
      </c>
      <c r="AN301" s="3" t="s">
        <v>244</v>
      </c>
      <c r="AO301" s="3" t="s">
        <v>247</v>
      </c>
      <c r="AP301" s="3" t="s">
        <v>244</v>
      </c>
      <c r="AQ301" s="3" t="s">
        <v>394</v>
      </c>
      <c r="AR301" s="3" t="s">
        <v>288</v>
      </c>
      <c r="AS301" s="3" t="s">
        <v>185</v>
      </c>
      <c r="AT301" s="3" t="s">
        <v>379</v>
      </c>
      <c r="AU301" s="3" t="s">
        <v>379</v>
      </c>
      <c r="AV301" s="3" t="s">
        <v>244</v>
      </c>
      <c r="AW301" s="3" t="s">
        <v>195</v>
      </c>
      <c r="AX301" s="3" t="s">
        <v>341</v>
      </c>
      <c r="AY301" s="3" t="s">
        <v>247</v>
      </c>
    </row>
    <row r="302" spans="1:52" ht="15.75" customHeight="1">
      <c r="A302" s="3">
        <v>234</v>
      </c>
      <c r="B302" s="5" t="str">
        <f t="shared" si="0"/>
        <v>http://roarmap.eprints.org/234/</v>
      </c>
      <c r="C302" s="3">
        <v>4</v>
      </c>
      <c r="D302" s="3" t="s">
        <v>98</v>
      </c>
      <c r="E302" s="3">
        <v>263</v>
      </c>
      <c r="F302" s="3" t="s">
        <v>1371</v>
      </c>
      <c r="G302" s="3">
        <v>41988.923518518517</v>
      </c>
      <c r="H302" s="3">
        <v>42046.981678240743</v>
      </c>
      <c r="I302" s="3">
        <v>41988.923518518517</v>
      </c>
      <c r="J302" s="3" t="s">
        <v>103</v>
      </c>
      <c r="K302" s="3" t="s">
        <v>105</v>
      </c>
      <c r="L302" s="3" t="s">
        <v>1372</v>
      </c>
      <c r="M302" s="3" t="s">
        <v>637</v>
      </c>
      <c r="N302" s="3" t="s">
        <v>1373</v>
      </c>
      <c r="P302" s="3" t="s">
        <v>215</v>
      </c>
      <c r="Q302" t="str">
        <f t="shared" si="20"/>
        <v>http://roarmap.eprints.org/view/country/440.html</v>
      </c>
      <c r="R302" s="3">
        <v>440</v>
      </c>
      <c r="S302" s="6" t="s">
        <v>224</v>
      </c>
      <c r="T302" s="9">
        <v>440</v>
      </c>
      <c r="U302" s="7" t="s">
        <v>123</v>
      </c>
      <c r="V302" s="6" t="s">
        <v>125</v>
      </c>
      <c r="W302" s="3" t="s">
        <v>158</v>
      </c>
      <c r="X302" s="3" t="s">
        <v>160</v>
      </c>
      <c r="Y302" s="3" t="s">
        <v>1372</v>
      </c>
      <c r="Z302" s="8" t="str">
        <f>HYPERLINK("http://www.mruni.eu/en/","http://www.mruni.eu/en/")</f>
        <v>http://www.mruni.eu/en/</v>
      </c>
      <c r="AA302" s="8" t="str">
        <f>HYPERLINK("http://www.eifl.net/news/mykolas-romeris-university-adopts-open-access","http://www.eifl.net/news/mykolas-romeris-university-adopts-open-access")</f>
        <v>http://www.eifl.net/news/mykolas-romeris-university-adopts-open-access</v>
      </c>
      <c r="AB302" s="8" t="str">
        <f>HYPERLINK("https://repository.mruni.eu/","https://repository.mruni.eu/")</f>
        <v>https://repository.mruni.eu/</v>
      </c>
      <c r="AC302" s="3">
        <v>41426</v>
      </c>
      <c r="AD302" s="3">
        <v>41426</v>
      </c>
      <c r="AF302" s="3" t="s">
        <v>177</v>
      </c>
      <c r="AG302" s="3" t="s">
        <v>244</v>
      </c>
      <c r="AH302" s="3" t="s">
        <v>180</v>
      </c>
      <c r="AI302" s="3" t="s">
        <v>244</v>
      </c>
      <c r="AJ302" s="3" t="s">
        <v>182</v>
      </c>
      <c r="AK302" s="3" t="s">
        <v>244</v>
      </c>
      <c r="AL302" s="3" t="s">
        <v>244</v>
      </c>
      <c r="AM302" s="3" t="s">
        <v>479</v>
      </c>
      <c r="AN302" s="3" t="s">
        <v>244</v>
      </c>
      <c r="AO302" s="3" t="s">
        <v>247</v>
      </c>
      <c r="AP302" s="3" t="s">
        <v>244</v>
      </c>
      <c r="AQ302" s="3" t="s">
        <v>247</v>
      </c>
      <c r="AR302" s="3" t="s">
        <v>288</v>
      </c>
      <c r="AS302" s="3" t="s">
        <v>288</v>
      </c>
      <c r="AT302" s="3" t="s">
        <v>244</v>
      </c>
      <c r="AU302" s="3" t="s">
        <v>244</v>
      </c>
      <c r="AV302" s="3" t="s">
        <v>288</v>
      </c>
      <c r="AW302" s="3" t="s">
        <v>371</v>
      </c>
      <c r="AX302" s="3" t="s">
        <v>244</v>
      </c>
      <c r="AY302" s="3" t="s">
        <v>247</v>
      </c>
    </row>
    <row r="303" spans="1:52" ht="15.75" customHeight="1">
      <c r="A303" s="3">
        <v>235</v>
      </c>
      <c r="B303" s="5" t="str">
        <f t="shared" si="0"/>
        <v>http://roarmap.eprints.org/235/</v>
      </c>
      <c r="C303" s="3">
        <v>3</v>
      </c>
      <c r="D303" s="3" t="s">
        <v>98</v>
      </c>
      <c r="E303" s="3">
        <v>1</v>
      </c>
      <c r="F303" s="3" t="s">
        <v>1374</v>
      </c>
      <c r="G303" s="3">
        <v>41988.923518518517</v>
      </c>
      <c r="H303" s="3">
        <v>41988.923518518517</v>
      </c>
      <c r="I303" s="3">
        <v>41988.923518518517</v>
      </c>
      <c r="J303" s="3" t="s">
        <v>103</v>
      </c>
      <c r="K303" s="3" t="s">
        <v>105</v>
      </c>
      <c r="L303" s="3" t="s">
        <v>1375</v>
      </c>
      <c r="M303" s="3" t="s">
        <v>637</v>
      </c>
      <c r="N303" s="3" t="s">
        <v>1376</v>
      </c>
      <c r="P303" s="3" t="s">
        <v>795</v>
      </c>
      <c r="Q303" t="str">
        <f t="shared" si="20"/>
        <v>http://roarmap.eprints.org/view/country/440.html</v>
      </c>
      <c r="R303" s="3">
        <v>440</v>
      </c>
      <c r="S303" s="6" t="s">
        <v>224</v>
      </c>
      <c r="T303" s="9">
        <v>440</v>
      </c>
      <c r="U303" s="7" t="s">
        <v>123</v>
      </c>
      <c r="V303" s="6" t="s">
        <v>125</v>
      </c>
      <c r="W303" s="3" t="s">
        <v>158</v>
      </c>
      <c r="X303" s="3" t="s">
        <v>376</v>
      </c>
      <c r="Y303" s="3" t="s">
        <v>1375</v>
      </c>
      <c r="Z303" s="8" t="str">
        <f t="shared" ref="Z303:Z304" si="23">HYPERLINK("http://lmt.lt","http://lmt.lt")</f>
        <v>http://lmt.lt</v>
      </c>
      <c r="AB303" s="8" t="str">
        <f>HYPERLINK("http://lituanistika.library.lt","http://lituanistika.library.lt")</f>
        <v>http://lituanistika.library.lt</v>
      </c>
      <c r="AC303" s="3">
        <v>40664</v>
      </c>
      <c r="AD303" s="3">
        <v>41760</v>
      </c>
      <c r="AF303" s="3" t="s">
        <v>177</v>
      </c>
      <c r="AG303" s="3" t="s">
        <v>244</v>
      </c>
      <c r="AH303" s="3" t="s">
        <v>463</v>
      </c>
      <c r="AI303" s="3" t="s">
        <v>181</v>
      </c>
      <c r="AJ303" s="3" t="s">
        <v>182</v>
      </c>
      <c r="AK303" s="3" t="s">
        <v>183</v>
      </c>
      <c r="AL303" s="3" t="s">
        <v>288</v>
      </c>
      <c r="AM303" s="3" t="s">
        <v>479</v>
      </c>
      <c r="AN303" s="3" t="s">
        <v>185</v>
      </c>
      <c r="AO303" s="3" t="s">
        <v>181</v>
      </c>
      <c r="AP303" s="3" t="s">
        <v>185</v>
      </c>
      <c r="AQ303" s="3" t="s">
        <v>247</v>
      </c>
      <c r="AR303" s="3" t="s">
        <v>288</v>
      </c>
      <c r="AS303" s="3" t="s">
        <v>185</v>
      </c>
      <c r="AT303" s="3" t="s">
        <v>785</v>
      </c>
      <c r="AU303" s="3" t="s">
        <v>785</v>
      </c>
      <c r="AV303" s="3" t="s">
        <v>288</v>
      </c>
      <c r="AW303" s="3" t="s">
        <v>195</v>
      </c>
      <c r="AX303" s="3" t="s">
        <v>442</v>
      </c>
      <c r="AY303" s="3" t="s">
        <v>247</v>
      </c>
    </row>
    <row r="304" spans="1:52" ht="15.75" customHeight="1">
      <c r="A304" s="3">
        <v>238</v>
      </c>
      <c r="B304" s="5" t="str">
        <f t="shared" si="0"/>
        <v>http://roarmap.eprints.org/238/</v>
      </c>
      <c r="C304" s="3">
        <v>3</v>
      </c>
      <c r="D304" s="3" t="s">
        <v>98</v>
      </c>
      <c r="E304" s="3">
        <v>1</v>
      </c>
      <c r="F304" s="3" t="s">
        <v>1377</v>
      </c>
      <c r="G304" s="3">
        <v>41988.923530092594</v>
      </c>
      <c r="H304" s="3">
        <v>41988.923530092594</v>
      </c>
      <c r="I304" s="3">
        <v>41988.923530092594</v>
      </c>
      <c r="J304" s="3" t="s">
        <v>103</v>
      </c>
      <c r="K304" s="3" t="s">
        <v>105</v>
      </c>
      <c r="L304" s="3" t="s">
        <v>1375</v>
      </c>
      <c r="M304" s="3" t="s">
        <v>532</v>
      </c>
      <c r="N304" s="3" t="s">
        <v>1378</v>
      </c>
      <c r="O304" s="3" t="s">
        <v>1379</v>
      </c>
      <c r="P304" s="3" t="s">
        <v>795</v>
      </c>
      <c r="Q304" t="str">
        <f t="shared" si="20"/>
        <v>http://roarmap.eprints.org/view/country/440.html</v>
      </c>
      <c r="R304" s="3">
        <v>440</v>
      </c>
      <c r="S304" s="6" t="s">
        <v>224</v>
      </c>
      <c r="T304" s="9">
        <v>440</v>
      </c>
      <c r="U304" s="7" t="s">
        <v>123</v>
      </c>
      <c r="V304" s="6" t="s">
        <v>125</v>
      </c>
      <c r="W304" s="3" t="s">
        <v>158</v>
      </c>
      <c r="X304" s="3" t="s">
        <v>376</v>
      </c>
      <c r="Y304" s="3" t="s">
        <v>1375</v>
      </c>
      <c r="Z304" s="8" t="str">
        <f t="shared" si="23"/>
        <v>http://lmt.lt</v>
      </c>
      <c r="AC304" s="3">
        <v>40148</v>
      </c>
      <c r="AD304" s="3">
        <v>40179</v>
      </c>
      <c r="AE304" s="3">
        <v>41183</v>
      </c>
      <c r="AF304" s="3" t="s">
        <v>177</v>
      </c>
      <c r="AG304" s="3" t="s">
        <v>333</v>
      </c>
      <c r="AH304" s="3" t="s">
        <v>244</v>
      </c>
      <c r="AI304" s="3" t="s">
        <v>377</v>
      </c>
      <c r="AJ304" s="3" t="s">
        <v>731</v>
      </c>
      <c r="AK304" s="3" t="s">
        <v>244</v>
      </c>
      <c r="AL304" s="3" t="s">
        <v>288</v>
      </c>
      <c r="AM304" s="3" t="s">
        <v>247</v>
      </c>
      <c r="AN304" s="3" t="s">
        <v>244</v>
      </c>
      <c r="AO304" s="3" t="s">
        <v>378</v>
      </c>
      <c r="AP304" s="3" t="s">
        <v>244</v>
      </c>
      <c r="AQ304" s="3" t="s">
        <v>247</v>
      </c>
      <c r="AR304" s="3" t="s">
        <v>288</v>
      </c>
      <c r="AS304" s="3" t="s">
        <v>288</v>
      </c>
      <c r="AT304" s="3" t="s">
        <v>193</v>
      </c>
      <c r="AU304" s="3" t="s">
        <v>193</v>
      </c>
      <c r="AV304" s="3" t="s">
        <v>288</v>
      </c>
      <c r="AW304" s="3" t="s">
        <v>371</v>
      </c>
      <c r="AX304" s="3" t="s">
        <v>244</v>
      </c>
      <c r="AY304" s="3" t="s">
        <v>247</v>
      </c>
    </row>
    <row r="305" spans="1:52" ht="15.75" customHeight="1">
      <c r="A305" s="3">
        <v>237</v>
      </c>
      <c r="B305" s="5" t="str">
        <f t="shared" si="0"/>
        <v>http://roarmap.eprints.org/237/</v>
      </c>
      <c r="C305" s="3">
        <v>3</v>
      </c>
      <c r="D305" s="3" t="s">
        <v>98</v>
      </c>
      <c r="E305" s="3">
        <v>1</v>
      </c>
      <c r="F305" s="3" t="s">
        <v>1380</v>
      </c>
      <c r="G305" s="3">
        <v>41988.923530092594</v>
      </c>
      <c r="H305" s="3">
        <v>41988.923530092594</v>
      </c>
      <c r="I305" s="3">
        <v>41988.923530092594</v>
      </c>
      <c r="J305" s="3" t="s">
        <v>103</v>
      </c>
      <c r="K305" s="3" t="s">
        <v>105</v>
      </c>
      <c r="L305" s="3" t="s">
        <v>1381</v>
      </c>
      <c r="M305" s="3" t="s">
        <v>532</v>
      </c>
      <c r="N305" s="3" t="s">
        <v>1382</v>
      </c>
      <c r="P305" s="3" t="s">
        <v>795</v>
      </c>
      <c r="Q305" t="str">
        <f t="shared" si="20"/>
        <v>http://roarmap.eprints.org/view/country/440.html</v>
      </c>
      <c r="R305" s="3">
        <v>440</v>
      </c>
      <c r="S305" s="6" t="s">
        <v>224</v>
      </c>
      <c r="T305" s="9">
        <v>440</v>
      </c>
      <c r="U305" s="7" t="s">
        <v>123</v>
      </c>
      <c r="V305" s="6" t="s">
        <v>125</v>
      </c>
      <c r="W305" s="3" t="s">
        <v>158</v>
      </c>
      <c r="X305" s="3" t="s">
        <v>376</v>
      </c>
      <c r="Y305" s="3" t="s">
        <v>1381</v>
      </c>
      <c r="Z305" s="8" t="str">
        <f>HYPERLINK("http://www.lrs.lt/","http://www.lrs.lt/")</f>
        <v>http://www.lrs.lt/</v>
      </c>
      <c r="AA305" s="8" t="str">
        <f>HYPERLINK("http://www3.lrs.lt/pls/inter3/dokpaieska.showdoc_l?p_id=438419","http://www3.lrs.lt/pls/inter3/dokpaieska.showdoc_l?p_id=438419")</f>
        <v>http://www3.lrs.lt/pls/inter3/dokpaieska.showdoc_l?p_id=438419</v>
      </c>
      <c r="AC305" s="3">
        <v>39904</v>
      </c>
      <c r="AD305" s="3">
        <v>39934</v>
      </c>
      <c r="AE305" s="3">
        <v>41760</v>
      </c>
      <c r="AF305" s="3" t="s">
        <v>244</v>
      </c>
      <c r="AG305" s="3" t="s">
        <v>244</v>
      </c>
      <c r="AH305" s="3" t="s">
        <v>244</v>
      </c>
      <c r="AI305" s="3" t="s">
        <v>244</v>
      </c>
      <c r="AJ305" s="3" t="s">
        <v>244</v>
      </c>
      <c r="AK305" s="3" t="s">
        <v>244</v>
      </c>
      <c r="AL305" s="3" t="s">
        <v>244</v>
      </c>
      <c r="AM305" s="3" t="s">
        <v>247</v>
      </c>
      <c r="AN305" s="3" t="s">
        <v>244</v>
      </c>
      <c r="AO305" s="3" t="s">
        <v>247</v>
      </c>
      <c r="AP305" s="3" t="s">
        <v>244</v>
      </c>
      <c r="AQ305" s="3" t="s">
        <v>247</v>
      </c>
      <c r="AR305" s="3" t="s">
        <v>288</v>
      </c>
      <c r="AS305" s="3" t="s">
        <v>288</v>
      </c>
      <c r="AT305" s="3" t="s">
        <v>244</v>
      </c>
      <c r="AU305" s="3" t="s">
        <v>244</v>
      </c>
      <c r="AV305" s="3" t="s">
        <v>288</v>
      </c>
      <c r="AW305" s="3" t="s">
        <v>371</v>
      </c>
      <c r="AX305" s="3" t="s">
        <v>244</v>
      </c>
      <c r="AY305" s="3" t="s">
        <v>247</v>
      </c>
    </row>
    <row r="306" spans="1:52" ht="15.75" customHeight="1">
      <c r="A306" s="3">
        <v>236</v>
      </c>
      <c r="B306" s="5" t="str">
        <f t="shared" si="0"/>
        <v>http://roarmap.eprints.org/236/</v>
      </c>
      <c r="C306" s="3">
        <v>5</v>
      </c>
      <c r="D306" s="3" t="s">
        <v>98</v>
      </c>
      <c r="E306" s="3">
        <v>264</v>
      </c>
      <c r="F306" s="3" t="s">
        <v>1383</v>
      </c>
      <c r="G306" s="3">
        <v>41988.923518518517</v>
      </c>
      <c r="H306" s="3">
        <v>42046.981678240743</v>
      </c>
      <c r="I306" s="3">
        <v>41988.923518518517</v>
      </c>
      <c r="J306" s="3" t="s">
        <v>103</v>
      </c>
      <c r="K306" s="3" t="s">
        <v>105</v>
      </c>
      <c r="L306" s="3" t="s">
        <v>1384</v>
      </c>
      <c r="M306" s="3" t="s">
        <v>532</v>
      </c>
      <c r="O306" s="3" t="s">
        <v>1385</v>
      </c>
      <c r="P306" s="3" t="s">
        <v>215</v>
      </c>
      <c r="Q306" t="str">
        <f t="shared" si="20"/>
        <v>http://roarmap.eprints.org/view/country/440.html</v>
      </c>
      <c r="R306" s="3">
        <v>440</v>
      </c>
      <c r="S306" s="6" t="s">
        <v>224</v>
      </c>
      <c r="T306" s="9">
        <v>440</v>
      </c>
      <c r="U306" s="7" t="s">
        <v>123</v>
      </c>
      <c r="V306" s="6" t="s">
        <v>125</v>
      </c>
      <c r="W306" s="3" t="s">
        <v>158</v>
      </c>
      <c r="X306" s="3" t="s">
        <v>160</v>
      </c>
      <c r="Y306" s="3" t="s">
        <v>1384</v>
      </c>
      <c r="Z306" s="8" t="str">
        <f>HYPERLINK("http://www.vdu.lt/en/","http://www.vdu.lt/en/")</f>
        <v>http://www.vdu.lt/en/</v>
      </c>
      <c r="AA306" s="8" t="str">
        <f>HYPERLINK("http://erepository.vdu.lt/objectives.htm","http://erepository.vdu.lt/objectives.htm")</f>
        <v>http://erepository.vdu.lt/objectives.htm</v>
      </c>
      <c r="AB306" s="8" t="str">
        <f>HYPERLINK("http://erepository.vdu.lt/","http://erepository.vdu.lt/")</f>
        <v>http://erepository.vdu.lt/</v>
      </c>
      <c r="AC306" s="3">
        <v>39229</v>
      </c>
      <c r="AD306" s="3">
        <v>39960</v>
      </c>
      <c r="AE306" s="3">
        <v>41608</v>
      </c>
      <c r="AF306" s="3" t="s">
        <v>177</v>
      </c>
      <c r="AG306" s="3" t="s">
        <v>333</v>
      </c>
      <c r="AH306" s="3" t="s">
        <v>180</v>
      </c>
      <c r="AI306" s="3" t="s">
        <v>181</v>
      </c>
      <c r="AJ306" s="3" t="s">
        <v>182</v>
      </c>
      <c r="AK306" s="3" t="s">
        <v>183</v>
      </c>
      <c r="AL306" s="3" t="s">
        <v>288</v>
      </c>
      <c r="AM306" s="3" t="s">
        <v>479</v>
      </c>
      <c r="AN306" s="3" t="s">
        <v>189</v>
      </c>
      <c r="AO306" s="3" t="s">
        <v>621</v>
      </c>
      <c r="AP306" s="3" t="s">
        <v>244</v>
      </c>
      <c r="AQ306" s="3" t="s">
        <v>648</v>
      </c>
      <c r="AR306" s="3" t="s">
        <v>189</v>
      </c>
      <c r="AS306" s="3" t="s">
        <v>189</v>
      </c>
      <c r="AT306" s="3" t="s">
        <v>244</v>
      </c>
      <c r="AU306" s="3" t="s">
        <v>244</v>
      </c>
      <c r="AV306" s="3" t="s">
        <v>244</v>
      </c>
      <c r="AW306" s="3" t="s">
        <v>371</v>
      </c>
      <c r="AX306" s="3" t="s">
        <v>442</v>
      </c>
      <c r="AY306" s="3" t="s">
        <v>428</v>
      </c>
    </row>
    <row r="307" spans="1:52" ht="15.75" customHeight="1">
      <c r="A307" s="3">
        <v>239</v>
      </c>
      <c r="B307" s="5" t="str">
        <f t="shared" si="0"/>
        <v>http://roarmap.eprints.org/239/</v>
      </c>
      <c r="C307" s="3">
        <v>4</v>
      </c>
      <c r="D307" s="3" t="s">
        <v>98</v>
      </c>
      <c r="E307" s="3">
        <v>265</v>
      </c>
      <c r="F307" s="3" t="s">
        <v>1386</v>
      </c>
      <c r="G307" s="3">
        <v>41988.923541666663</v>
      </c>
      <c r="H307" s="3">
        <v>42046.981678240743</v>
      </c>
      <c r="I307" s="3">
        <v>41988.923541666663</v>
      </c>
      <c r="J307" s="3" t="s">
        <v>103</v>
      </c>
      <c r="K307" s="3" t="s">
        <v>105</v>
      </c>
      <c r="L307" s="3" t="s">
        <v>1387</v>
      </c>
      <c r="M307" s="3" t="s">
        <v>374</v>
      </c>
      <c r="N307" s="3" t="s">
        <v>1388</v>
      </c>
      <c r="O307" s="3" t="s">
        <v>1389</v>
      </c>
      <c r="P307" s="3" t="s">
        <v>215</v>
      </c>
      <c r="Q307" t="str">
        <f t="shared" si="20"/>
        <v>http://roarmap.eprints.org/view/country/442.html</v>
      </c>
      <c r="R307" s="3">
        <v>442</v>
      </c>
      <c r="S307" s="6" t="s">
        <v>225</v>
      </c>
      <c r="T307" s="9">
        <v>442</v>
      </c>
      <c r="U307" s="7" t="s">
        <v>123</v>
      </c>
      <c r="V307" s="6" t="s">
        <v>108</v>
      </c>
      <c r="W307" s="3" t="s">
        <v>158</v>
      </c>
      <c r="X307" s="3" t="s">
        <v>160</v>
      </c>
      <c r="Y307" s="3" t="s">
        <v>1387</v>
      </c>
      <c r="Z307" s="8" t="str">
        <f>HYPERLINK("http://www.uni.lu","http://www.uni.lu")</f>
        <v>http://www.uni.lu</v>
      </c>
      <c r="AA307" s="8" t="str">
        <f>HYPERLINK("http://roarmap.eprints.org/825/1/Mandate-ORBilu.pdf","http://roarmap.eprints.org/825/1/Mandate-ORBilu.pdf")</f>
        <v>http://roarmap.eprints.org/825/1/Mandate-ORBilu.pdf</v>
      </c>
      <c r="AB307" s="8" t="str">
        <f>HYPERLINK("http://orbilu.uni.lu","http://orbilu.uni.lu")</f>
        <v>http://orbilu.uni.lu</v>
      </c>
      <c r="AD307" s="3">
        <v>41275</v>
      </c>
      <c r="AE307" s="3">
        <v>41640</v>
      </c>
      <c r="AF307" s="3" t="s">
        <v>177</v>
      </c>
      <c r="AG307" s="3" t="s">
        <v>178</v>
      </c>
      <c r="AH307" s="3" t="s">
        <v>180</v>
      </c>
      <c r="AI307" s="3" t="s">
        <v>187</v>
      </c>
      <c r="AJ307" s="3" t="s">
        <v>182</v>
      </c>
      <c r="AK307" s="3" t="s">
        <v>371</v>
      </c>
      <c r="AL307" s="3" t="s">
        <v>185</v>
      </c>
      <c r="AM307" s="3" t="s">
        <v>479</v>
      </c>
      <c r="AN307" s="3" t="s">
        <v>244</v>
      </c>
      <c r="AO307" s="3" t="s">
        <v>378</v>
      </c>
      <c r="AP307" s="3" t="s">
        <v>189</v>
      </c>
      <c r="AQ307" s="3" t="s">
        <v>394</v>
      </c>
      <c r="AR307" s="3" t="s">
        <v>288</v>
      </c>
      <c r="AS307" s="3" t="s">
        <v>189</v>
      </c>
      <c r="AT307" s="3" t="s">
        <v>244</v>
      </c>
      <c r="AU307" s="3" t="s">
        <v>244</v>
      </c>
      <c r="AV307" s="3" t="s">
        <v>288</v>
      </c>
      <c r="AW307" s="3" t="s">
        <v>195</v>
      </c>
      <c r="AX307" s="3" t="s">
        <v>244</v>
      </c>
      <c r="AY307" s="3" t="s">
        <v>198</v>
      </c>
    </row>
    <row r="308" spans="1:52" ht="15.75" customHeight="1">
      <c r="A308" s="3">
        <v>443</v>
      </c>
      <c r="B308" s="5" t="str">
        <f t="shared" si="0"/>
        <v>http://roarmap.eprints.org/443/</v>
      </c>
      <c r="C308" s="3">
        <v>5</v>
      </c>
      <c r="D308" s="3" t="s">
        <v>98</v>
      </c>
      <c r="E308" s="3">
        <v>1</v>
      </c>
      <c r="F308" s="3" t="s">
        <v>1390</v>
      </c>
      <c r="G308" s="3">
        <v>41988.92396990741</v>
      </c>
      <c r="H308" s="3">
        <v>42020.705034722225</v>
      </c>
      <c r="I308" s="3">
        <v>41988.92396990741</v>
      </c>
      <c r="J308" s="3" t="s">
        <v>103</v>
      </c>
      <c r="K308" s="3" t="s">
        <v>105</v>
      </c>
      <c r="L308" s="3" t="s">
        <v>1391</v>
      </c>
      <c r="M308" s="3" t="s">
        <v>374</v>
      </c>
      <c r="Q308" t="str">
        <f t="shared" si="20"/>
        <v>http://roarmap.eprints.org/view/country/484.html</v>
      </c>
      <c r="R308" s="3">
        <v>484</v>
      </c>
      <c r="S308" s="6" t="s">
        <v>236</v>
      </c>
      <c r="T308" s="9">
        <v>484</v>
      </c>
      <c r="U308" s="7" t="s">
        <v>2517</v>
      </c>
      <c r="V308" s="6" t="s">
        <v>58</v>
      </c>
      <c r="W308" s="3" t="s">
        <v>158</v>
      </c>
      <c r="X308" s="3" t="s">
        <v>376</v>
      </c>
      <c r="Y308" s="3" t="s">
        <v>1391</v>
      </c>
      <c r="Z308" s="8" t="str">
        <f>HYPERLINK("http://portal.te.gob.mx/en","http://portal.te.gob.mx/en")</f>
        <v>http://portal.te.gob.mx/en</v>
      </c>
      <c r="AA308" s="8" t="str">
        <f>HYPERLINK("https://docs.google.com/file/d/0B9F59A2246PoaV9UMjU5S1hFekRZenJQMFMySUhadThyZFpj/preview?pli=1","https://docs.google.com/file/d/0B9F59A2246PoaV9UMjU5S1hFekRZenJQMFMySUhadThyZFpj/preview?pli=1")</f>
        <v>https://docs.google.com/file/d/0B9F59A2246PoaV9UMjU5S1hFekRZenJQMFMySUhadThyZFpj/preview?pli=1</v>
      </c>
      <c r="AC308" s="3">
        <v>41345</v>
      </c>
      <c r="AD308" s="3">
        <v>41345</v>
      </c>
      <c r="AF308" s="3" t="s">
        <v>371</v>
      </c>
      <c r="AG308" s="3" t="s">
        <v>244</v>
      </c>
      <c r="AH308" s="3" t="s">
        <v>244</v>
      </c>
      <c r="AI308" s="3" t="s">
        <v>244</v>
      </c>
      <c r="AJ308" s="3" t="s">
        <v>244</v>
      </c>
      <c r="AK308" s="3" t="s">
        <v>244</v>
      </c>
      <c r="AL308" s="3" t="s">
        <v>244</v>
      </c>
      <c r="AM308" s="3" t="s">
        <v>247</v>
      </c>
      <c r="AN308" s="3" t="s">
        <v>244</v>
      </c>
      <c r="AO308" s="3" t="s">
        <v>247</v>
      </c>
      <c r="AP308" s="3" t="s">
        <v>244</v>
      </c>
      <c r="AQ308" s="3" t="s">
        <v>247</v>
      </c>
      <c r="AR308" s="3" t="s">
        <v>288</v>
      </c>
      <c r="AS308" s="3" t="s">
        <v>244</v>
      </c>
      <c r="AT308" s="3" t="s">
        <v>244</v>
      </c>
      <c r="AU308" s="3" t="s">
        <v>244</v>
      </c>
      <c r="AV308" s="3" t="s">
        <v>288</v>
      </c>
      <c r="AW308" s="3" t="s">
        <v>244</v>
      </c>
      <c r="AX308" s="3" t="s">
        <v>244</v>
      </c>
      <c r="AY308" s="3" t="s">
        <v>247</v>
      </c>
    </row>
    <row r="309" spans="1:52" ht="15.75" customHeight="1">
      <c r="A309" s="3">
        <v>441</v>
      </c>
      <c r="B309" s="5" t="str">
        <f t="shared" si="0"/>
        <v>http://roarmap.eprints.org/441/</v>
      </c>
      <c r="C309" s="3">
        <v>7</v>
      </c>
      <c r="D309" s="3" t="s">
        <v>98</v>
      </c>
      <c r="E309" s="3">
        <v>317</v>
      </c>
      <c r="F309" s="3" t="s">
        <v>1392</v>
      </c>
      <c r="G309" s="3">
        <v>41988.92396990741</v>
      </c>
      <c r="H309" s="3">
        <v>42046.981724537036</v>
      </c>
      <c r="I309" s="3">
        <v>41988.92396990741</v>
      </c>
      <c r="J309" s="3" t="s">
        <v>103</v>
      </c>
      <c r="K309" s="3" t="s">
        <v>105</v>
      </c>
      <c r="L309" s="3" t="s">
        <v>1393</v>
      </c>
      <c r="M309" s="3" t="s">
        <v>352</v>
      </c>
      <c r="Q309" t="str">
        <f t="shared" si="20"/>
        <v>http://roarmap.eprints.org/view/country/484.html</v>
      </c>
      <c r="R309" s="3">
        <v>484</v>
      </c>
      <c r="S309" s="6" t="s">
        <v>236</v>
      </c>
      <c r="T309" s="9">
        <v>484</v>
      </c>
      <c r="U309" s="7" t="s">
        <v>2517</v>
      </c>
      <c r="V309" s="6" t="s">
        <v>58</v>
      </c>
      <c r="W309" s="3" t="s">
        <v>158</v>
      </c>
      <c r="X309" s="3" t="s">
        <v>160</v>
      </c>
      <c r="Y309" s="3" t="s">
        <v>1393</v>
      </c>
      <c r="Z309" s="8" t="str">
        <f>HYPERLINK("http://www.uanl.mx/en","http://www.uanl.mx/en")</f>
        <v>http://www.uanl.mx/en</v>
      </c>
      <c r="AB309" s="8" t="str">
        <f>HYPERLINK("http://eprints.uanl.mx/","http://eprints.uanl.mx/")</f>
        <v>http://eprints.uanl.mx/</v>
      </c>
      <c r="AG309" s="3" t="s">
        <v>244</v>
      </c>
      <c r="AH309" s="3" t="s">
        <v>244</v>
      </c>
      <c r="AI309" s="3" t="s">
        <v>244</v>
      </c>
      <c r="AJ309" s="3" t="s">
        <v>244</v>
      </c>
      <c r="AK309" s="3" t="s">
        <v>244</v>
      </c>
      <c r="AL309" s="3" t="s">
        <v>244</v>
      </c>
      <c r="AM309" s="3" t="s">
        <v>247</v>
      </c>
      <c r="AN309" s="3" t="s">
        <v>244</v>
      </c>
      <c r="AO309" s="3" t="s">
        <v>247</v>
      </c>
      <c r="AP309" s="3" t="s">
        <v>244</v>
      </c>
      <c r="AQ309" s="3" t="s">
        <v>247</v>
      </c>
      <c r="AR309" s="3" t="s">
        <v>288</v>
      </c>
      <c r="AS309" s="3" t="s">
        <v>244</v>
      </c>
      <c r="AT309" s="3" t="s">
        <v>244</v>
      </c>
      <c r="AU309" s="3" t="s">
        <v>244</v>
      </c>
      <c r="AV309" s="3" t="s">
        <v>288</v>
      </c>
      <c r="AW309" s="3" t="s">
        <v>244</v>
      </c>
      <c r="AX309" s="3" t="s">
        <v>244</v>
      </c>
      <c r="AY309" s="3" t="s">
        <v>247</v>
      </c>
    </row>
    <row r="310" spans="1:52" ht="15.75" customHeight="1">
      <c r="A310" s="3">
        <v>442</v>
      </c>
      <c r="B310" s="5" t="str">
        <f t="shared" si="0"/>
        <v>http://roarmap.eprints.org/442/</v>
      </c>
      <c r="C310" s="3">
        <v>5</v>
      </c>
      <c r="D310" s="3" t="s">
        <v>98</v>
      </c>
      <c r="E310" s="3">
        <v>1</v>
      </c>
      <c r="F310" s="3" t="s">
        <v>1394</v>
      </c>
      <c r="G310" s="3">
        <v>41988.92396990741</v>
      </c>
      <c r="H310" s="3">
        <v>42023.027928240743</v>
      </c>
      <c r="I310" s="3">
        <v>41988.92396990741</v>
      </c>
      <c r="J310" s="3" t="s">
        <v>103</v>
      </c>
      <c r="K310" s="3" t="s">
        <v>105</v>
      </c>
      <c r="L310" s="3" t="s">
        <v>1395</v>
      </c>
      <c r="M310" s="3" t="s">
        <v>352</v>
      </c>
      <c r="N310" s="3" t="s">
        <v>1396</v>
      </c>
      <c r="O310" s="3" t="s">
        <v>1397</v>
      </c>
      <c r="P310" s="3" t="s">
        <v>595</v>
      </c>
      <c r="Q310" t="str">
        <f t="shared" si="20"/>
        <v>http://roarmap.eprints.org/view/country/484.html</v>
      </c>
      <c r="R310" s="3">
        <v>484</v>
      </c>
      <c r="S310" s="6" t="s">
        <v>236</v>
      </c>
      <c r="T310" s="9">
        <v>484</v>
      </c>
      <c r="U310" s="7" t="s">
        <v>2517</v>
      </c>
      <c r="V310" s="6" t="s">
        <v>58</v>
      </c>
      <c r="W310" s="3" t="s">
        <v>158</v>
      </c>
      <c r="X310" s="3" t="s">
        <v>160</v>
      </c>
      <c r="Y310" s="3" t="s">
        <v>1395</v>
      </c>
      <c r="Z310" s="8" t="str">
        <f>HYPERLINK("http://www.uaemex.mx/","http://www.uaemex.mx/")</f>
        <v>http://www.uaemex.mx/</v>
      </c>
      <c r="AA310" s="8" t="str">
        <f>HYPERLINK("http://www.uaemex.mx/abogado/doc/Open_Access.pdf","http://www.uaemex.mx/abogado/doc/Open_Access.pdf")</f>
        <v>http://www.uaemex.mx/abogado/doc/Open_Access.pdf</v>
      </c>
      <c r="AG310" s="3" t="s">
        <v>244</v>
      </c>
      <c r="AH310" s="3" t="s">
        <v>244</v>
      </c>
      <c r="AI310" s="3" t="s">
        <v>244</v>
      </c>
      <c r="AJ310" s="3" t="s">
        <v>244</v>
      </c>
      <c r="AK310" s="3" t="s">
        <v>244</v>
      </c>
      <c r="AL310" s="3" t="s">
        <v>244</v>
      </c>
      <c r="AM310" s="3" t="s">
        <v>247</v>
      </c>
      <c r="AN310" s="3" t="s">
        <v>244</v>
      </c>
      <c r="AO310" s="3" t="s">
        <v>247</v>
      </c>
      <c r="AP310" s="3" t="s">
        <v>244</v>
      </c>
      <c r="AQ310" s="3" t="s">
        <v>247</v>
      </c>
      <c r="AR310" s="3" t="s">
        <v>288</v>
      </c>
      <c r="AS310" s="3" t="s">
        <v>244</v>
      </c>
      <c r="AT310" s="3" t="s">
        <v>244</v>
      </c>
      <c r="AU310" s="3" t="s">
        <v>244</v>
      </c>
      <c r="AV310" s="3" t="s">
        <v>288</v>
      </c>
      <c r="AW310" s="3" t="s">
        <v>244</v>
      </c>
      <c r="AX310" s="3" t="s">
        <v>244</v>
      </c>
      <c r="AY310" s="3" t="s">
        <v>247</v>
      </c>
    </row>
    <row r="311" spans="1:52" ht="15.75" customHeight="1">
      <c r="A311" s="3">
        <v>240</v>
      </c>
      <c r="B311" s="5" t="str">
        <f t="shared" si="0"/>
        <v>http://roarmap.eprints.org/240/</v>
      </c>
      <c r="C311" s="3">
        <v>6</v>
      </c>
      <c r="D311" s="3" t="s">
        <v>98</v>
      </c>
      <c r="E311" s="3">
        <v>1</v>
      </c>
      <c r="F311" s="3" t="s">
        <v>1398</v>
      </c>
      <c r="G311" s="3">
        <v>41988.923541666663</v>
      </c>
      <c r="H311" s="3">
        <v>42064.576574074075</v>
      </c>
      <c r="I311" s="3">
        <v>41988.923541666663</v>
      </c>
      <c r="J311" s="3" t="s">
        <v>103</v>
      </c>
      <c r="K311" s="3" t="s">
        <v>105</v>
      </c>
      <c r="L311" s="3" t="s">
        <v>1399</v>
      </c>
      <c r="M311" s="3" t="s">
        <v>352</v>
      </c>
      <c r="N311" s="3" t="s">
        <v>1400</v>
      </c>
      <c r="O311" s="3" t="s">
        <v>1401</v>
      </c>
      <c r="P311" s="3" t="s">
        <v>215</v>
      </c>
      <c r="Q311" t="str">
        <f t="shared" si="20"/>
        <v>http://roarmap.eprints.org/view/country/528.html</v>
      </c>
      <c r="R311" s="3">
        <v>528</v>
      </c>
      <c r="S311" s="6" t="s">
        <v>251</v>
      </c>
      <c r="T311" s="9">
        <v>528</v>
      </c>
      <c r="U311" s="7" t="s">
        <v>123</v>
      </c>
      <c r="V311" s="6" t="s">
        <v>108</v>
      </c>
      <c r="W311" s="3" t="s">
        <v>158</v>
      </c>
      <c r="X311" s="3" t="s">
        <v>757</v>
      </c>
      <c r="Y311" s="3" t="s">
        <v>1399</v>
      </c>
      <c r="Z311" s="8" t="str">
        <f>HYPERLINK("http://www.surf.nl/en","http://www.surf.nl/en")</f>
        <v>http://www.surf.nl/en</v>
      </c>
      <c r="AF311" s="3" t="s">
        <v>371</v>
      </c>
      <c r="AG311" s="3" t="s">
        <v>244</v>
      </c>
      <c r="AH311" s="3" t="s">
        <v>463</v>
      </c>
      <c r="AI311" s="3" t="s">
        <v>244</v>
      </c>
      <c r="AJ311" s="3" t="s">
        <v>244</v>
      </c>
      <c r="AK311" s="3" t="s">
        <v>244</v>
      </c>
      <c r="AL311" s="3" t="s">
        <v>244</v>
      </c>
      <c r="AM311" s="3" t="s">
        <v>479</v>
      </c>
      <c r="AN311" s="3" t="s">
        <v>244</v>
      </c>
      <c r="AO311" s="3" t="s">
        <v>247</v>
      </c>
      <c r="AP311" s="3" t="s">
        <v>244</v>
      </c>
      <c r="AQ311" s="3" t="s">
        <v>247</v>
      </c>
      <c r="AR311" s="3" t="s">
        <v>288</v>
      </c>
      <c r="AS311" s="3" t="s">
        <v>288</v>
      </c>
      <c r="AT311" s="3" t="s">
        <v>244</v>
      </c>
      <c r="AU311" s="3" t="s">
        <v>244</v>
      </c>
      <c r="AV311" s="3" t="s">
        <v>288</v>
      </c>
      <c r="AW311" s="3" t="s">
        <v>371</v>
      </c>
      <c r="AX311" s="3" t="s">
        <v>244</v>
      </c>
      <c r="AY311" s="3" t="s">
        <v>247</v>
      </c>
    </row>
    <row r="312" spans="1:52" ht="15.75" customHeight="1">
      <c r="A312" s="3">
        <v>242</v>
      </c>
      <c r="B312" s="5" t="str">
        <f t="shared" si="0"/>
        <v>http://roarmap.eprints.org/242/</v>
      </c>
      <c r="C312" s="3">
        <v>3</v>
      </c>
      <c r="D312" s="3" t="s">
        <v>98</v>
      </c>
      <c r="E312" s="3">
        <v>1</v>
      </c>
      <c r="F312" s="3" t="s">
        <v>1402</v>
      </c>
      <c r="G312" s="3">
        <v>41988.92355324074</v>
      </c>
      <c r="H312" s="3">
        <v>41988.92355324074</v>
      </c>
      <c r="I312" s="3">
        <v>41988.92355324074</v>
      </c>
      <c r="J312" s="3" t="s">
        <v>103</v>
      </c>
      <c r="K312" s="3" t="s">
        <v>105</v>
      </c>
      <c r="L312" s="3" t="s">
        <v>1403</v>
      </c>
      <c r="M312" s="3" t="s">
        <v>532</v>
      </c>
      <c r="P312" s="3" t="s">
        <v>966</v>
      </c>
      <c r="Q312" t="str">
        <f t="shared" si="20"/>
        <v>http://roarmap.eprints.org/view/country/528.html</v>
      </c>
      <c r="R312" s="3">
        <v>528</v>
      </c>
      <c r="S312" s="6" t="s">
        <v>251</v>
      </c>
      <c r="T312" s="9">
        <v>528</v>
      </c>
      <c r="U312" s="7" t="s">
        <v>123</v>
      </c>
      <c r="V312" s="6" t="s">
        <v>108</v>
      </c>
      <c r="W312" s="3" t="s">
        <v>158</v>
      </c>
      <c r="X312" s="3" t="s">
        <v>160</v>
      </c>
      <c r="Y312" s="3" t="s">
        <v>1403</v>
      </c>
      <c r="Z312" s="8" t="str">
        <f>HYPERLINK("http://w3.tue.nl/en/","http://w3.tue.nl/en/")</f>
        <v>http://w3.tue.nl/en/</v>
      </c>
      <c r="AA312" s="8" t="str">
        <f>HYPERLINK("http://w3.tue.nl/en/services/library/about/openaccesscoach/oa_and_tue/tue_policy/","http://w3.tue.nl/en/services/library/about/openaccesscoach/oa_and_tue/tue_policy/")</f>
        <v>http://w3.tue.nl/en/services/library/about/openaccesscoach/oa_and_tue/tue_policy/</v>
      </c>
      <c r="AB312" s="8" t="str">
        <f>HYPERLINK("http://repository.tue.nl/","http://repository.tue.nl/")</f>
        <v>http://repository.tue.nl/</v>
      </c>
      <c r="AC312" s="3">
        <v>40325</v>
      </c>
      <c r="AF312" s="3" t="s">
        <v>177</v>
      </c>
      <c r="AG312" s="3" t="s">
        <v>178</v>
      </c>
      <c r="AH312" s="3" t="s">
        <v>180</v>
      </c>
      <c r="AI312" s="3" t="s">
        <v>244</v>
      </c>
      <c r="AJ312" s="3" t="s">
        <v>244</v>
      </c>
      <c r="AK312" s="3" t="s">
        <v>244</v>
      </c>
      <c r="AL312" s="3" t="s">
        <v>244</v>
      </c>
      <c r="AM312" s="3" t="s">
        <v>247</v>
      </c>
      <c r="AN312" s="3" t="s">
        <v>244</v>
      </c>
      <c r="AO312" s="3" t="s">
        <v>247</v>
      </c>
      <c r="AP312" s="3" t="s">
        <v>244</v>
      </c>
      <c r="AQ312" s="3" t="s">
        <v>247</v>
      </c>
      <c r="AR312" s="3" t="s">
        <v>288</v>
      </c>
      <c r="AS312" s="3" t="s">
        <v>288</v>
      </c>
      <c r="AT312" s="3" t="s">
        <v>244</v>
      </c>
      <c r="AU312" s="3" t="s">
        <v>244</v>
      </c>
      <c r="AV312" s="3" t="s">
        <v>288</v>
      </c>
      <c r="AW312" s="3" t="s">
        <v>195</v>
      </c>
      <c r="AX312" s="3" t="s">
        <v>244</v>
      </c>
      <c r="AY312" s="3" t="s">
        <v>247</v>
      </c>
      <c r="AZ312" s="8" t="str">
        <f>HYPERLINK("http://www.nwo.nl/en/funding/our-funding-instruments/nwo/incentive-fund-open-access/incentive-fund-open-access---publications/incentive-fund-open-access---publications.html","http://www.nwo.nl/en/funding/our-funding-instruments/nwo/incentive-fund-open-access/incentive-fund-open-access---publications/incentive-fund-open-access---publications.html")</f>
        <v>http://www.nwo.nl/en/funding/our-funding-instruments/nwo/incentive-fund-open-access/incentive-fund-open-access---publications/incentive-fund-open-access---publications.html</v>
      </c>
    </row>
    <row r="313" spans="1:52" ht="15.75" customHeight="1">
      <c r="A313" s="3">
        <v>243</v>
      </c>
      <c r="B313" s="5" t="str">
        <f t="shared" si="0"/>
        <v>http://roarmap.eprints.org/243/</v>
      </c>
      <c r="C313" s="3">
        <v>3</v>
      </c>
      <c r="D313" s="3" t="s">
        <v>98</v>
      </c>
      <c r="E313" s="3">
        <v>1</v>
      </c>
      <c r="F313" s="3" t="s">
        <v>1404</v>
      </c>
      <c r="G313" s="3">
        <v>41988.92355324074</v>
      </c>
      <c r="H313" s="3">
        <v>41988.92355324074</v>
      </c>
      <c r="I313" s="3">
        <v>41988.92355324074</v>
      </c>
      <c r="J313" s="3" t="s">
        <v>103</v>
      </c>
      <c r="K313" s="3" t="s">
        <v>105</v>
      </c>
      <c r="L313" s="3" t="s">
        <v>1405</v>
      </c>
      <c r="M313" s="3" t="s">
        <v>532</v>
      </c>
      <c r="N313" s="3" t="s">
        <v>1406</v>
      </c>
      <c r="P313" s="3" t="s">
        <v>215</v>
      </c>
      <c r="Q313" t="str">
        <f t="shared" si="20"/>
        <v>http://roarmap.eprints.org/view/country/528.html</v>
      </c>
      <c r="R313" s="3">
        <v>528</v>
      </c>
      <c r="S313" s="6" t="s">
        <v>251</v>
      </c>
      <c r="T313" s="9">
        <v>528</v>
      </c>
      <c r="U313" s="7" t="s">
        <v>123</v>
      </c>
      <c r="V313" s="6" t="s">
        <v>108</v>
      </c>
      <c r="W313" s="3" t="s">
        <v>158</v>
      </c>
      <c r="X313" s="3" t="s">
        <v>160</v>
      </c>
      <c r="Y313" s="3" t="s">
        <v>1405</v>
      </c>
      <c r="Z313" s="8" t="str">
        <f>HYPERLINK("http://www.eur.nl/english/","http://www.eur.nl/english/")</f>
        <v>http://www.eur.nl/english/</v>
      </c>
      <c r="AA313" s="8" t="str">
        <f>HYPERLINK("http://www.eur.nl/researchmatters/open_access/eur_policy/","http://www.eur.nl/researchmatters/open_access/eur_policy/")</f>
        <v>http://www.eur.nl/researchmatters/open_access/eur_policy/</v>
      </c>
      <c r="AB313" s="8" t="str">
        <f>HYPERLINK("http://repub.eur.nl/","http://repub.eur.nl/")</f>
        <v>http://repub.eur.nl/</v>
      </c>
      <c r="AC313" s="3">
        <v>40422</v>
      </c>
      <c r="AD313" s="3">
        <v>40544</v>
      </c>
      <c r="AF313" s="3" t="s">
        <v>177</v>
      </c>
      <c r="AG313" s="3" t="s">
        <v>178</v>
      </c>
      <c r="AH313" s="3" t="s">
        <v>180</v>
      </c>
      <c r="AI313" s="3" t="s">
        <v>187</v>
      </c>
      <c r="AJ313" s="3" t="s">
        <v>182</v>
      </c>
      <c r="AK313" s="3" t="s">
        <v>393</v>
      </c>
      <c r="AL313" s="3" t="s">
        <v>244</v>
      </c>
      <c r="AM313" s="3" t="s">
        <v>247</v>
      </c>
      <c r="AN313" s="3" t="s">
        <v>244</v>
      </c>
      <c r="AO313" s="3" t="s">
        <v>187</v>
      </c>
      <c r="AP313" s="3" t="s">
        <v>244</v>
      </c>
      <c r="AQ313" s="3" t="s">
        <v>247</v>
      </c>
      <c r="AR313" s="3" t="s">
        <v>288</v>
      </c>
      <c r="AS313" s="3" t="s">
        <v>288</v>
      </c>
      <c r="AT313" s="3" t="s">
        <v>244</v>
      </c>
      <c r="AU313" s="3" t="s">
        <v>244</v>
      </c>
      <c r="AV313" s="3" t="s">
        <v>288</v>
      </c>
      <c r="AW313" s="3" t="s">
        <v>371</v>
      </c>
      <c r="AX313" s="3" t="s">
        <v>244</v>
      </c>
      <c r="AY313" s="3" t="s">
        <v>247</v>
      </c>
    </row>
    <row r="314" spans="1:52" ht="15.75" customHeight="1">
      <c r="A314" s="3">
        <v>241</v>
      </c>
      <c r="B314" s="5" t="str">
        <f t="shared" si="0"/>
        <v>http://roarmap.eprints.org/241/</v>
      </c>
      <c r="C314" s="3">
        <v>5</v>
      </c>
      <c r="D314" s="3" t="s">
        <v>98</v>
      </c>
      <c r="E314" s="3">
        <v>1</v>
      </c>
      <c r="F314" s="3" t="s">
        <v>1407</v>
      </c>
      <c r="G314" s="3">
        <v>41988.92355324074</v>
      </c>
      <c r="H314" s="3">
        <v>42046.485682870371</v>
      </c>
      <c r="I314" s="3">
        <v>41988.92355324074</v>
      </c>
      <c r="J314" s="3" t="s">
        <v>103</v>
      </c>
      <c r="K314" s="3" t="s">
        <v>105</v>
      </c>
      <c r="L314" s="3" t="s">
        <v>1408</v>
      </c>
      <c r="M314" s="3" t="s">
        <v>374</v>
      </c>
      <c r="N314" s="3" t="s">
        <v>1409</v>
      </c>
      <c r="P314" s="3" t="s">
        <v>966</v>
      </c>
      <c r="Q314" t="str">
        <f t="shared" si="20"/>
        <v>http://roarmap.eprints.org/view/country/528.html</v>
      </c>
      <c r="R314" s="3">
        <v>528</v>
      </c>
      <c r="S314" s="6" t="s">
        <v>251</v>
      </c>
      <c r="T314" s="9">
        <v>528</v>
      </c>
      <c r="U314" s="7" t="s">
        <v>123</v>
      </c>
      <c r="V314" s="6" t="s">
        <v>108</v>
      </c>
      <c r="W314" s="3" t="s">
        <v>158</v>
      </c>
      <c r="X314" s="3" t="s">
        <v>160</v>
      </c>
      <c r="Y314" s="3" t="s">
        <v>1408</v>
      </c>
      <c r="Z314" s="8" t="str">
        <f>HYPERLINK("http://www.nwo.nl/","http://www.nwo.nl/")</f>
        <v>http://www.nwo.nl/</v>
      </c>
      <c r="AA314" s="8" t="str">
        <f>HYPERLINK("http://www.nwo.nl/en/news-and-events/dossiers/open+access","http://www.nwo.nl/en/news-and-events/dossiers/open+access")</f>
        <v>http://www.nwo.nl/en/news-and-events/dossiers/open+access</v>
      </c>
      <c r="AC314" s="3">
        <v>2005</v>
      </c>
      <c r="AD314" s="3">
        <v>38530</v>
      </c>
      <c r="AF314" s="3" t="s">
        <v>177</v>
      </c>
      <c r="AG314" s="3" t="s">
        <v>244</v>
      </c>
      <c r="AH314" s="3" t="s">
        <v>180</v>
      </c>
      <c r="AI314" s="3" t="s">
        <v>371</v>
      </c>
      <c r="AJ314" s="3" t="s">
        <v>182</v>
      </c>
      <c r="AK314" s="3" t="s">
        <v>371</v>
      </c>
      <c r="AL314" s="3" t="s">
        <v>244</v>
      </c>
      <c r="AM314" s="3" t="s">
        <v>479</v>
      </c>
      <c r="AN314" s="3" t="s">
        <v>244</v>
      </c>
      <c r="AO314" s="3" t="s">
        <v>247</v>
      </c>
      <c r="AP314" s="3" t="s">
        <v>244</v>
      </c>
      <c r="AQ314" s="3" t="s">
        <v>190</v>
      </c>
      <c r="AR314" s="3" t="s">
        <v>288</v>
      </c>
      <c r="AS314" s="3" t="s">
        <v>288</v>
      </c>
      <c r="AT314" s="3" t="s">
        <v>244</v>
      </c>
      <c r="AU314" s="3" t="s">
        <v>244</v>
      </c>
      <c r="AV314" s="3" t="s">
        <v>288</v>
      </c>
      <c r="AW314" s="3" t="s">
        <v>195</v>
      </c>
      <c r="AX314" s="3" t="s">
        <v>178</v>
      </c>
      <c r="AY314" s="3" t="s">
        <v>521</v>
      </c>
    </row>
    <row r="315" spans="1:52" ht="15.75" customHeight="1">
      <c r="A315" s="3">
        <v>244</v>
      </c>
      <c r="B315" s="5" t="str">
        <f t="shared" si="0"/>
        <v>http://roarmap.eprints.org/244/</v>
      </c>
      <c r="C315" s="3">
        <v>10</v>
      </c>
      <c r="D315" s="3" t="s">
        <v>98</v>
      </c>
      <c r="E315" s="3">
        <v>266</v>
      </c>
      <c r="F315" s="3" t="s">
        <v>1410</v>
      </c>
      <c r="G315" s="3">
        <v>41988.92355324074</v>
      </c>
      <c r="H315" s="3">
        <v>42060.501921296294</v>
      </c>
      <c r="I315" s="3">
        <v>41988.92355324074</v>
      </c>
      <c r="J315" s="3" t="s">
        <v>103</v>
      </c>
      <c r="K315" s="3" t="s">
        <v>105</v>
      </c>
      <c r="L315" s="3" t="s">
        <v>1411</v>
      </c>
      <c r="M315" s="3" t="s">
        <v>532</v>
      </c>
      <c r="N315" s="3" t="s">
        <v>1412</v>
      </c>
      <c r="P315" s="3" t="s">
        <v>1411</v>
      </c>
      <c r="Q315" t="str">
        <f t="shared" si="20"/>
        <v>http://roarmap.eprints.org/view/country/528.html</v>
      </c>
      <c r="R315" s="3">
        <v>528</v>
      </c>
      <c r="S315" s="6" t="s">
        <v>251</v>
      </c>
      <c r="T315" s="9">
        <v>528</v>
      </c>
      <c r="U315" s="7" t="s">
        <v>123</v>
      </c>
      <c r="V315" s="6" t="s">
        <v>108</v>
      </c>
      <c r="W315" s="3" t="s">
        <v>158</v>
      </c>
      <c r="X315" s="3" t="s">
        <v>160</v>
      </c>
      <c r="Y315" s="3" t="s">
        <v>1411</v>
      </c>
      <c r="Z315" s="8" t="str">
        <f>HYPERLINK("https://www.knaw.nl/en","https://www.knaw.nl/en")</f>
        <v>https://www.knaw.nl/en</v>
      </c>
      <c r="AA315" s="8" t="str">
        <f>HYPERLINK("https://www.knaw.nl/en/openaccess","https://www.knaw.nl/en/openaccess")</f>
        <v>https://www.knaw.nl/en/openaccess</v>
      </c>
      <c r="AB315" s="8" t="str">
        <f>HYPERLINK("https://pure.knaw.nl","https://pure.knaw.nl")</f>
        <v>https://pure.knaw.nl</v>
      </c>
      <c r="AC315" s="3">
        <v>40603</v>
      </c>
      <c r="AE315" s="3">
        <v>41609</v>
      </c>
      <c r="AF315" s="3" t="s">
        <v>478</v>
      </c>
      <c r="AG315" s="3" t="s">
        <v>178</v>
      </c>
      <c r="AH315" s="3" t="s">
        <v>180</v>
      </c>
      <c r="AI315" s="3" t="s">
        <v>392</v>
      </c>
      <c r="AJ315" s="3" t="s">
        <v>182</v>
      </c>
      <c r="AK315" s="3" t="s">
        <v>183</v>
      </c>
      <c r="AL315" s="3" t="s">
        <v>185</v>
      </c>
      <c r="AM315" s="3" t="s">
        <v>479</v>
      </c>
      <c r="AN315" s="3" t="s">
        <v>189</v>
      </c>
      <c r="AO315" s="3" t="s">
        <v>378</v>
      </c>
      <c r="AP315" s="3" t="s">
        <v>185</v>
      </c>
      <c r="AQ315" s="3" t="s">
        <v>247</v>
      </c>
      <c r="AR315" s="3" t="s">
        <v>288</v>
      </c>
      <c r="AS315" s="3" t="s">
        <v>185</v>
      </c>
      <c r="AT315" s="3" t="s">
        <v>379</v>
      </c>
      <c r="AU315" s="3" t="s">
        <v>395</v>
      </c>
      <c r="AV315" s="3" t="s">
        <v>189</v>
      </c>
      <c r="AW315" s="3" t="s">
        <v>339</v>
      </c>
      <c r="AX315" s="3" t="s">
        <v>442</v>
      </c>
      <c r="AY315" s="3" t="s">
        <v>247</v>
      </c>
    </row>
    <row r="316" spans="1:52" ht="15.75" customHeight="1">
      <c r="A316" s="3">
        <v>245</v>
      </c>
      <c r="B316" s="5" t="str">
        <f t="shared" si="0"/>
        <v>http://roarmap.eprints.org/245/</v>
      </c>
      <c r="C316" s="3">
        <v>3</v>
      </c>
      <c r="D316" s="3" t="s">
        <v>98</v>
      </c>
      <c r="E316" s="3">
        <v>1</v>
      </c>
      <c r="F316" s="3" t="s">
        <v>1413</v>
      </c>
      <c r="G316" s="3">
        <v>41988.923564814817</v>
      </c>
      <c r="H316" s="3">
        <v>41988.923564814817</v>
      </c>
      <c r="I316" s="3">
        <v>41988.923564814817</v>
      </c>
      <c r="J316" s="3" t="s">
        <v>103</v>
      </c>
      <c r="K316" s="3" t="s">
        <v>105</v>
      </c>
      <c r="L316" s="3" t="s">
        <v>1414</v>
      </c>
      <c r="M316" s="3" t="s">
        <v>352</v>
      </c>
      <c r="N316" s="3" t="s">
        <v>1415</v>
      </c>
      <c r="P316" s="3" t="s">
        <v>215</v>
      </c>
      <c r="Q316" t="str">
        <f t="shared" si="20"/>
        <v>http://roarmap.eprints.org/view/country/528.html</v>
      </c>
      <c r="R316" s="3">
        <v>528</v>
      </c>
      <c r="S316" s="6" t="s">
        <v>251</v>
      </c>
      <c r="T316" s="9">
        <v>528</v>
      </c>
      <c r="U316" s="7" t="s">
        <v>123</v>
      </c>
      <c r="V316" s="6" t="s">
        <v>108</v>
      </c>
      <c r="W316" s="3" t="s">
        <v>158</v>
      </c>
      <c r="X316" s="3" t="s">
        <v>160</v>
      </c>
      <c r="Y316" s="3" t="s">
        <v>1414</v>
      </c>
      <c r="Z316" s="8" t="str">
        <f>HYPERLINK("http://www.uu.nl/EN/Pages/default.aspx","http://www.uu.nl/EN/Pages/default.aspx")</f>
        <v>http://www.uu.nl/EN/Pages/default.aspx</v>
      </c>
      <c r="AA316" s="8" t="str">
        <f>HYPERLINK("http://libguides.library.uu.nl/openaccess_en","http://libguides.library.uu.nl/openaccess_en")</f>
        <v>http://libguides.library.uu.nl/openaccess_en</v>
      </c>
      <c r="AB316" s="8" t="str">
        <f>HYPERLINK("http://igitur-archive.library.uu.nl/search/search.php?m=simple&amp;language=en&amp;p=1","http://igitur-archive.library.uu.nl/search/search.php?m=simple&amp;language=en&amp;p=1")</f>
        <v>http://igitur-archive.library.uu.nl/search/search.php?m=simple&amp;language=en&amp;p=1</v>
      </c>
      <c r="AC316" s="3">
        <v>38481</v>
      </c>
      <c r="AE316" s="3">
        <v>41745</v>
      </c>
      <c r="AF316" s="3" t="s">
        <v>478</v>
      </c>
      <c r="AG316" s="3" t="s">
        <v>244</v>
      </c>
      <c r="AH316" s="3" t="s">
        <v>180</v>
      </c>
      <c r="AI316" s="3" t="s">
        <v>244</v>
      </c>
      <c r="AJ316" s="3" t="s">
        <v>182</v>
      </c>
      <c r="AK316" s="3" t="s">
        <v>244</v>
      </c>
      <c r="AL316" s="3" t="s">
        <v>244</v>
      </c>
      <c r="AM316" s="3" t="s">
        <v>247</v>
      </c>
      <c r="AN316" s="3" t="s">
        <v>244</v>
      </c>
      <c r="AO316" s="3" t="s">
        <v>181</v>
      </c>
      <c r="AP316" s="3" t="s">
        <v>244</v>
      </c>
      <c r="AQ316" s="3" t="s">
        <v>247</v>
      </c>
      <c r="AR316" s="3" t="s">
        <v>288</v>
      </c>
      <c r="AS316" s="3" t="s">
        <v>288</v>
      </c>
      <c r="AT316" s="3" t="s">
        <v>244</v>
      </c>
      <c r="AU316" s="3" t="s">
        <v>244</v>
      </c>
      <c r="AV316" s="3" t="s">
        <v>288</v>
      </c>
      <c r="AW316" s="3" t="s">
        <v>339</v>
      </c>
      <c r="AX316" s="3" t="s">
        <v>442</v>
      </c>
      <c r="AY316" s="3" t="s">
        <v>428</v>
      </c>
      <c r="AZ316" s="8" t="str">
        <f>HYPERLINK("http://www.eur.nl/fileadmin/ASSETS/ub-instructie/Research_Matters/oa_eng.pdf","http://www.eur.nl/fileadmin/ASSETS/ub-instructie/Research_Matters/oa_eng.pdf")</f>
        <v>http://www.eur.nl/fileadmin/ASSETS/ub-instructie/Research_Matters/oa_eng.pdf</v>
      </c>
    </row>
    <row r="317" spans="1:52" ht="15.75" customHeight="1">
      <c r="A317" s="3">
        <v>246</v>
      </c>
      <c r="B317" s="5" t="str">
        <f t="shared" si="0"/>
        <v>http://roarmap.eprints.org/246/</v>
      </c>
      <c r="C317" s="3">
        <v>4</v>
      </c>
      <c r="D317" s="3" t="s">
        <v>98</v>
      </c>
      <c r="E317" s="3">
        <v>267</v>
      </c>
      <c r="F317" s="3" t="s">
        <v>1416</v>
      </c>
      <c r="G317" s="3">
        <v>41988.923564814817</v>
      </c>
      <c r="H317" s="3">
        <v>42046.981678240743</v>
      </c>
      <c r="I317" s="3">
        <v>41988.923564814817</v>
      </c>
      <c r="J317" s="3" t="s">
        <v>103</v>
      </c>
      <c r="K317" s="3" t="s">
        <v>105</v>
      </c>
      <c r="L317" s="3" t="s">
        <v>1417</v>
      </c>
      <c r="M317" s="3" t="s">
        <v>352</v>
      </c>
      <c r="N317" s="3" t="s">
        <v>1418</v>
      </c>
      <c r="P317" s="3" t="s">
        <v>215</v>
      </c>
      <c r="Q317" t="str">
        <f t="shared" si="20"/>
        <v>http://roarmap.eprints.org/view/country/528.html</v>
      </c>
      <c r="R317" s="3">
        <v>528</v>
      </c>
      <c r="S317" s="6" t="s">
        <v>251</v>
      </c>
      <c r="T317" s="9">
        <v>528</v>
      </c>
      <c r="U317" s="7" t="s">
        <v>123</v>
      </c>
      <c r="V317" s="6" t="s">
        <v>108</v>
      </c>
      <c r="W317" s="3" t="s">
        <v>158</v>
      </c>
      <c r="X317" s="3" t="s">
        <v>160</v>
      </c>
      <c r="Y317" s="3" t="s">
        <v>1417</v>
      </c>
      <c r="Z317" s="8" t="str">
        <f>HYPERLINK("http://vu.nl/en/index.asp","http://vu.nl/en/index.asp")</f>
        <v>http://vu.nl/en/index.asp</v>
      </c>
      <c r="AA317" s="8" t="str">
        <f>HYPERLINK("http://ub.vu.nl/nl/hulp-advies/themasite-open-access/index.asp","http://ub.vu.nl/nl/hulp-advies/themasite-open-access/index.asp")</f>
        <v>http://ub.vu.nl/nl/hulp-advies/themasite-open-access/index.asp</v>
      </c>
      <c r="AB317" s="8" t="str">
        <f>HYPERLINK("http://dare.ubvu.vu.nl/","http://dare.ubvu.vu.nl/")</f>
        <v>http://dare.ubvu.vu.nl/</v>
      </c>
      <c r="AF317" s="3" t="s">
        <v>244</v>
      </c>
      <c r="AG317" s="3" t="s">
        <v>333</v>
      </c>
      <c r="AH317" s="3" t="s">
        <v>180</v>
      </c>
      <c r="AI317" s="3" t="s">
        <v>244</v>
      </c>
      <c r="AJ317" s="3" t="s">
        <v>182</v>
      </c>
      <c r="AK317" s="3" t="s">
        <v>244</v>
      </c>
      <c r="AL317" s="3" t="s">
        <v>288</v>
      </c>
      <c r="AM317" s="3" t="s">
        <v>247</v>
      </c>
      <c r="AN317" s="3" t="s">
        <v>244</v>
      </c>
      <c r="AO317" s="3" t="s">
        <v>181</v>
      </c>
      <c r="AP317" s="3" t="s">
        <v>244</v>
      </c>
      <c r="AQ317" s="3" t="s">
        <v>247</v>
      </c>
      <c r="AR317" s="3" t="s">
        <v>288</v>
      </c>
      <c r="AS317" s="3" t="s">
        <v>288</v>
      </c>
      <c r="AT317" s="3" t="s">
        <v>244</v>
      </c>
      <c r="AU317" s="3" t="s">
        <v>244</v>
      </c>
      <c r="AV317" s="3" t="s">
        <v>288</v>
      </c>
      <c r="AW317" s="3" t="s">
        <v>244</v>
      </c>
      <c r="AX317" s="3" t="s">
        <v>244</v>
      </c>
      <c r="AY317" s="3" t="s">
        <v>247</v>
      </c>
    </row>
    <row r="318" spans="1:52" ht="15.75" customHeight="1">
      <c r="A318" s="3">
        <v>247</v>
      </c>
      <c r="B318" s="5" t="str">
        <f t="shared" si="0"/>
        <v>http://roarmap.eprints.org/247/</v>
      </c>
      <c r="C318" s="3">
        <v>3</v>
      </c>
      <c r="D318" s="3" t="s">
        <v>98</v>
      </c>
      <c r="E318" s="3">
        <v>1</v>
      </c>
      <c r="F318" s="3" t="s">
        <v>1419</v>
      </c>
      <c r="G318" s="3">
        <v>41988.923564814817</v>
      </c>
      <c r="H318" s="3">
        <v>41988.923564814817</v>
      </c>
      <c r="I318" s="3">
        <v>41988.923564814817</v>
      </c>
      <c r="J318" s="3" t="s">
        <v>103</v>
      </c>
      <c r="K318" s="3" t="s">
        <v>105</v>
      </c>
      <c r="L318" s="3" t="s">
        <v>1420</v>
      </c>
      <c r="M318" s="3" t="s">
        <v>374</v>
      </c>
      <c r="N318" s="3" t="s">
        <v>1421</v>
      </c>
      <c r="P318" s="3" t="s">
        <v>215</v>
      </c>
      <c r="Q318" t="str">
        <f t="shared" si="20"/>
        <v>http://roarmap.eprints.org/view/country/528.html</v>
      </c>
      <c r="R318" s="3">
        <v>528</v>
      </c>
      <c r="S318" s="6" t="s">
        <v>251</v>
      </c>
      <c r="T318" s="9">
        <v>528</v>
      </c>
      <c r="U318" s="7" t="s">
        <v>123</v>
      </c>
      <c r="V318" s="6" t="s">
        <v>108</v>
      </c>
      <c r="W318" s="3" t="s">
        <v>158</v>
      </c>
      <c r="X318" s="3" t="s">
        <v>160</v>
      </c>
      <c r="Y318" s="3" t="s">
        <v>1420</v>
      </c>
      <c r="Z318" s="8" t="str">
        <f>HYPERLINK("http://www.wageningenur.nl/en.htm","http://www.wageningenur.nl/en.htm")</f>
        <v>http://www.wageningenur.nl/en.htm</v>
      </c>
      <c r="AA318" s="8" t="str">
        <f>HYPERLINK("http://www.wageningenur.nl/en/Expertise-Services/Facilities/Library/Expertise/Write-cite/Open-Access/policy.htm","http://www.wageningenur.nl/en/Expertise-Services/Facilities/Library/Expertise/Write-cite/Open-Access/policy.htm")</f>
        <v>http://www.wageningenur.nl/en/Expertise-Services/Facilities/Library/Expertise/Write-cite/Open-Access/policy.htm</v>
      </c>
      <c r="AB318" s="8" t="str">
        <f>HYPERLINK("http://www.wageningenur.nl/en/Expertise-Services/Facilities/Library/Expertise/Find-discover/Wageningen-Yield.htm","http://www.wageningenur.nl/en/Expertise-Services/Facilities/Library/Expertise/Find-discover/Wageningen-Yield.htm")</f>
        <v>http://www.wageningenur.nl/en/Expertise-Services/Facilities/Library/Expertise/Find-discover/Wageningen-Yield.htm</v>
      </c>
      <c r="AC318" s="3">
        <v>38482</v>
      </c>
      <c r="AF318" s="3" t="s">
        <v>177</v>
      </c>
      <c r="AG318" s="3" t="s">
        <v>178</v>
      </c>
      <c r="AH318" s="3" t="s">
        <v>180</v>
      </c>
      <c r="AI318" s="3" t="s">
        <v>187</v>
      </c>
      <c r="AJ318" s="3" t="s">
        <v>182</v>
      </c>
      <c r="AK318" s="3" t="s">
        <v>183</v>
      </c>
      <c r="AL318" s="3" t="s">
        <v>244</v>
      </c>
      <c r="AM318" s="3" t="s">
        <v>247</v>
      </c>
      <c r="AN318" s="3" t="s">
        <v>244</v>
      </c>
      <c r="AO318" s="3" t="s">
        <v>181</v>
      </c>
      <c r="AP318" s="3" t="s">
        <v>244</v>
      </c>
      <c r="AQ318" s="3" t="s">
        <v>247</v>
      </c>
      <c r="AR318" s="3" t="s">
        <v>288</v>
      </c>
      <c r="AS318" s="3" t="s">
        <v>288</v>
      </c>
      <c r="AT318" s="3" t="s">
        <v>193</v>
      </c>
      <c r="AU318" s="3" t="s">
        <v>244</v>
      </c>
      <c r="AV318" s="3" t="s">
        <v>288</v>
      </c>
      <c r="AW318" s="3" t="s">
        <v>195</v>
      </c>
      <c r="AX318" s="3" t="s">
        <v>244</v>
      </c>
      <c r="AY318" s="3" t="s">
        <v>247</v>
      </c>
    </row>
    <row r="319" spans="1:52" ht="15.75" customHeight="1">
      <c r="A319" s="3">
        <v>596</v>
      </c>
      <c r="B319" s="5" t="str">
        <f t="shared" si="0"/>
        <v>http://roarmap.eprints.org/596/</v>
      </c>
      <c r="C319" s="3">
        <v>3</v>
      </c>
      <c r="D319" s="3" t="s">
        <v>98</v>
      </c>
      <c r="E319" s="3">
        <v>1</v>
      </c>
      <c r="F319" s="3" t="s">
        <v>1422</v>
      </c>
      <c r="G319" s="3">
        <v>41988.924201388887</v>
      </c>
      <c r="H319" s="3">
        <v>41988.924201388887</v>
      </c>
      <c r="I319" s="3">
        <v>41988.924201388887</v>
      </c>
      <c r="J319" s="3" t="s">
        <v>103</v>
      </c>
      <c r="K319" s="3" t="s">
        <v>105</v>
      </c>
      <c r="L319" s="3" t="s">
        <v>1423</v>
      </c>
      <c r="M319" s="3" t="s">
        <v>374</v>
      </c>
      <c r="N319" s="3" t="s">
        <v>1424</v>
      </c>
      <c r="O319" s="3" t="s">
        <v>1425</v>
      </c>
      <c r="P319" s="3" t="s">
        <v>501</v>
      </c>
      <c r="Q319" t="str">
        <f t="shared" si="20"/>
        <v>http://roarmap.eprints.org/view/country/554.html</v>
      </c>
      <c r="R319" s="3">
        <v>554</v>
      </c>
      <c r="S319" s="6" t="s">
        <v>260</v>
      </c>
      <c r="T319" s="9">
        <v>554</v>
      </c>
      <c r="U319" s="7" t="s">
        <v>55</v>
      </c>
      <c r="V319" s="6" t="s">
        <v>55</v>
      </c>
      <c r="W319" s="3" t="s">
        <v>158</v>
      </c>
      <c r="X319" s="3" t="s">
        <v>160</v>
      </c>
      <c r="Y319" s="3" t="s">
        <v>1423</v>
      </c>
      <c r="Z319" s="8" t="str">
        <f>HYPERLINK("http://www.lincoln.ac.nz/","http://www.lincoln.ac.nz/")</f>
        <v>http://www.lincoln.ac.nz/</v>
      </c>
      <c r="AA319" s="8" t="str">
        <f>HYPERLINK("http://library.lincoln.ac.nz/Global/Library/OpenAccessPolicy.pdf","http://library.lincoln.ac.nz/Global/Library/OpenAccessPolicy.pdf")</f>
        <v>http://library.lincoln.ac.nz/Global/Library/OpenAccessPolicy.pdf</v>
      </c>
      <c r="AB319" s="8" t="str">
        <f>HYPERLINK("http://researcharchive.lincoln.ac.nz/","http://researcharchive.lincoln.ac.nz/")</f>
        <v>http://researcharchive.lincoln.ac.nz/</v>
      </c>
      <c r="AC319" s="3">
        <v>41463</v>
      </c>
      <c r="AF319" s="3" t="s">
        <v>177</v>
      </c>
      <c r="AG319" s="3" t="s">
        <v>333</v>
      </c>
      <c r="AH319" s="3" t="s">
        <v>180</v>
      </c>
      <c r="AI319" s="3" t="s">
        <v>244</v>
      </c>
      <c r="AJ319" s="3" t="s">
        <v>371</v>
      </c>
      <c r="AK319" s="3" t="s">
        <v>244</v>
      </c>
      <c r="AL319" s="3" t="s">
        <v>288</v>
      </c>
      <c r="AM319" s="3" t="s">
        <v>479</v>
      </c>
      <c r="AN319" s="3" t="s">
        <v>189</v>
      </c>
      <c r="AO319" s="3" t="s">
        <v>247</v>
      </c>
      <c r="AP319" s="3" t="s">
        <v>244</v>
      </c>
      <c r="AQ319" s="3" t="s">
        <v>394</v>
      </c>
      <c r="AR319" s="3" t="s">
        <v>288</v>
      </c>
      <c r="AS319" s="3" t="s">
        <v>189</v>
      </c>
      <c r="AT319" s="3" t="s">
        <v>244</v>
      </c>
      <c r="AU319" s="3" t="s">
        <v>244</v>
      </c>
      <c r="AV319" s="3" t="s">
        <v>288</v>
      </c>
      <c r="AW319" s="3" t="s">
        <v>195</v>
      </c>
      <c r="AX319" s="3" t="s">
        <v>244</v>
      </c>
      <c r="AY319" s="3" t="s">
        <v>247</v>
      </c>
    </row>
    <row r="320" spans="1:52" ht="15.75" customHeight="1">
      <c r="A320" s="3">
        <v>597</v>
      </c>
      <c r="B320" s="5" t="str">
        <f t="shared" si="0"/>
        <v>http://roarmap.eprints.org/597/</v>
      </c>
      <c r="C320" s="3">
        <v>3</v>
      </c>
      <c r="D320" s="3" t="s">
        <v>98</v>
      </c>
      <c r="E320" s="3">
        <v>1</v>
      </c>
      <c r="F320" s="3" t="s">
        <v>1426</v>
      </c>
      <c r="G320" s="3">
        <v>41988.924201388887</v>
      </c>
      <c r="H320" s="3">
        <v>41988.924201388887</v>
      </c>
      <c r="I320" s="3">
        <v>41988.924201388887</v>
      </c>
      <c r="J320" s="3" t="s">
        <v>103</v>
      </c>
      <c r="K320" s="3" t="s">
        <v>105</v>
      </c>
      <c r="L320" s="3" t="s">
        <v>1427</v>
      </c>
      <c r="M320" s="3" t="s">
        <v>352</v>
      </c>
      <c r="N320" s="3" t="s">
        <v>1428</v>
      </c>
      <c r="P320" s="3" t="s">
        <v>215</v>
      </c>
      <c r="Q320" t="str">
        <f t="shared" si="20"/>
        <v>http://roarmap.eprints.org/view/country/554.html</v>
      </c>
      <c r="R320" s="3">
        <v>554</v>
      </c>
      <c r="S320" s="6" t="s">
        <v>260</v>
      </c>
      <c r="T320" s="9">
        <v>554</v>
      </c>
      <c r="U320" s="7" t="s">
        <v>55</v>
      </c>
      <c r="V320" s="6" t="s">
        <v>55</v>
      </c>
      <c r="W320" s="3" t="s">
        <v>158</v>
      </c>
      <c r="X320" s="3" t="s">
        <v>384</v>
      </c>
      <c r="Y320" s="3" t="s">
        <v>1427</v>
      </c>
      <c r="Z320" s="8" t="str">
        <f>HYPERLINK("https://www.auckland.ac.nz/en.html","https://www.auckland.ac.nz/en.html")</f>
        <v>https://www.auckland.ac.nz/en.html</v>
      </c>
      <c r="AA320" s="8" t="str">
        <f>HYPERLINK("http://www.calendar.auckland.ac.nz/regulations/doctoral/PhD.html","http://www.calendar.auckland.ac.nz/regulations/doctoral/PhD.html")</f>
        <v>http://www.calendar.auckland.ac.nz/regulations/doctoral/PhD.html</v>
      </c>
      <c r="AB320" s="8" t="str">
        <f>HYPERLINK("https://researchspace.auckland.ac.nz/","https://researchspace.auckland.ac.nz/")</f>
        <v>https://researchspace.auckland.ac.nz/</v>
      </c>
      <c r="AF320" s="3" t="s">
        <v>244</v>
      </c>
      <c r="AG320" s="3" t="s">
        <v>178</v>
      </c>
      <c r="AH320" s="3" t="s">
        <v>180</v>
      </c>
      <c r="AI320" s="3" t="s">
        <v>244</v>
      </c>
      <c r="AJ320" s="3" t="s">
        <v>385</v>
      </c>
      <c r="AK320" s="3" t="s">
        <v>183</v>
      </c>
      <c r="AL320" s="3" t="s">
        <v>244</v>
      </c>
      <c r="AM320" s="3" t="s">
        <v>371</v>
      </c>
      <c r="AN320" s="3" t="s">
        <v>244</v>
      </c>
      <c r="AO320" s="3" t="s">
        <v>247</v>
      </c>
      <c r="AP320" s="3" t="s">
        <v>244</v>
      </c>
      <c r="AQ320" s="3" t="s">
        <v>247</v>
      </c>
      <c r="AR320" s="3" t="s">
        <v>288</v>
      </c>
      <c r="AS320" s="3" t="s">
        <v>288</v>
      </c>
      <c r="AT320" s="3" t="s">
        <v>244</v>
      </c>
      <c r="AU320" s="3" t="s">
        <v>244</v>
      </c>
      <c r="AV320" s="3" t="s">
        <v>288</v>
      </c>
      <c r="AW320" s="3" t="s">
        <v>339</v>
      </c>
      <c r="AX320" s="3" t="s">
        <v>244</v>
      </c>
      <c r="AY320" s="3" t="s">
        <v>247</v>
      </c>
    </row>
    <row r="321" spans="1:52" ht="15.75" customHeight="1">
      <c r="A321" s="3">
        <v>598</v>
      </c>
      <c r="B321" s="5" t="str">
        <f t="shared" si="0"/>
        <v>http://roarmap.eprints.org/598/</v>
      </c>
      <c r="C321" s="3">
        <v>4</v>
      </c>
      <c r="D321" s="3" t="s">
        <v>98</v>
      </c>
      <c r="E321" s="3">
        <v>347</v>
      </c>
      <c r="F321" s="3" t="s">
        <v>1429</v>
      </c>
      <c r="G321" s="3">
        <v>41988.924212962964</v>
      </c>
      <c r="H321" s="3">
        <v>42046.981747685182</v>
      </c>
      <c r="I321" s="3">
        <v>41988.924212962964</v>
      </c>
      <c r="J321" s="3" t="s">
        <v>103</v>
      </c>
      <c r="K321" s="3" t="s">
        <v>105</v>
      </c>
      <c r="L321" s="3" t="s">
        <v>1430</v>
      </c>
      <c r="M321" s="3" t="s">
        <v>352</v>
      </c>
      <c r="N321" s="3" t="s">
        <v>457</v>
      </c>
      <c r="P321" s="3" t="s">
        <v>215</v>
      </c>
      <c r="Q321" t="str">
        <f t="shared" si="20"/>
        <v>http://roarmap.eprints.org/view/country/554.html</v>
      </c>
      <c r="R321" s="3">
        <v>554</v>
      </c>
      <c r="S321" s="6" t="s">
        <v>260</v>
      </c>
      <c r="T321" s="9">
        <v>554</v>
      </c>
      <c r="U321" s="7" t="s">
        <v>55</v>
      </c>
      <c r="V321" s="6" t="s">
        <v>55</v>
      </c>
      <c r="W321" s="3" t="s">
        <v>158</v>
      </c>
      <c r="X321" s="3" t="s">
        <v>384</v>
      </c>
      <c r="Y321" s="3" t="s">
        <v>1430</v>
      </c>
      <c r="Z321" s="8" t="str">
        <f>HYPERLINK("http://www.canterbury.ac.nz/","http://www.canterbury.ac.nz/")</f>
        <v>http://www.canterbury.ac.nz/</v>
      </c>
      <c r="AA321" s="8" t="str">
        <f>HYPERLINK("http://www.canterbury.ac.nz/ucpolicy/GetPolicy.aspx?file=Thesis-Availability-Policy.pdf","http://www.canterbury.ac.nz/ucpolicy/GetPolicy.aspx?file=Thesis-Availability-Policy.pdf")</f>
        <v>http://www.canterbury.ac.nz/ucpolicy/GetPolicy.aspx?file=Thesis-Availability-Policy.pdf</v>
      </c>
      <c r="AB321" s="8" t="str">
        <f>HYPERLINK("http://ir.canterbury.ac.nz/","http://ir.canterbury.ac.nz/")</f>
        <v>http://ir.canterbury.ac.nz/</v>
      </c>
      <c r="AE321" s="3">
        <v>40969</v>
      </c>
      <c r="AF321" s="3" t="s">
        <v>177</v>
      </c>
      <c r="AG321" s="3" t="s">
        <v>244</v>
      </c>
      <c r="AH321" s="3" t="s">
        <v>244</v>
      </c>
      <c r="AI321" s="3" t="s">
        <v>244</v>
      </c>
      <c r="AJ321" s="3" t="s">
        <v>385</v>
      </c>
      <c r="AK321" s="3" t="s">
        <v>244</v>
      </c>
      <c r="AL321" s="3" t="s">
        <v>244</v>
      </c>
      <c r="AM321" s="3" t="s">
        <v>247</v>
      </c>
      <c r="AN321" s="3" t="s">
        <v>244</v>
      </c>
      <c r="AO321" s="3" t="s">
        <v>247</v>
      </c>
      <c r="AP321" s="3" t="s">
        <v>244</v>
      </c>
      <c r="AQ321" s="3" t="s">
        <v>247</v>
      </c>
      <c r="AR321" s="3" t="s">
        <v>288</v>
      </c>
      <c r="AS321" s="3" t="s">
        <v>288</v>
      </c>
      <c r="AT321" s="3" t="s">
        <v>459</v>
      </c>
      <c r="AU321" s="3" t="s">
        <v>459</v>
      </c>
      <c r="AV321" s="3" t="s">
        <v>244</v>
      </c>
      <c r="AW321" s="3" t="s">
        <v>339</v>
      </c>
      <c r="AX321" s="3" t="s">
        <v>244</v>
      </c>
      <c r="AY321" s="3" t="s">
        <v>247</v>
      </c>
    </row>
    <row r="322" spans="1:52" ht="15.75" customHeight="1">
      <c r="A322" s="3">
        <v>599</v>
      </c>
      <c r="B322" s="5" t="str">
        <f t="shared" si="0"/>
        <v>http://roarmap.eprints.org/599/</v>
      </c>
      <c r="C322" s="3">
        <v>3</v>
      </c>
      <c r="D322" s="3" t="s">
        <v>98</v>
      </c>
      <c r="E322" s="3">
        <v>1</v>
      </c>
      <c r="F322" s="3" t="s">
        <v>1431</v>
      </c>
      <c r="G322" s="3">
        <v>41988.924212962964</v>
      </c>
      <c r="H322" s="3">
        <v>41988.924212962964</v>
      </c>
      <c r="I322" s="3">
        <v>41988.924212962964</v>
      </c>
      <c r="J322" s="3" t="s">
        <v>103</v>
      </c>
      <c r="K322" s="3" t="s">
        <v>105</v>
      </c>
      <c r="L322" s="3" t="s">
        <v>1432</v>
      </c>
      <c r="M322" s="3" t="s">
        <v>352</v>
      </c>
      <c r="N322" s="3" t="s">
        <v>1433</v>
      </c>
      <c r="P322" s="3" t="s">
        <v>501</v>
      </c>
      <c r="Q322" t="str">
        <f t="shared" si="20"/>
        <v>http://roarmap.eprints.org/view/country/554.html</v>
      </c>
      <c r="R322" s="3">
        <v>554</v>
      </c>
      <c r="S322" s="6" t="s">
        <v>260</v>
      </c>
      <c r="T322" s="9">
        <v>554</v>
      </c>
      <c r="U322" s="7" t="s">
        <v>55</v>
      </c>
      <c r="V322" s="6" t="s">
        <v>55</v>
      </c>
      <c r="W322" s="3" t="s">
        <v>158</v>
      </c>
      <c r="X322" s="3" t="s">
        <v>160</v>
      </c>
      <c r="Y322" s="3" t="s">
        <v>1432</v>
      </c>
      <c r="Z322" s="8" t="str">
        <f>HYPERLINK("http://www.otago.ac.nz/","http://www.otago.ac.nz/")</f>
        <v>http://www.otago.ac.nz/</v>
      </c>
      <c r="AA322" s="8" t="str">
        <f>HYPERLINK("http://www.otago.ac.nz/administration/policies/otago014455.html","http://www.otago.ac.nz/administration/policies/otago014455.html")</f>
        <v>http://www.otago.ac.nz/administration/policies/otago014455.html</v>
      </c>
      <c r="AB322" s="8" t="str">
        <f>HYPERLINK("http://otago.ourarchive.ac.nz/","http://otago.ourarchive.ac.nz/")</f>
        <v>http://otago.ourarchive.ac.nz/</v>
      </c>
      <c r="AC322" s="3">
        <v>39924</v>
      </c>
      <c r="AD322" s="3">
        <v>40179</v>
      </c>
      <c r="AE322" s="3">
        <v>41000</v>
      </c>
      <c r="AF322" s="3" t="s">
        <v>177</v>
      </c>
      <c r="AG322" s="3" t="s">
        <v>244</v>
      </c>
      <c r="AH322" s="3" t="s">
        <v>180</v>
      </c>
      <c r="AI322" s="3" t="s">
        <v>244</v>
      </c>
      <c r="AJ322" s="3" t="s">
        <v>371</v>
      </c>
      <c r="AK322" s="3" t="s">
        <v>371</v>
      </c>
      <c r="AL322" s="3" t="s">
        <v>244</v>
      </c>
      <c r="AM322" s="3" t="s">
        <v>247</v>
      </c>
      <c r="AN322" s="3" t="s">
        <v>244</v>
      </c>
      <c r="AO322" s="3" t="s">
        <v>247</v>
      </c>
      <c r="AP322" s="3" t="s">
        <v>244</v>
      </c>
      <c r="AQ322" s="3" t="s">
        <v>247</v>
      </c>
      <c r="AR322" s="3" t="s">
        <v>288</v>
      </c>
      <c r="AS322" s="3" t="s">
        <v>244</v>
      </c>
      <c r="AT322" s="3" t="s">
        <v>244</v>
      </c>
      <c r="AU322" s="3" t="s">
        <v>244</v>
      </c>
      <c r="AV322" s="3" t="s">
        <v>288</v>
      </c>
      <c r="AW322" s="3" t="s">
        <v>244</v>
      </c>
      <c r="AX322" s="3" t="s">
        <v>244</v>
      </c>
      <c r="AY322" s="3" t="s">
        <v>247</v>
      </c>
    </row>
    <row r="323" spans="1:52" ht="15.75" customHeight="1">
      <c r="A323" s="3">
        <v>600</v>
      </c>
      <c r="B323" s="5" t="str">
        <f t="shared" si="0"/>
        <v>http://roarmap.eprints.org/600/</v>
      </c>
      <c r="C323" s="3">
        <v>4</v>
      </c>
      <c r="D323" s="3" t="s">
        <v>98</v>
      </c>
      <c r="E323" s="3">
        <v>348</v>
      </c>
      <c r="F323" s="3" t="s">
        <v>1434</v>
      </c>
      <c r="G323" s="3">
        <v>41988.924212962964</v>
      </c>
      <c r="H323" s="3">
        <v>42046.981747685182</v>
      </c>
      <c r="I323" s="3">
        <v>41988.924212962964</v>
      </c>
      <c r="J323" s="3" t="s">
        <v>103</v>
      </c>
      <c r="K323" s="3" t="s">
        <v>105</v>
      </c>
      <c r="L323" s="3" t="s">
        <v>1435</v>
      </c>
      <c r="M323" s="3" t="s">
        <v>374</v>
      </c>
      <c r="N323" s="3" t="s">
        <v>1436</v>
      </c>
      <c r="P323" s="3" t="s">
        <v>501</v>
      </c>
      <c r="Q323" t="str">
        <f t="shared" ref="Q323:Q386" si="24">CONCATENATE("http://roarmap.eprints.org/view/country/",T323,".html")</f>
        <v>http://roarmap.eprints.org/view/country/554.html</v>
      </c>
      <c r="R323" s="3">
        <v>554</v>
      </c>
      <c r="S323" s="6" t="s">
        <v>260</v>
      </c>
      <c r="T323" s="9">
        <v>554</v>
      </c>
      <c r="U323" s="7" t="s">
        <v>55</v>
      </c>
      <c r="V323" s="6" t="s">
        <v>55</v>
      </c>
      <c r="W323" s="3" t="s">
        <v>158</v>
      </c>
      <c r="X323" s="3" t="s">
        <v>160</v>
      </c>
      <c r="Y323" s="3" t="s">
        <v>1435</v>
      </c>
      <c r="Z323" s="8" t="str">
        <f>HYPERLINK("http://www.waikato.ac.nz/","http://www.waikato.ac.nz/")</f>
        <v>http://www.waikato.ac.nz/</v>
      </c>
      <c r="AA323" s="8" t="str">
        <f>HYPERLINK("http://www.waikato.ac.nz/__data/assets/pdf_file/0007/186586/open-access-guidlines.pdf","http://www.waikato.ac.nz/__data/assets/pdf_file/0007/186586/open-access-guidlines.pdf")</f>
        <v>http://www.waikato.ac.nz/__data/assets/pdf_file/0007/186586/open-access-guidlines.pdf</v>
      </c>
      <c r="AB323" s="8" t="str">
        <f>HYPERLINK("http://researchcommons.waikato.ac.nz/","http://researchcommons.waikato.ac.nz/")</f>
        <v>http://researchcommons.waikato.ac.nz/</v>
      </c>
      <c r="AC323" s="3">
        <v>41702</v>
      </c>
      <c r="AF323" s="3" t="s">
        <v>177</v>
      </c>
      <c r="AG323" s="3" t="s">
        <v>178</v>
      </c>
      <c r="AH323" s="3" t="s">
        <v>180</v>
      </c>
      <c r="AI323" s="3" t="s">
        <v>244</v>
      </c>
      <c r="AJ323" s="3" t="s">
        <v>182</v>
      </c>
      <c r="AK323" s="3" t="s">
        <v>393</v>
      </c>
      <c r="AL323" s="3" t="s">
        <v>189</v>
      </c>
      <c r="AM323" s="3" t="s">
        <v>178</v>
      </c>
      <c r="AN323" s="3" t="s">
        <v>189</v>
      </c>
      <c r="AO323" s="3" t="s">
        <v>247</v>
      </c>
      <c r="AP323" s="3" t="s">
        <v>244</v>
      </c>
      <c r="AQ323" s="3" t="s">
        <v>247</v>
      </c>
      <c r="AR323" s="3" t="s">
        <v>288</v>
      </c>
      <c r="AS323" s="3" t="s">
        <v>189</v>
      </c>
      <c r="AT323" s="3" t="s">
        <v>244</v>
      </c>
      <c r="AU323" s="3" t="s">
        <v>244</v>
      </c>
      <c r="AV323" s="3" t="s">
        <v>288</v>
      </c>
      <c r="AW323" s="3" t="s">
        <v>339</v>
      </c>
      <c r="AX323" s="3" t="s">
        <v>244</v>
      </c>
      <c r="AY323" s="3" t="s">
        <v>247</v>
      </c>
    </row>
    <row r="324" spans="1:52" ht="15.75" customHeight="1">
      <c r="A324" s="3">
        <v>601</v>
      </c>
      <c r="B324" s="5" t="str">
        <f t="shared" si="0"/>
        <v>http://roarmap.eprints.org/601/</v>
      </c>
      <c r="C324" s="3">
        <v>6</v>
      </c>
      <c r="D324" s="3" t="s">
        <v>98</v>
      </c>
      <c r="E324" s="3">
        <v>349</v>
      </c>
      <c r="F324" s="3" t="s">
        <v>1437</v>
      </c>
      <c r="G324" s="3">
        <v>41988.924212962964</v>
      </c>
      <c r="H324" s="3">
        <v>42046.981747685182</v>
      </c>
      <c r="I324" s="3">
        <v>41988.924212962964</v>
      </c>
      <c r="J324" s="3" t="s">
        <v>103</v>
      </c>
      <c r="K324" s="3" t="s">
        <v>105</v>
      </c>
      <c r="L324" s="3" t="s">
        <v>1438</v>
      </c>
      <c r="M324" s="3" t="s">
        <v>352</v>
      </c>
      <c r="N324" s="3" t="s">
        <v>1439</v>
      </c>
      <c r="O324" s="3" t="s">
        <v>1440</v>
      </c>
      <c r="P324" s="3" t="s">
        <v>215</v>
      </c>
      <c r="Q324" t="str">
        <f t="shared" si="24"/>
        <v>http://roarmap.eprints.org/view/country/554.html</v>
      </c>
      <c r="R324" s="3">
        <v>554</v>
      </c>
      <c r="S324" s="6" t="s">
        <v>260</v>
      </c>
      <c r="T324" s="9">
        <v>554</v>
      </c>
      <c r="U324" s="7" t="s">
        <v>55</v>
      </c>
      <c r="V324" s="6" t="s">
        <v>55</v>
      </c>
      <c r="W324" s="3" t="s">
        <v>158</v>
      </c>
      <c r="X324" s="3" t="s">
        <v>384</v>
      </c>
      <c r="Y324" s="3" t="s">
        <v>1438</v>
      </c>
      <c r="Z324" s="8" t="str">
        <f>HYPERLINK("http://www.victoria.ac.nz/home/","http://www.victoria.ac.nz/home/")</f>
        <v>http://www.victoria.ac.nz/home/</v>
      </c>
      <c r="AA324" s="8" t="str">
        <f>HYPERLINK("http://www.victoria.ac.nz/documents/policy/library-and-information-systems/library-statute.pdf","http://www.victoria.ac.nz/documents/policy/library-and-information-systems/library-statute.pdf")</f>
        <v>http://www.victoria.ac.nz/documents/policy/library-and-information-systems/library-statute.pdf</v>
      </c>
      <c r="AB324" s="8" t="str">
        <f>HYPERLINK("http://researcharchive.vuw.ac.nz/","http://researcharchive.vuw.ac.nz/")</f>
        <v>http://researcharchive.vuw.ac.nz/</v>
      </c>
      <c r="AC324" s="3">
        <v>1992</v>
      </c>
      <c r="AD324" s="3">
        <v>41791</v>
      </c>
      <c r="AE324" s="3">
        <v>41791</v>
      </c>
      <c r="AF324" s="3" t="s">
        <v>177</v>
      </c>
      <c r="AG324" s="3" t="s">
        <v>178</v>
      </c>
      <c r="AH324" s="3" t="s">
        <v>180</v>
      </c>
      <c r="AI324" s="3" t="s">
        <v>244</v>
      </c>
      <c r="AJ324" s="3" t="s">
        <v>244</v>
      </c>
      <c r="AK324" s="3" t="s">
        <v>244</v>
      </c>
      <c r="AL324" s="3" t="s">
        <v>185</v>
      </c>
      <c r="AM324" s="3" t="s">
        <v>479</v>
      </c>
      <c r="AN324" s="3" t="s">
        <v>189</v>
      </c>
      <c r="AO324" s="3" t="s">
        <v>187</v>
      </c>
      <c r="AP324" s="3" t="s">
        <v>244</v>
      </c>
      <c r="AQ324" s="3" t="s">
        <v>394</v>
      </c>
      <c r="AR324" s="3" t="s">
        <v>189</v>
      </c>
      <c r="AS324" s="3" t="s">
        <v>189</v>
      </c>
      <c r="AT324" s="3" t="s">
        <v>244</v>
      </c>
      <c r="AU324" s="3" t="s">
        <v>244</v>
      </c>
      <c r="AV324" s="3" t="s">
        <v>189</v>
      </c>
      <c r="AW324" s="3" t="s">
        <v>244</v>
      </c>
      <c r="AX324" s="3" t="s">
        <v>244</v>
      </c>
      <c r="AY324" s="3" t="s">
        <v>247</v>
      </c>
    </row>
    <row r="325" spans="1:52" ht="15.75" customHeight="1">
      <c r="A325" s="3">
        <v>6</v>
      </c>
      <c r="B325" s="5" t="str">
        <f t="shared" si="0"/>
        <v>http://roarmap.eprints.org/6/</v>
      </c>
      <c r="C325" s="3">
        <v>4</v>
      </c>
      <c r="D325" s="3" t="s">
        <v>98</v>
      </c>
      <c r="E325" s="3">
        <v>225</v>
      </c>
      <c r="F325" s="3" t="s">
        <v>1441</v>
      </c>
      <c r="G325" s="3">
        <v>41988.923078703701</v>
      </c>
      <c r="H325" s="3">
        <v>42046.981631944444</v>
      </c>
      <c r="I325" s="3">
        <v>41988.923078703701</v>
      </c>
      <c r="J325" s="3" t="s">
        <v>103</v>
      </c>
      <c r="K325" s="3" t="s">
        <v>105</v>
      </c>
      <c r="L325" s="3" t="s">
        <v>1442</v>
      </c>
      <c r="M325" s="3" t="s">
        <v>532</v>
      </c>
      <c r="N325" s="3" t="s">
        <v>1443</v>
      </c>
      <c r="P325" s="3" t="s">
        <v>215</v>
      </c>
      <c r="Q325" t="str">
        <f t="shared" si="24"/>
        <v>http://roarmap.eprints.org/view/country/566.html</v>
      </c>
      <c r="R325" s="3">
        <v>566</v>
      </c>
      <c r="S325" s="6" t="s">
        <v>263</v>
      </c>
      <c r="T325" s="9">
        <v>566</v>
      </c>
      <c r="U325" s="7" t="s">
        <v>51</v>
      </c>
      <c r="V325" s="6" t="s">
        <v>56</v>
      </c>
      <c r="W325" s="3" t="s">
        <v>158</v>
      </c>
      <c r="X325" s="3" t="s">
        <v>160</v>
      </c>
      <c r="Y325" s="3" t="s">
        <v>1442</v>
      </c>
      <c r="Z325" s="8" t="str">
        <f>HYPERLINK("http://covenantuniversity.edu.ng/","http://covenantuniversity.edu.ng/")</f>
        <v>http://covenantuniversity.edu.ng/</v>
      </c>
      <c r="AA325" s="8" t="str">
        <f>HYPERLINK("http://eprints.covenantuniversity.edu.ng/policies.html#.U31IKq1dWwE","http://eprints.covenantuniversity.edu.ng/policies.html#.U31IKq1dWwE")</f>
        <v>http://eprints.covenantuniversity.edu.ng/policies.html#.U31IKq1dWwE</v>
      </c>
      <c r="AB325" s="8" t="str">
        <f>HYPERLINK("http://eprints.covenantuniversity.edu.ng/","http://eprints.covenantuniversity.edu.ng/")</f>
        <v>http://eprints.covenantuniversity.edu.ng/</v>
      </c>
      <c r="AC325" s="3">
        <v>40567</v>
      </c>
      <c r="AD325" s="3">
        <v>40567</v>
      </c>
      <c r="AF325" s="3" t="s">
        <v>244</v>
      </c>
      <c r="AG325" s="3" t="s">
        <v>178</v>
      </c>
      <c r="AH325" s="3" t="s">
        <v>180</v>
      </c>
      <c r="AI325" s="3" t="s">
        <v>244</v>
      </c>
      <c r="AJ325" s="3" t="s">
        <v>182</v>
      </c>
      <c r="AK325" s="3" t="s">
        <v>244</v>
      </c>
      <c r="AL325" s="3" t="s">
        <v>244</v>
      </c>
      <c r="AM325" s="3" t="s">
        <v>178</v>
      </c>
      <c r="AN325" s="3" t="s">
        <v>244</v>
      </c>
      <c r="AO325" s="3" t="s">
        <v>181</v>
      </c>
      <c r="AP325" s="3" t="s">
        <v>244</v>
      </c>
      <c r="AQ325" s="3" t="s">
        <v>386</v>
      </c>
      <c r="AR325" s="3" t="s">
        <v>288</v>
      </c>
      <c r="AS325" s="3" t="s">
        <v>288</v>
      </c>
      <c r="AT325" s="3" t="s">
        <v>244</v>
      </c>
      <c r="AU325" s="3" t="s">
        <v>244</v>
      </c>
      <c r="AV325" s="3" t="s">
        <v>288</v>
      </c>
      <c r="AW325" s="3" t="s">
        <v>339</v>
      </c>
      <c r="AX325" s="3" t="s">
        <v>244</v>
      </c>
      <c r="AY325" s="3" t="s">
        <v>247</v>
      </c>
    </row>
    <row r="326" spans="1:52" ht="15.75" customHeight="1">
      <c r="A326" s="3">
        <v>248</v>
      </c>
      <c r="B326" s="5" t="str">
        <f t="shared" si="0"/>
        <v>http://roarmap.eprints.org/248/</v>
      </c>
      <c r="C326" s="3">
        <v>3</v>
      </c>
      <c r="D326" s="3" t="s">
        <v>98</v>
      </c>
      <c r="E326" s="3">
        <v>1</v>
      </c>
      <c r="F326" s="3" t="s">
        <v>1444</v>
      </c>
      <c r="G326" s="3">
        <v>41988.923564814817</v>
      </c>
      <c r="H326" s="3">
        <v>41988.923564814817</v>
      </c>
      <c r="I326" s="3">
        <v>41988.923564814817</v>
      </c>
      <c r="J326" s="3" t="s">
        <v>103</v>
      </c>
      <c r="K326" s="3" t="s">
        <v>105</v>
      </c>
      <c r="L326" s="3" t="s">
        <v>1445</v>
      </c>
      <c r="M326" s="3" t="s">
        <v>374</v>
      </c>
      <c r="O326" s="3" t="s">
        <v>1446</v>
      </c>
      <c r="P326" s="3" t="s">
        <v>215</v>
      </c>
      <c r="Q326" t="str">
        <f t="shared" si="24"/>
        <v>http://roarmap.eprints.org/view/country/578.html</v>
      </c>
      <c r="R326" s="3">
        <v>578</v>
      </c>
      <c r="S326" s="6" t="s">
        <v>266</v>
      </c>
      <c r="T326" s="9">
        <v>578</v>
      </c>
      <c r="U326" s="7" t="s">
        <v>123</v>
      </c>
      <c r="V326" s="6" t="s">
        <v>125</v>
      </c>
      <c r="W326" s="3" t="s">
        <v>158</v>
      </c>
      <c r="X326" s="3" t="s">
        <v>160</v>
      </c>
      <c r="Y326" s="3" t="s">
        <v>1445</v>
      </c>
      <c r="Z326" s="8" t="str">
        <f>HYPERLINK("http://www.kunnskapssenteret.no/","http://www.kunnskapssenteret.no/")</f>
        <v>http://www.kunnskapssenteret.no/</v>
      </c>
      <c r="AA326" s="8" t="str">
        <f>HYPERLINK("http://hera.openrepository.com/hera/bitstream/10143/41633/7/OApolicy_NOKC_251108.pdf","http://hera.openrepository.com/hera/bitstream/10143/41633/7/OApolicy_NOKC_251108.pdf")</f>
        <v>http://hera.openrepository.com/hera/bitstream/10143/41633/7/OApolicy_NOKC_251108.pdf</v>
      </c>
      <c r="AB326" s="8" t="str">
        <f>HYPERLINK("http://hera.helsebiblioteket.no/","http://hera.helsebiblioteket.no/")</f>
        <v>http://hera.helsebiblioteket.no/</v>
      </c>
      <c r="AE326" s="3">
        <v>39777</v>
      </c>
      <c r="AF326" s="3" t="s">
        <v>244</v>
      </c>
      <c r="AG326" s="3" t="s">
        <v>178</v>
      </c>
      <c r="AH326" s="3" t="s">
        <v>180</v>
      </c>
      <c r="AI326" s="3" t="s">
        <v>377</v>
      </c>
      <c r="AJ326" s="3" t="s">
        <v>182</v>
      </c>
      <c r="AK326" s="3" t="s">
        <v>393</v>
      </c>
      <c r="AL326" s="3" t="s">
        <v>244</v>
      </c>
      <c r="AM326" s="3" t="s">
        <v>247</v>
      </c>
      <c r="AN326" s="3" t="s">
        <v>244</v>
      </c>
      <c r="AO326" s="3" t="s">
        <v>378</v>
      </c>
      <c r="AP326" s="3" t="s">
        <v>244</v>
      </c>
      <c r="AQ326" s="3" t="s">
        <v>394</v>
      </c>
      <c r="AR326" s="3" t="s">
        <v>288</v>
      </c>
      <c r="AS326" s="3" t="s">
        <v>288</v>
      </c>
      <c r="AT326" s="3" t="s">
        <v>244</v>
      </c>
      <c r="AU326" s="3" t="s">
        <v>244</v>
      </c>
      <c r="AV326" s="3" t="s">
        <v>288</v>
      </c>
      <c r="AW326" s="3" t="s">
        <v>195</v>
      </c>
      <c r="AX326" s="3" t="s">
        <v>442</v>
      </c>
      <c r="AY326" s="3" t="s">
        <v>247</v>
      </c>
    </row>
    <row r="327" spans="1:52" ht="15.75" customHeight="1">
      <c r="A327" s="3">
        <v>249</v>
      </c>
      <c r="B327" s="5" t="str">
        <f t="shared" si="0"/>
        <v>http://roarmap.eprints.org/249/</v>
      </c>
      <c r="C327" s="3">
        <v>3</v>
      </c>
      <c r="D327" s="3" t="s">
        <v>98</v>
      </c>
      <c r="E327" s="3">
        <v>1</v>
      </c>
      <c r="F327" s="3" t="s">
        <v>1447</v>
      </c>
      <c r="G327" s="3">
        <v>41988.923564814817</v>
      </c>
      <c r="H327" s="3">
        <v>41988.923564814817</v>
      </c>
      <c r="I327" s="3">
        <v>41988.923564814817</v>
      </c>
      <c r="J327" s="3" t="s">
        <v>103</v>
      </c>
      <c r="K327" s="3" t="s">
        <v>105</v>
      </c>
      <c r="L327" s="3" t="s">
        <v>1448</v>
      </c>
      <c r="M327" s="3" t="s">
        <v>469</v>
      </c>
      <c r="N327" s="3" t="s">
        <v>1449</v>
      </c>
      <c r="P327" s="3" t="s">
        <v>215</v>
      </c>
      <c r="Q327" t="str">
        <f t="shared" si="24"/>
        <v>http://roarmap.eprints.org/view/country/578.html</v>
      </c>
      <c r="R327" s="3">
        <v>578</v>
      </c>
      <c r="S327" s="6" t="s">
        <v>266</v>
      </c>
      <c r="T327" s="9">
        <v>578</v>
      </c>
      <c r="U327" s="7" t="s">
        <v>123</v>
      </c>
      <c r="V327" s="6" t="s">
        <v>125</v>
      </c>
      <c r="W327" s="3" t="s">
        <v>158</v>
      </c>
      <c r="X327" s="3" t="s">
        <v>376</v>
      </c>
      <c r="Y327" s="3" t="s">
        <v>1448</v>
      </c>
      <c r="Z327" s="8" t="str">
        <f>HYPERLINK("http://www.regjeringen.no/nb.html?id=4","http://www.regjeringen.no/nb.html?id=4")</f>
        <v>http://www.regjeringen.no/nb.html?id=4</v>
      </c>
      <c r="AA327" s="8" t="str">
        <f>HYPERLINK("http://www.uhr.no/documents/fra_KD_om_OA.pdf","http://www.uhr.no/documents/fra_KD_om_OA.pdf")</f>
        <v>http://www.uhr.no/documents/fra_KD_om_OA.pdf</v>
      </c>
      <c r="AB327" s="8" t="str">
        <f>HYPERLINK("http://utdanning.no/","http://utdanning.no/")</f>
        <v>http://utdanning.no/</v>
      </c>
      <c r="AF327" s="3" t="s">
        <v>244</v>
      </c>
      <c r="AG327" s="3" t="s">
        <v>178</v>
      </c>
      <c r="AH327" s="3" t="s">
        <v>180</v>
      </c>
      <c r="AI327" s="3" t="s">
        <v>244</v>
      </c>
      <c r="AJ327" s="3" t="s">
        <v>244</v>
      </c>
      <c r="AK327" s="3" t="s">
        <v>244</v>
      </c>
      <c r="AL327" s="3" t="s">
        <v>244</v>
      </c>
      <c r="AM327" s="3" t="s">
        <v>247</v>
      </c>
      <c r="AN327" s="3" t="s">
        <v>244</v>
      </c>
      <c r="AO327" s="3" t="s">
        <v>247</v>
      </c>
      <c r="AP327" s="3" t="s">
        <v>244</v>
      </c>
      <c r="AQ327" s="3" t="s">
        <v>247</v>
      </c>
      <c r="AR327" s="3" t="s">
        <v>288</v>
      </c>
      <c r="AS327" s="3" t="s">
        <v>288</v>
      </c>
      <c r="AT327" s="3" t="s">
        <v>244</v>
      </c>
      <c r="AU327" s="3" t="s">
        <v>244</v>
      </c>
      <c r="AV327" s="3" t="s">
        <v>288</v>
      </c>
      <c r="AW327" s="3" t="s">
        <v>195</v>
      </c>
      <c r="AX327" s="3" t="s">
        <v>244</v>
      </c>
      <c r="AY327" s="3" t="s">
        <v>247</v>
      </c>
    </row>
    <row r="328" spans="1:52" ht="15.75" customHeight="1">
      <c r="A328" s="3">
        <v>250</v>
      </c>
      <c r="B328" s="5" t="str">
        <f t="shared" si="0"/>
        <v>http://roarmap.eprints.org/250/</v>
      </c>
      <c r="C328" s="3">
        <v>4</v>
      </c>
      <c r="D328" s="3" t="s">
        <v>98</v>
      </c>
      <c r="E328" s="3">
        <v>1</v>
      </c>
      <c r="F328" s="3" t="s">
        <v>1450</v>
      </c>
      <c r="G328" s="3">
        <v>41988.923564814817</v>
      </c>
      <c r="H328" s="3">
        <v>42030.685358796298</v>
      </c>
      <c r="I328" s="3">
        <v>41988.923564814817</v>
      </c>
      <c r="J328" s="3" t="s">
        <v>103</v>
      </c>
      <c r="K328" s="3" t="s">
        <v>105</v>
      </c>
      <c r="L328" s="3" t="s">
        <v>1451</v>
      </c>
      <c r="M328" s="3" t="s">
        <v>374</v>
      </c>
      <c r="N328" s="3" t="s">
        <v>1452</v>
      </c>
      <c r="P328" s="3" t="s">
        <v>215</v>
      </c>
      <c r="Q328" t="str">
        <f t="shared" si="24"/>
        <v>http://roarmap.eprints.org/view/country/578.html</v>
      </c>
      <c r="R328" s="3">
        <v>578</v>
      </c>
      <c r="S328" s="6" t="s">
        <v>266</v>
      </c>
      <c r="T328" s="9">
        <v>578</v>
      </c>
      <c r="U328" s="7" t="s">
        <v>123</v>
      </c>
      <c r="V328" s="6" t="s">
        <v>125</v>
      </c>
      <c r="W328" s="3" t="s">
        <v>158</v>
      </c>
      <c r="X328" s="3" t="s">
        <v>376</v>
      </c>
      <c r="Y328" s="3" t="s">
        <v>1451</v>
      </c>
      <c r="Z328" s="8" t="str">
        <f>HYPERLINK("http://www.forskningsradet.no/no/Forsiden/1173185591033","http://www.forskningsradet.no/no/Forsiden/1173185591033")</f>
        <v>http://www.forskningsradet.no/no/Forsiden/1173185591033</v>
      </c>
      <c r="AA328" s="8" t="str">
        <f>HYPERLINK("http://www.forskningsradet.no/en/Article/The_Research_Councils_Principles_for_Open_Access_to_Scientific_Publications/1240958527698?lang=en","http://www.forskningsradet.no/en/Article/The_Research_Councils_Principles_for_Open_Access_to_Scientific_Publications/1240958527698?lang=en")</f>
        <v>http://www.forskningsradet.no/en/Article/The_Research_Councils_Principles_for_Open_Access_to_Scientific_Publications/1240958527698?lang=en</v>
      </c>
      <c r="AB328" s="8" t="str">
        <f>HYPERLINK("http://opendepot.org","http://opendepot.org")</f>
        <v>http://opendepot.org</v>
      </c>
      <c r="AC328" s="3">
        <v>39933</v>
      </c>
      <c r="AE328" s="3">
        <v>41814</v>
      </c>
      <c r="AF328" s="3" t="s">
        <v>177</v>
      </c>
      <c r="AG328" s="3" t="s">
        <v>333</v>
      </c>
      <c r="AH328" s="3" t="s">
        <v>370</v>
      </c>
      <c r="AI328" s="3" t="s">
        <v>244</v>
      </c>
      <c r="AJ328" s="3" t="s">
        <v>182</v>
      </c>
      <c r="AK328" s="3" t="s">
        <v>393</v>
      </c>
      <c r="AL328" s="3" t="s">
        <v>189</v>
      </c>
      <c r="AM328" s="3" t="s">
        <v>479</v>
      </c>
      <c r="AN328" s="3" t="s">
        <v>189</v>
      </c>
      <c r="AO328" s="3" t="s">
        <v>247</v>
      </c>
      <c r="AP328" s="3" t="s">
        <v>244</v>
      </c>
      <c r="AQ328" s="3" t="s">
        <v>247</v>
      </c>
      <c r="AR328" s="3" t="s">
        <v>288</v>
      </c>
      <c r="AS328" s="3" t="s">
        <v>288</v>
      </c>
      <c r="AT328" s="3" t="s">
        <v>244</v>
      </c>
      <c r="AU328" s="3" t="s">
        <v>244</v>
      </c>
      <c r="AV328" s="3" t="s">
        <v>288</v>
      </c>
      <c r="AW328" s="3" t="s">
        <v>244</v>
      </c>
      <c r="AX328" s="3" t="s">
        <v>371</v>
      </c>
      <c r="AY328" s="3" t="s">
        <v>247</v>
      </c>
    </row>
    <row r="329" spans="1:52" ht="15.75" customHeight="1">
      <c r="A329" s="3">
        <v>251</v>
      </c>
      <c r="B329" s="5" t="str">
        <f t="shared" si="0"/>
        <v>http://roarmap.eprints.org/251/</v>
      </c>
      <c r="C329" s="3">
        <v>4</v>
      </c>
      <c r="D329" s="3" t="s">
        <v>98</v>
      </c>
      <c r="E329" s="3">
        <v>1</v>
      </c>
      <c r="F329" s="3" t="s">
        <v>1453</v>
      </c>
      <c r="G329" s="3">
        <v>41988.923576388886</v>
      </c>
      <c r="H329" s="3">
        <v>42030.681527777779</v>
      </c>
      <c r="I329" s="3">
        <v>41988.923576388886</v>
      </c>
      <c r="J329" s="3" t="s">
        <v>103</v>
      </c>
      <c r="K329" s="3" t="s">
        <v>105</v>
      </c>
      <c r="L329" s="3" t="s">
        <v>1454</v>
      </c>
      <c r="M329" s="3" t="s">
        <v>374</v>
      </c>
      <c r="P329" s="3" t="s">
        <v>1455</v>
      </c>
      <c r="Q329" t="str">
        <f t="shared" si="24"/>
        <v>http://roarmap.eprints.org/view/country/578.html</v>
      </c>
      <c r="R329" s="3">
        <v>578</v>
      </c>
      <c r="S329" s="6" t="s">
        <v>266</v>
      </c>
      <c r="T329" s="9">
        <v>578</v>
      </c>
      <c r="U329" s="7" t="s">
        <v>123</v>
      </c>
      <c r="V329" s="6" t="s">
        <v>125</v>
      </c>
      <c r="W329" s="3" t="s">
        <v>158</v>
      </c>
      <c r="X329" s="3" t="s">
        <v>160</v>
      </c>
      <c r="Y329" s="3" t="s">
        <v>1454</v>
      </c>
      <c r="Z329" s="8" t="str">
        <f>HYPERLINK("http://www.hioa.no/eng/","http://www.hioa.no/eng/")</f>
        <v>http://www.hioa.no/eng/</v>
      </c>
      <c r="AA329" s="8" t="str">
        <f>HYPERLINK("http://www.hioa.no/LSB/Synliggjoer-din-forskning/Open-Access/Open-Access-Policy-ved-HiOA","http://www.hioa.no/LSB/Synliggjoer-din-forskning/Open-Access/Open-Access-Policy-ved-HiOA")</f>
        <v>http://www.hioa.no/LSB/Synliggjoer-din-forskning/Open-Access/Open-Access-Policy-ved-HiOA</v>
      </c>
      <c r="AB329" s="8" t="str">
        <f>HYPERLINK("https://oda.hio.no/jspui/","https://oda.hio.no/jspui/")</f>
        <v>https://oda.hio.no/jspui/</v>
      </c>
      <c r="AC329" s="3">
        <v>2011</v>
      </c>
      <c r="AD329" s="3">
        <v>40452</v>
      </c>
      <c r="AF329" s="3" t="s">
        <v>177</v>
      </c>
      <c r="AG329" s="3" t="s">
        <v>333</v>
      </c>
      <c r="AH329" s="3" t="s">
        <v>180</v>
      </c>
      <c r="AI329" s="3" t="s">
        <v>392</v>
      </c>
      <c r="AJ329" s="3" t="s">
        <v>244</v>
      </c>
      <c r="AK329" s="3" t="s">
        <v>393</v>
      </c>
      <c r="AL329" s="3" t="s">
        <v>244</v>
      </c>
      <c r="AM329" s="3" t="s">
        <v>247</v>
      </c>
      <c r="AN329" s="3" t="s">
        <v>244</v>
      </c>
      <c r="AO329" s="3" t="s">
        <v>247</v>
      </c>
      <c r="AP329" s="3" t="s">
        <v>244</v>
      </c>
      <c r="AQ329" s="3" t="s">
        <v>247</v>
      </c>
      <c r="AR329" s="3" t="s">
        <v>288</v>
      </c>
      <c r="AS329" s="3" t="s">
        <v>288</v>
      </c>
      <c r="AT329" s="3" t="s">
        <v>244</v>
      </c>
      <c r="AU329" s="3" t="s">
        <v>244</v>
      </c>
      <c r="AV329" s="3" t="s">
        <v>288</v>
      </c>
      <c r="AW329" s="3" t="s">
        <v>339</v>
      </c>
      <c r="AX329" s="3" t="s">
        <v>244</v>
      </c>
      <c r="AY329" s="3" t="s">
        <v>247</v>
      </c>
    </row>
    <row r="330" spans="1:52" ht="15.75" customHeight="1">
      <c r="A330" s="3">
        <v>731</v>
      </c>
      <c r="B330" s="5" t="str">
        <f t="shared" si="0"/>
        <v>http://roarmap.eprints.org/731/</v>
      </c>
      <c r="C330" s="3">
        <v>5</v>
      </c>
      <c r="D330" s="3" t="s">
        <v>98</v>
      </c>
      <c r="E330" s="3">
        <v>555</v>
      </c>
      <c r="F330" s="3" t="s">
        <v>1456</v>
      </c>
      <c r="G330" s="3">
        <v>42108.571932870371</v>
      </c>
      <c r="H330" s="3">
        <v>42108.571932870371</v>
      </c>
      <c r="I330" s="3">
        <v>42108.571932870371</v>
      </c>
      <c r="J330" s="3" t="s">
        <v>103</v>
      </c>
      <c r="K330" s="3" t="s">
        <v>105</v>
      </c>
      <c r="L330" s="3" t="s">
        <v>1457</v>
      </c>
      <c r="N330" s="3" t="s">
        <v>1458</v>
      </c>
      <c r="Q330" t="str">
        <f t="shared" si="24"/>
        <v>http://roarmap.eprints.org/view/country/578.html</v>
      </c>
      <c r="R330" s="3">
        <v>578</v>
      </c>
      <c r="S330" s="6" t="s">
        <v>266</v>
      </c>
      <c r="T330" s="9">
        <v>578</v>
      </c>
      <c r="U330" s="7" t="s">
        <v>123</v>
      </c>
      <c r="V330" s="6" t="s">
        <v>125</v>
      </c>
      <c r="W330" s="3" t="s">
        <v>158</v>
      </c>
      <c r="X330" s="3" t="s">
        <v>160</v>
      </c>
      <c r="Y330" s="3" t="s">
        <v>1457</v>
      </c>
      <c r="Z330" s="8" t="str">
        <f>HYPERLINK("http://www.uia.no/en","http://www.uia.no/en")</f>
        <v>http://www.uia.no/en</v>
      </c>
      <c r="AA330" s="8" t="str">
        <f>HYPERLINK("http://old.uia.no/no/content/download/51170/722280/file/SFU0608-vedlegg1-ferdig.pdf","http://old.uia.no/no/content/download/51170/722280/file/SFU0608-vedlegg1-ferdig.pdf")</f>
        <v>http://old.uia.no/no/content/download/51170/722280/file/SFU0608-vedlegg1-ferdig.pdf</v>
      </c>
      <c r="AB330" s="8" t="str">
        <f>HYPERLINK("http://www.uia.no/aura","http://www.uia.no/aura")</f>
        <v>http://www.uia.no/aura</v>
      </c>
      <c r="AC330" s="3">
        <v>39448</v>
      </c>
      <c r="AD330" s="3">
        <v>39448</v>
      </c>
      <c r="AF330" s="3" t="s">
        <v>177</v>
      </c>
      <c r="AG330" s="3" t="s">
        <v>333</v>
      </c>
      <c r="AH330" s="3" t="s">
        <v>180</v>
      </c>
      <c r="AI330" s="3" t="s">
        <v>244</v>
      </c>
      <c r="AJ330" s="3" t="s">
        <v>182</v>
      </c>
      <c r="AK330" s="3" t="s">
        <v>393</v>
      </c>
      <c r="AL330" s="3" t="s">
        <v>189</v>
      </c>
      <c r="AM330" s="3" t="s">
        <v>178</v>
      </c>
      <c r="AN330" s="3" t="s">
        <v>185</v>
      </c>
      <c r="AO330" s="3" t="s">
        <v>181</v>
      </c>
      <c r="AP330" s="3" t="s">
        <v>185</v>
      </c>
      <c r="AQ330" s="3" t="s">
        <v>648</v>
      </c>
      <c r="AR330" s="3" t="s">
        <v>244</v>
      </c>
      <c r="AS330" s="3" t="s">
        <v>244</v>
      </c>
      <c r="AT330" s="3" t="s">
        <v>244</v>
      </c>
      <c r="AU330" s="3" t="s">
        <v>244</v>
      </c>
      <c r="AV330" s="3" t="s">
        <v>244</v>
      </c>
      <c r="AW330" s="3" t="s">
        <v>244</v>
      </c>
      <c r="AX330" s="3" t="s">
        <v>442</v>
      </c>
      <c r="AY330" s="3" t="s">
        <v>428</v>
      </c>
      <c r="AZ330" s="8" t="str">
        <f>HYPERLINK("http://www.uia.no/en/library/lenkeblokksamling/forskning-og-publisering/open-access-publishing","http://www.uia.no/en/library/lenkeblokksamling/forskning-og-publisering/open-access-publishing")</f>
        <v>http://www.uia.no/en/library/lenkeblokksamling/forskning-og-publisering/open-access-publishing</v>
      </c>
    </row>
    <row r="331" spans="1:52" ht="15.75" customHeight="1">
      <c r="A331" s="3">
        <v>253</v>
      </c>
      <c r="B331" s="5" t="str">
        <f t="shared" si="0"/>
        <v>http://roarmap.eprints.org/253/</v>
      </c>
      <c r="C331" s="3">
        <v>5</v>
      </c>
      <c r="D331" s="3" t="s">
        <v>98</v>
      </c>
      <c r="E331" s="3">
        <v>1</v>
      </c>
      <c r="F331" s="3" t="s">
        <v>1459</v>
      </c>
      <c r="G331" s="3">
        <v>41988.923576388886</v>
      </c>
      <c r="H331" s="3">
        <v>41988.923576388886</v>
      </c>
      <c r="I331" s="3">
        <v>41988.923576388886</v>
      </c>
      <c r="J331" s="3" t="s">
        <v>103</v>
      </c>
      <c r="K331" s="3" t="s">
        <v>105</v>
      </c>
      <c r="L331" s="3" t="s">
        <v>1460</v>
      </c>
      <c r="M331" s="3" t="s">
        <v>374</v>
      </c>
      <c r="N331" s="3" t="s">
        <v>1461</v>
      </c>
      <c r="O331" s="3" t="s">
        <v>1462</v>
      </c>
      <c r="P331" s="3" t="s">
        <v>215</v>
      </c>
      <c r="Q331" t="str">
        <f t="shared" si="24"/>
        <v>http://roarmap.eprints.org/view/country/578.html</v>
      </c>
      <c r="R331" s="3">
        <v>578</v>
      </c>
      <c r="S331" s="6" t="s">
        <v>266</v>
      </c>
      <c r="T331" s="9">
        <v>578</v>
      </c>
      <c r="U331" s="7" t="s">
        <v>123</v>
      </c>
      <c r="V331" s="6" t="s">
        <v>125</v>
      </c>
      <c r="W331" s="3" t="s">
        <v>158</v>
      </c>
      <c r="X331" s="3" t="s">
        <v>160</v>
      </c>
      <c r="Y331" s="3" t="s">
        <v>1460</v>
      </c>
      <c r="Z331" s="8" t="str">
        <f>HYPERLINK("http://www.uib.no/en","http://www.uib.no/en")</f>
        <v>http://www.uib.no/en</v>
      </c>
      <c r="AA331" s="8" t="str">
        <f>HYPERLINK("http://www.uib.no/filearchive/2012-088.pdf","http://www.uib.no/filearchive/2012-088.pdf")</f>
        <v>http://www.uib.no/filearchive/2012-088.pdf</v>
      </c>
      <c r="AB331" s="8" t="str">
        <f>HYPERLINK("https://bora.uib.no/","https://bora.uib.no/")</f>
        <v>https://bora.uib.no/</v>
      </c>
      <c r="AC331" s="3">
        <v>41228</v>
      </c>
      <c r="AF331" s="3" t="s">
        <v>177</v>
      </c>
      <c r="AG331" s="3" t="s">
        <v>333</v>
      </c>
      <c r="AH331" s="3" t="s">
        <v>370</v>
      </c>
      <c r="AI331" s="3" t="s">
        <v>244</v>
      </c>
      <c r="AJ331" s="3" t="s">
        <v>182</v>
      </c>
      <c r="AK331" s="3" t="s">
        <v>393</v>
      </c>
      <c r="AL331" s="3" t="s">
        <v>288</v>
      </c>
      <c r="AM331" s="3" t="s">
        <v>479</v>
      </c>
      <c r="AN331" s="3" t="s">
        <v>244</v>
      </c>
      <c r="AO331" s="3" t="s">
        <v>247</v>
      </c>
      <c r="AP331" s="3" t="s">
        <v>244</v>
      </c>
      <c r="AQ331" s="3" t="s">
        <v>247</v>
      </c>
      <c r="AR331" s="3" t="s">
        <v>288</v>
      </c>
      <c r="AS331" s="3" t="s">
        <v>288</v>
      </c>
      <c r="AT331" s="3" t="s">
        <v>244</v>
      </c>
      <c r="AU331" s="3" t="s">
        <v>244</v>
      </c>
      <c r="AV331" s="3" t="s">
        <v>288</v>
      </c>
      <c r="AW331" s="3" t="s">
        <v>339</v>
      </c>
      <c r="AX331" s="3" t="s">
        <v>341</v>
      </c>
      <c r="AY331" s="3" t="s">
        <v>428</v>
      </c>
      <c r="AZ331" s="8" t="str">
        <f>HYPERLINK("http://www.uib.no/en/ub/79537/budget-posting-open-publication-university-bergen","http://www.uib.no/en/ub/79537/budget-posting-open-publication-university-bergen")</f>
        <v>http://www.uib.no/en/ub/79537/budget-posting-open-publication-university-bergen</v>
      </c>
    </row>
    <row r="332" spans="1:52" ht="15.75" customHeight="1">
      <c r="A332" s="3">
        <v>254</v>
      </c>
      <c r="B332" s="5" t="str">
        <f t="shared" si="0"/>
        <v>http://roarmap.eprints.org/254/</v>
      </c>
      <c r="C332" s="3">
        <v>3</v>
      </c>
      <c r="D332" s="3" t="s">
        <v>98</v>
      </c>
      <c r="E332" s="3">
        <v>1</v>
      </c>
      <c r="F332" s="3" t="s">
        <v>1463</v>
      </c>
      <c r="G332" s="3">
        <v>41988.923576388886</v>
      </c>
      <c r="H332" s="3">
        <v>41988.923576388886</v>
      </c>
      <c r="I332" s="3">
        <v>41988.923576388886</v>
      </c>
      <c r="J332" s="3" t="s">
        <v>103</v>
      </c>
      <c r="K332" s="3" t="s">
        <v>105</v>
      </c>
      <c r="L332" s="3" t="s">
        <v>1464</v>
      </c>
      <c r="M332" s="3" t="s">
        <v>374</v>
      </c>
      <c r="N332" s="3" t="s">
        <v>1465</v>
      </c>
      <c r="O332" s="3" t="s">
        <v>1466</v>
      </c>
      <c r="P332" s="3" t="s">
        <v>215</v>
      </c>
      <c r="Q332" t="str">
        <f t="shared" si="24"/>
        <v>http://roarmap.eprints.org/view/country/578.html</v>
      </c>
      <c r="R332" s="3">
        <v>578</v>
      </c>
      <c r="S332" s="6" t="s">
        <v>266</v>
      </c>
      <c r="T332" s="9">
        <v>578</v>
      </c>
      <c r="U332" s="7" t="s">
        <v>123</v>
      </c>
      <c r="V332" s="6" t="s">
        <v>125</v>
      </c>
      <c r="W332" s="3" t="s">
        <v>158</v>
      </c>
      <c r="X332" s="3" t="s">
        <v>160</v>
      </c>
      <c r="Y332" s="3" t="s">
        <v>1464</v>
      </c>
      <c r="Z332" s="8" t="str">
        <f>HYPERLINK("http://www.uio.no/english/","http://www.uio.no/english/")</f>
        <v>http://www.uio.no/english/</v>
      </c>
      <c r="AA332" s="8" t="str">
        <f>HYPERLINK("http://roarmap.eprints.org/574/1/5334-15147-1-SM.pdf","http://roarmap.eprints.org/574/1/5334-15147-1-SM.pdf")</f>
        <v>http://roarmap.eprints.org/574/1/5334-15147-1-SM.pdf</v>
      </c>
      <c r="AB332" s="3" t="s">
        <v>1467</v>
      </c>
      <c r="AC332" s="3">
        <v>40888</v>
      </c>
      <c r="AD332" s="3">
        <v>40909</v>
      </c>
      <c r="AF332" s="3" t="s">
        <v>478</v>
      </c>
      <c r="AG332" s="3" t="s">
        <v>333</v>
      </c>
      <c r="AH332" s="3" t="s">
        <v>180</v>
      </c>
      <c r="AI332" s="3" t="s">
        <v>244</v>
      </c>
      <c r="AJ332" s="3" t="s">
        <v>182</v>
      </c>
      <c r="AK332" s="3" t="s">
        <v>371</v>
      </c>
      <c r="AL332" s="3" t="s">
        <v>288</v>
      </c>
      <c r="AM332" s="3" t="s">
        <v>479</v>
      </c>
      <c r="AN332" s="3" t="s">
        <v>244</v>
      </c>
      <c r="AO332" s="3" t="s">
        <v>247</v>
      </c>
      <c r="AP332" s="3" t="s">
        <v>244</v>
      </c>
      <c r="AQ332" s="3" t="s">
        <v>394</v>
      </c>
      <c r="AR332" s="3" t="s">
        <v>288</v>
      </c>
      <c r="AS332" s="3" t="s">
        <v>189</v>
      </c>
      <c r="AT332" s="3" t="s">
        <v>244</v>
      </c>
      <c r="AU332" s="3" t="s">
        <v>244</v>
      </c>
      <c r="AV332" s="3" t="s">
        <v>288</v>
      </c>
      <c r="AW332" s="3" t="s">
        <v>195</v>
      </c>
      <c r="AX332" s="3" t="s">
        <v>341</v>
      </c>
      <c r="AY332" s="3" t="s">
        <v>428</v>
      </c>
      <c r="AZ332" s="8" t="str">
        <f>HYPERLINK("http://www.ub.uio.no/publisere/forskere/publiseringsfond/index.html","http://www.ub.uio.no/publisere/forskere/publiseringsfond/index.html")</f>
        <v>http://www.ub.uio.no/publisere/forskere/publiseringsfond/index.html</v>
      </c>
    </row>
    <row r="333" spans="1:52" ht="15.75" customHeight="1">
      <c r="A333" s="3">
        <v>255</v>
      </c>
      <c r="B333" s="5" t="str">
        <f t="shared" si="0"/>
        <v>http://roarmap.eprints.org/255/</v>
      </c>
      <c r="C333" s="3">
        <v>3</v>
      </c>
      <c r="D333" s="3" t="s">
        <v>98</v>
      </c>
      <c r="E333" s="3">
        <v>1</v>
      </c>
      <c r="F333" s="3" t="s">
        <v>1468</v>
      </c>
      <c r="G333" s="3">
        <v>41988.923587962963</v>
      </c>
      <c r="H333" s="3">
        <v>41988.923587962963</v>
      </c>
      <c r="I333" s="3">
        <v>41988.923587962963</v>
      </c>
      <c r="J333" s="3" t="s">
        <v>103</v>
      </c>
      <c r="K333" s="3" t="s">
        <v>105</v>
      </c>
      <c r="L333" s="3" t="s">
        <v>1469</v>
      </c>
      <c r="M333" s="3" t="s">
        <v>532</v>
      </c>
      <c r="P333" s="3" t="s">
        <v>1455</v>
      </c>
      <c r="Q333" t="str">
        <f t="shared" si="24"/>
        <v>http://roarmap.eprints.org/view/country/578.html</v>
      </c>
      <c r="R333" s="3">
        <v>578</v>
      </c>
      <c r="S333" s="6" t="s">
        <v>266</v>
      </c>
      <c r="T333" s="9">
        <v>578</v>
      </c>
      <c r="U333" s="7" t="s">
        <v>123</v>
      </c>
      <c r="V333" s="6" t="s">
        <v>125</v>
      </c>
      <c r="W333" s="3" t="s">
        <v>158</v>
      </c>
      <c r="X333" s="3" t="s">
        <v>160</v>
      </c>
      <c r="Y333" s="3" t="s">
        <v>1469</v>
      </c>
      <c r="Z333" s="8" t="str">
        <f>HYPERLINK("http://www.uis.no/frontpage/","http://www.uis.no/frontpage/")</f>
        <v>http://www.uis.no/frontpage/</v>
      </c>
      <c r="AA333" s="8" t="str">
        <f>HYPERLINK("https://www.uis.no/bibliotek/forskningshjelp/open-access/hva-er-open-access/?s=11383","https://www.uis.no/bibliotek/forskningshjelp/open-access/hva-er-open-access/?s=11383")</f>
        <v>https://www.uis.no/bibliotek/forskningshjelp/open-access/hva-er-open-access/?s=11383</v>
      </c>
      <c r="AB333" s="8" t="str">
        <f>HYPERLINK("http://brage.bibsys.no/xmlui/handle/11250/92958","http://brage.bibsys.no/xmlui/handle/11250/92958")</f>
        <v>http://brage.bibsys.no/xmlui/handle/11250/92958</v>
      </c>
      <c r="AC333" s="3">
        <v>41017</v>
      </c>
      <c r="AG333" s="3" t="s">
        <v>333</v>
      </c>
      <c r="AH333" s="3" t="s">
        <v>180</v>
      </c>
      <c r="AI333" s="3" t="s">
        <v>244</v>
      </c>
      <c r="AJ333" s="3" t="s">
        <v>244</v>
      </c>
      <c r="AK333" s="3" t="s">
        <v>244</v>
      </c>
      <c r="AL333" s="3" t="s">
        <v>288</v>
      </c>
      <c r="AM333" s="3" t="s">
        <v>479</v>
      </c>
      <c r="AN333" s="3" t="s">
        <v>244</v>
      </c>
      <c r="AO333" s="3" t="s">
        <v>247</v>
      </c>
      <c r="AP333" s="3" t="s">
        <v>244</v>
      </c>
      <c r="AQ333" s="3" t="s">
        <v>247</v>
      </c>
      <c r="AR333" s="3" t="s">
        <v>288</v>
      </c>
      <c r="AS333" s="3" t="s">
        <v>244</v>
      </c>
      <c r="AT333" s="3" t="s">
        <v>244</v>
      </c>
      <c r="AU333" s="3" t="s">
        <v>244</v>
      </c>
      <c r="AV333" s="3" t="s">
        <v>288</v>
      </c>
      <c r="AW333" s="3" t="s">
        <v>244</v>
      </c>
      <c r="AX333" s="3" t="s">
        <v>244</v>
      </c>
      <c r="AY333" s="3" t="s">
        <v>247</v>
      </c>
    </row>
    <row r="334" spans="1:52" ht="15.75" customHeight="1">
      <c r="A334" s="3">
        <v>252</v>
      </c>
      <c r="B334" s="5" t="str">
        <f t="shared" si="0"/>
        <v>http://roarmap.eprints.org/252/</v>
      </c>
      <c r="C334" s="3">
        <v>5</v>
      </c>
      <c r="D334" s="3" t="s">
        <v>98</v>
      </c>
      <c r="E334" s="3">
        <v>1</v>
      </c>
      <c r="F334" s="3" t="s">
        <v>1470</v>
      </c>
      <c r="G334" s="3">
        <v>41988.923576388886</v>
      </c>
      <c r="H334" s="3">
        <v>41988.923576388886</v>
      </c>
      <c r="I334" s="3">
        <v>41988.923576388886</v>
      </c>
      <c r="J334" s="3" t="s">
        <v>103</v>
      </c>
      <c r="K334" s="3" t="s">
        <v>105</v>
      </c>
      <c r="L334" s="3" t="s">
        <v>1471</v>
      </c>
      <c r="M334" s="3" t="s">
        <v>637</v>
      </c>
      <c r="O334" s="3" t="s">
        <v>1472</v>
      </c>
      <c r="P334" s="3" t="s">
        <v>215</v>
      </c>
      <c r="Q334" t="str">
        <f t="shared" si="24"/>
        <v>http://roarmap.eprints.org/view/country/578.html</v>
      </c>
      <c r="R334" s="3">
        <v>578</v>
      </c>
      <c r="S334" s="6" t="s">
        <v>266</v>
      </c>
      <c r="T334" s="9">
        <v>578</v>
      </c>
      <c r="U334" s="7" t="s">
        <v>123</v>
      </c>
      <c r="V334" s="6" t="s">
        <v>125</v>
      </c>
      <c r="W334" s="3" t="s">
        <v>158</v>
      </c>
      <c r="X334" s="3" t="s">
        <v>160</v>
      </c>
      <c r="Y334" s="3" t="s">
        <v>1471</v>
      </c>
      <c r="Z334" s="8" t="str">
        <f>HYPERLINK("http://en.uit.no/inenglish","http://en.uit.no/inenglish")</f>
        <v>http://en.uit.no/inenglish</v>
      </c>
      <c r="AA334" s="8" t="str">
        <f>HYPERLINK("http://uit.no/Content/375533/OA%20policy%20UiT%20141010.pdf","http://uit.no/Content/375533/OA%20policy%20UiT%20141010.pdf")</f>
        <v>http://uit.no/Content/375533/OA%20policy%20UiT%20141010.pdf</v>
      </c>
      <c r="AB334" s="8" t="str">
        <f>HYPERLINK("http://munin.uit.no/","http://munin.uit.no/")</f>
        <v>http://munin.uit.no/</v>
      </c>
      <c r="AC334" s="3">
        <v>40465</v>
      </c>
      <c r="AD334" s="3">
        <v>40465</v>
      </c>
      <c r="AF334" s="3" t="s">
        <v>177</v>
      </c>
      <c r="AG334" s="3" t="s">
        <v>178</v>
      </c>
      <c r="AH334" s="3" t="s">
        <v>180</v>
      </c>
      <c r="AI334" s="3" t="s">
        <v>181</v>
      </c>
      <c r="AJ334" s="3" t="s">
        <v>182</v>
      </c>
      <c r="AK334" s="3" t="s">
        <v>393</v>
      </c>
      <c r="AL334" s="3" t="s">
        <v>189</v>
      </c>
      <c r="AM334" s="3" t="s">
        <v>178</v>
      </c>
      <c r="AN334" s="3" t="s">
        <v>185</v>
      </c>
      <c r="AO334" s="3" t="s">
        <v>181</v>
      </c>
      <c r="AP334" s="3" t="s">
        <v>185</v>
      </c>
      <c r="AQ334" s="3" t="s">
        <v>394</v>
      </c>
      <c r="AR334" s="3" t="s">
        <v>288</v>
      </c>
      <c r="AS334" s="3" t="s">
        <v>288</v>
      </c>
      <c r="AT334" s="3" t="s">
        <v>244</v>
      </c>
      <c r="AU334" s="3" t="s">
        <v>244</v>
      </c>
      <c r="AV334" s="3" t="s">
        <v>288</v>
      </c>
      <c r="AW334" s="3" t="s">
        <v>630</v>
      </c>
      <c r="AX334" s="3" t="s">
        <v>341</v>
      </c>
      <c r="AY334" s="3" t="s">
        <v>428</v>
      </c>
      <c r="AZ334" s="8" t="str">
        <f>HYPERLINK("http://uit.no/ub/publisering/art?p_document_id=225287","http://uit.no/ub/publisering/art?p_document_id=225287")</f>
        <v>http://uit.no/ub/publisering/art?p_document_id=225287</v>
      </c>
    </row>
    <row r="335" spans="1:52" ht="15.75" customHeight="1">
      <c r="A335" s="3">
        <v>710</v>
      </c>
      <c r="B335" s="5" t="str">
        <f t="shared" si="0"/>
        <v>http://roarmap.eprints.org/710/</v>
      </c>
      <c r="C335" s="3">
        <v>5</v>
      </c>
      <c r="D335" s="3" t="s">
        <v>98</v>
      </c>
      <c r="E335" s="3">
        <v>447</v>
      </c>
      <c r="F335" s="3" t="s">
        <v>1473</v>
      </c>
      <c r="G335" s="3">
        <v>42086.923437500001</v>
      </c>
      <c r="H335" s="3">
        <v>42086.923437500001</v>
      </c>
      <c r="I335" s="3">
        <v>42086.923437500001</v>
      </c>
      <c r="J335" s="3" t="s">
        <v>103</v>
      </c>
      <c r="K335" s="3" t="s">
        <v>105</v>
      </c>
      <c r="L335" s="3" t="s">
        <v>1474</v>
      </c>
      <c r="Q335" t="str">
        <f t="shared" si="24"/>
        <v>http://roarmap.eprints.org/view/country/586.html</v>
      </c>
      <c r="R335" s="3">
        <v>586</v>
      </c>
      <c r="S335" s="6" t="s">
        <v>271</v>
      </c>
      <c r="T335" s="9">
        <v>586</v>
      </c>
      <c r="U335" s="7" t="s">
        <v>118</v>
      </c>
      <c r="V335" s="6" t="s">
        <v>73</v>
      </c>
      <c r="W335" s="3" t="s">
        <v>158</v>
      </c>
      <c r="X335" s="3" t="s">
        <v>160</v>
      </c>
      <c r="Y335" s="3" t="s">
        <v>1474</v>
      </c>
      <c r="Z335" s="8" t="str">
        <f t="shared" ref="Z335:AA335" si="25">HYPERLINK("http://genesandcells.com/","http://genesandcells.com/")</f>
        <v>http://genesandcells.com/</v>
      </c>
      <c r="AA335" s="8" t="str">
        <f t="shared" si="25"/>
        <v>http://genesandcells.com/</v>
      </c>
      <c r="AB335" s="8" t="str">
        <f>HYPERLINK("http://genesandcells.com/index.php/gnc/oai","http://genesandcells.com/index.php/gnc/oai")</f>
        <v>http://genesandcells.com/index.php/gnc/oai</v>
      </c>
      <c r="AC335" s="3">
        <v>2015</v>
      </c>
      <c r="AF335" s="3" t="s">
        <v>177</v>
      </c>
      <c r="AG335" s="3" t="s">
        <v>178</v>
      </c>
      <c r="AH335" s="3" t="s">
        <v>180</v>
      </c>
      <c r="AI335" s="3" t="s">
        <v>392</v>
      </c>
      <c r="AJ335" s="3" t="s">
        <v>182</v>
      </c>
      <c r="AK335" s="3" t="s">
        <v>183</v>
      </c>
      <c r="AM335" s="3" t="s">
        <v>178</v>
      </c>
      <c r="AN335" s="3" t="s">
        <v>189</v>
      </c>
      <c r="AO335" s="3" t="s">
        <v>181</v>
      </c>
      <c r="AP335" s="3" t="s">
        <v>189</v>
      </c>
      <c r="AQ335" s="3" t="s">
        <v>394</v>
      </c>
      <c r="AR335" s="3" t="s">
        <v>189</v>
      </c>
      <c r="AS335" s="3" t="s">
        <v>189</v>
      </c>
      <c r="AT335" s="3" t="s">
        <v>785</v>
      </c>
      <c r="AU335" s="3" t="s">
        <v>244</v>
      </c>
      <c r="AV335" s="3" t="s">
        <v>185</v>
      </c>
      <c r="AW335" s="3" t="s">
        <v>520</v>
      </c>
      <c r="AX335" s="3" t="s">
        <v>442</v>
      </c>
      <c r="AY335" s="3" t="s">
        <v>198</v>
      </c>
    </row>
    <row r="336" spans="1:52" ht="15.75" customHeight="1">
      <c r="A336" s="3">
        <v>627</v>
      </c>
      <c r="B336" s="5" t="str">
        <f t="shared" si="0"/>
        <v>http://roarmap.eprints.org/627/</v>
      </c>
      <c r="C336" s="3">
        <v>3</v>
      </c>
      <c r="D336" s="3" t="s">
        <v>98</v>
      </c>
      <c r="E336" s="3">
        <v>1</v>
      </c>
      <c r="F336" s="3" t="s">
        <v>1475</v>
      </c>
      <c r="G336" s="3">
        <v>41988.924259259256</v>
      </c>
      <c r="H336" s="3">
        <v>41988.924259259256</v>
      </c>
      <c r="I336" s="3">
        <v>41988.924259259256</v>
      </c>
      <c r="J336" s="3" t="s">
        <v>103</v>
      </c>
      <c r="K336" s="3" t="s">
        <v>105</v>
      </c>
      <c r="L336" s="3" t="s">
        <v>1476</v>
      </c>
      <c r="M336" s="3" t="s">
        <v>374</v>
      </c>
      <c r="N336" s="3" t="s">
        <v>1477</v>
      </c>
      <c r="P336" s="3" t="s">
        <v>215</v>
      </c>
      <c r="Q336" t="str">
        <f t="shared" si="24"/>
        <v>http://roarmap.eprints.org/view/country/604.html</v>
      </c>
      <c r="R336" s="3">
        <v>604</v>
      </c>
      <c r="S336" s="6" t="s">
        <v>275</v>
      </c>
      <c r="T336" s="9">
        <v>604</v>
      </c>
      <c r="U336" s="7" t="s">
        <v>2517</v>
      </c>
      <c r="V336" s="6" t="s">
        <v>53</v>
      </c>
      <c r="W336" s="3" t="s">
        <v>158</v>
      </c>
      <c r="X336" s="3" t="s">
        <v>376</v>
      </c>
      <c r="Y336" s="3" t="s">
        <v>1476</v>
      </c>
      <c r="Z336" s="8" t="str">
        <f>HYPERLINK("http://www.congreso.gob.pe/","http://www.congreso.gob.pe/")</f>
        <v>http://www.congreso.gob.pe/</v>
      </c>
      <c r="AA336" s="8" t="str">
        <f>HYPERLINK("http://roarmap.eprints.org/984/1/1188_Sustitutoria_27MAR2013.pdf","http://roarmap.eprints.org/984/1/1188_Sustitutoria_27MAR2013.pdf")</f>
        <v>http://roarmap.eprints.org/984/1/1188_Sustitutoria_27MAR2013.pdf</v>
      </c>
      <c r="AC336" s="3">
        <v>41360</v>
      </c>
      <c r="AF336" s="3" t="s">
        <v>177</v>
      </c>
      <c r="AG336" s="3" t="s">
        <v>244</v>
      </c>
      <c r="AH336" s="3" t="s">
        <v>370</v>
      </c>
      <c r="AI336" s="3" t="s">
        <v>244</v>
      </c>
      <c r="AJ336" s="3" t="s">
        <v>244</v>
      </c>
      <c r="AK336" s="3" t="s">
        <v>244</v>
      </c>
      <c r="AL336" s="3" t="s">
        <v>244</v>
      </c>
      <c r="AM336" s="3" t="s">
        <v>247</v>
      </c>
      <c r="AN336" s="3" t="s">
        <v>244</v>
      </c>
      <c r="AO336" s="3" t="s">
        <v>247</v>
      </c>
      <c r="AP336" s="3" t="s">
        <v>244</v>
      </c>
      <c r="AQ336" s="3" t="s">
        <v>386</v>
      </c>
      <c r="AR336" s="3" t="s">
        <v>288</v>
      </c>
      <c r="AS336" s="3" t="s">
        <v>288</v>
      </c>
      <c r="AT336" s="3" t="s">
        <v>244</v>
      </c>
      <c r="AU336" s="3" t="s">
        <v>244</v>
      </c>
      <c r="AV336" s="3" t="s">
        <v>288</v>
      </c>
      <c r="AW336" s="3" t="s">
        <v>339</v>
      </c>
      <c r="AX336" s="3" t="s">
        <v>244</v>
      </c>
      <c r="AY336" s="3" t="s">
        <v>247</v>
      </c>
    </row>
    <row r="337" spans="1:51" ht="15.75" customHeight="1">
      <c r="A337" s="3">
        <v>628</v>
      </c>
      <c r="B337" s="5" t="str">
        <f t="shared" si="0"/>
        <v>http://roarmap.eprints.org/628/</v>
      </c>
      <c r="C337" s="3">
        <v>4</v>
      </c>
      <c r="D337" s="3" t="s">
        <v>98</v>
      </c>
      <c r="E337" s="3">
        <v>363</v>
      </c>
      <c r="F337" s="3" t="s">
        <v>1478</v>
      </c>
      <c r="G337" s="3">
        <v>41988.924259259256</v>
      </c>
      <c r="H337" s="3">
        <v>42046.981759259259</v>
      </c>
      <c r="I337" s="3">
        <v>41988.924259259256</v>
      </c>
      <c r="J337" s="3" t="s">
        <v>103</v>
      </c>
      <c r="K337" s="3" t="s">
        <v>105</v>
      </c>
      <c r="L337" s="3" t="s">
        <v>1479</v>
      </c>
      <c r="M337" s="3" t="s">
        <v>352</v>
      </c>
      <c r="N337" s="3" t="s">
        <v>398</v>
      </c>
      <c r="P337" s="3" t="s">
        <v>215</v>
      </c>
      <c r="Q337" t="str">
        <f t="shared" si="24"/>
        <v>http://roarmap.eprints.org/view/country/604.html</v>
      </c>
      <c r="R337" s="3">
        <v>604</v>
      </c>
      <c r="S337" s="6" t="s">
        <v>275</v>
      </c>
      <c r="T337" s="9">
        <v>604</v>
      </c>
      <c r="U337" s="7" t="s">
        <v>2517</v>
      </c>
      <c r="V337" s="6" t="s">
        <v>53</v>
      </c>
      <c r="W337" s="3" t="s">
        <v>158</v>
      </c>
      <c r="X337" s="3" t="s">
        <v>376</v>
      </c>
      <c r="Y337" s="3" t="s">
        <v>1479</v>
      </c>
      <c r="Z337" s="8" t="str">
        <f>HYPERLINK("http://www.minam.gob.pe/","http://www.minam.gob.pe/")</f>
        <v>http://www.minam.gob.pe/</v>
      </c>
      <c r="AB337" s="8" t="str">
        <f>HYPERLINK("http://cdam.minam.gob.pe/index.php?lang=en","http://cdam.minam.gob.pe/index.php?lang=en")</f>
        <v>http://cdam.minam.gob.pe/index.php?lang=en</v>
      </c>
      <c r="AG337" s="3" t="s">
        <v>244</v>
      </c>
      <c r="AH337" s="3" t="s">
        <v>244</v>
      </c>
      <c r="AI337" s="3" t="s">
        <v>244</v>
      </c>
      <c r="AJ337" s="3" t="s">
        <v>244</v>
      </c>
      <c r="AK337" s="3" t="s">
        <v>244</v>
      </c>
      <c r="AL337" s="3" t="s">
        <v>244</v>
      </c>
      <c r="AM337" s="3" t="s">
        <v>247</v>
      </c>
      <c r="AN337" s="3" t="s">
        <v>244</v>
      </c>
      <c r="AO337" s="3" t="s">
        <v>247</v>
      </c>
      <c r="AP337" s="3" t="s">
        <v>244</v>
      </c>
      <c r="AQ337" s="3" t="s">
        <v>247</v>
      </c>
      <c r="AR337" s="3" t="s">
        <v>288</v>
      </c>
      <c r="AS337" s="3" t="s">
        <v>244</v>
      </c>
      <c r="AT337" s="3" t="s">
        <v>244</v>
      </c>
      <c r="AU337" s="3" t="s">
        <v>244</v>
      </c>
      <c r="AV337" s="3" t="s">
        <v>288</v>
      </c>
      <c r="AW337" s="3" t="s">
        <v>244</v>
      </c>
      <c r="AX337" s="3" t="s">
        <v>244</v>
      </c>
      <c r="AY337" s="3" t="s">
        <v>247</v>
      </c>
    </row>
    <row r="338" spans="1:51" ht="15.75" customHeight="1">
      <c r="A338" s="3">
        <v>629</v>
      </c>
      <c r="B338" s="5" t="str">
        <f t="shared" si="0"/>
        <v>http://roarmap.eprints.org/629/</v>
      </c>
      <c r="C338" s="3">
        <v>4</v>
      </c>
      <c r="D338" s="3" t="s">
        <v>98</v>
      </c>
      <c r="E338" s="3">
        <v>364</v>
      </c>
      <c r="F338" s="3" t="s">
        <v>1480</v>
      </c>
      <c r="G338" s="3">
        <v>41988.924259259256</v>
      </c>
      <c r="H338" s="3">
        <v>42046.981759259259</v>
      </c>
      <c r="I338" s="3">
        <v>41988.924259259256</v>
      </c>
      <c r="J338" s="3" t="s">
        <v>103</v>
      </c>
      <c r="K338" s="3" t="s">
        <v>105</v>
      </c>
      <c r="L338" s="3" t="s">
        <v>1481</v>
      </c>
      <c r="M338" s="3" t="s">
        <v>352</v>
      </c>
      <c r="N338" s="3" t="s">
        <v>1482</v>
      </c>
      <c r="P338" s="3" t="s">
        <v>215</v>
      </c>
      <c r="Q338" t="str">
        <f t="shared" si="24"/>
        <v>http://roarmap.eprints.org/view/country/604.html</v>
      </c>
      <c r="R338" s="3">
        <v>604</v>
      </c>
      <c r="S338" s="6" t="s">
        <v>275</v>
      </c>
      <c r="T338" s="9">
        <v>604</v>
      </c>
      <c r="U338" s="7" t="s">
        <v>2517</v>
      </c>
      <c r="V338" s="6" t="s">
        <v>53</v>
      </c>
      <c r="W338" s="3" t="s">
        <v>158</v>
      </c>
      <c r="X338" s="3" t="s">
        <v>160</v>
      </c>
      <c r="Y338" s="3" t="s">
        <v>1481</v>
      </c>
      <c r="Z338" s="8" t="str">
        <f>HYPERLINK("http://www.pucp.edu.pe/","http://www.pucp.edu.pe/")</f>
        <v>http://www.pucp.edu.pe/</v>
      </c>
      <c r="AB338" s="8" t="str">
        <f>HYPERLINK("http://tesis.pucp.edu.pe/repositorio/","http://tesis.pucp.edu.pe/repositorio/")</f>
        <v>http://tesis.pucp.edu.pe/repositorio/</v>
      </c>
      <c r="AG338" s="3" t="s">
        <v>244</v>
      </c>
      <c r="AH338" s="3" t="s">
        <v>244</v>
      </c>
      <c r="AI338" s="3" t="s">
        <v>244</v>
      </c>
      <c r="AJ338" s="3" t="s">
        <v>244</v>
      </c>
      <c r="AK338" s="3" t="s">
        <v>244</v>
      </c>
      <c r="AL338" s="3" t="s">
        <v>244</v>
      </c>
      <c r="AM338" s="3" t="s">
        <v>247</v>
      </c>
      <c r="AN338" s="3" t="s">
        <v>244</v>
      </c>
      <c r="AO338" s="3" t="s">
        <v>247</v>
      </c>
      <c r="AP338" s="3" t="s">
        <v>244</v>
      </c>
      <c r="AQ338" s="3" t="s">
        <v>247</v>
      </c>
      <c r="AR338" s="3" t="s">
        <v>288</v>
      </c>
      <c r="AS338" s="3" t="s">
        <v>244</v>
      </c>
      <c r="AT338" s="3" t="s">
        <v>244</v>
      </c>
      <c r="AU338" s="3" t="s">
        <v>244</v>
      </c>
      <c r="AV338" s="3" t="s">
        <v>288</v>
      </c>
      <c r="AW338" s="3" t="s">
        <v>244</v>
      </c>
      <c r="AX338" s="3" t="s">
        <v>244</v>
      </c>
      <c r="AY338" s="3" t="s">
        <v>247</v>
      </c>
    </row>
    <row r="339" spans="1:51" ht="15.75" customHeight="1">
      <c r="A339" s="3">
        <v>630</v>
      </c>
      <c r="B339" s="5" t="str">
        <f t="shared" si="0"/>
        <v>http://roarmap.eprints.org/630/</v>
      </c>
      <c r="C339" s="3">
        <v>3</v>
      </c>
      <c r="D339" s="3" t="s">
        <v>98</v>
      </c>
      <c r="E339" s="3">
        <v>1</v>
      </c>
      <c r="F339" s="3" t="s">
        <v>1483</v>
      </c>
      <c r="G339" s="3">
        <v>41988.924259259256</v>
      </c>
      <c r="H339" s="3">
        <v>41988.924259259256</v>
      </c>
      <c r="I339" s="3">
        <v>41988.924259259256</v>
      </c>
      <c r="J339" s="3" t="s">
        <v>103</v>
      </c>
      <c r="K339" s="3" t="s">
        <v>105</v>
      </c>
      <c r="L339" s="3" t="s">
        <v>1484</v>
      </c>
      <c r="M339" s="3" t="s">
        <v>352</v>
      </c>
      <c r="N339" s="3" t="s">
        <v>398</v>
      </c>
      <c r="P339" s="3" t="s">
        <v>215</v>
      </c>
      <c r="Q339" t="str">
        <f t="shared" si="24"/>
        <v>http://roarmap.eprints.org/view/country/604.html</v>
      </c>
      <c r="R339" s="3">
        <v>604</v>
      </c>
      <c r="S339" s="6" t="s">
        <v>275</v>
      </c>
      <c r="T339" s="9">
        <v>604</v>
      </c>
      <c r="U339" s="7" t="s">
        <v>2517</v>
      </c>
      <c r="V339" s="6" t="s">
        <v>53</v>
      </c>
      <c r="W339" s="3" t="s">
        <v>158</v>
      </c>
      <c r="X339" s="3" t="s">
        <v>160</v>
      </c>
      <c r="Y339" s="3" t="s">
        <v>1484</v>
      </c>
      <c r="Z339" s="8" t="str">
        <f>HYPERLINK("http://www.unmsm.edu.pe/","http://www.unmsm.edu.pe/")</f>
        <v>http://www.unmsm.edu.pe/</v>
      </c>
      <c r="AB339" s="8" t="str">
        <f>HYPERLINK("http://ateneo.unmsm.edu.pe/ateneo/index.jsp","http://ateneo.unmsm.edu.pe/ateneo/index.jsp")</f>
        <v>http://ateneo.unmsm.edu.pe/ateneo/index.jsp</v>
      </c>
      <c r="AG339" s="3" t="s">
        <v>244</v>
      </c>
      <c r="AH339" s="3" t="s">
        <v>244</v>
      </c>
      <c r="AI339" s="3" t="s">
        <v>244</v>
      </c>
      <c r="AJ339" s="3" t="s">
        <v>244</v>
      </c>
      <c r="AK339" s="3" t="s">
        <v>244</v>
      </c>
      <c r="AL339" s="3" t="s">
        <v>244</v>
      </c>
      <c r="AM339" s="3" t="s">
        <v>247</v>
      </c>
      <c r="AN339" s="3" t="s">
        <v>244</v>
      </c>
      <c r="AO339" s="3" t="s">
        <v>247</v>
      </c>
      <c r="AP339" s="3" t="s">
        <v>244</v>
      </c>
      <c r="AQ339" s="3" t="s">
        <v>247</v>
      </c>
      <c r="AR339" s="3" t="s">
        <v>288</v>
      </c>
      <c r="AS339" s="3" t="s">
        <v>244</v>
      </c>
      <c r="AT339" s="3" t="s">
        <v>244</v>
      </c>
      <c r="AU339" s="3" t="s">
        <v>244</v>
      </c>
      <c r="AV339" s="3" t="s">
        <v>288</v>
      </c>
      <c r="AW339" s="3" t="s">
        <v>244</v>
      </c>
      <c r="AX339" s="3" t="s">
        <v>244</v>
      </c>
      <c r="AY339" s="3" t="s">
        <v>247</v>
      </c>
    </row>
    <row r="340" spans="1:51" ht="15.75" customHeight="1">
      <c r="A340" s="3">
        <v>734</v>
      </c>
      <c r="B340" s="5" t="str">
        <f t="shared" si="0"/>
        <v>http://roarmap.eprints.org/734/</v>
      </c>
      <c r="C340" s="3">
        <v>6</v>
      </c>
      <c r="D340" s="3" t="s">
        <v>98</v>
      </c>
      <c r="E340" s="3">
        <v>591</v>
      </c>
      <c r="F340" s="3" t="s">
        <v>1485</v>
      </c>
      <c r="G340" s="3">
        <v>42108.570092592592</v>
      </c>
      <c r="H340" s="3">
        <v>42108.570092592592</v>
      </c>
      <c r="I340" s="3">
        <v>42108.570092592592</v>
      </c>
      <c r="J340" s="3" t="s">
        <v>103</v>
      </c>
      <c r="K340" s="3" t="s">
        <v>105</v>
      </c>
      <c r="L340" s="3" t="s">
        <v>1486</v>
      </c>
      <c r="Q340" t="str">
        <f t="shared" si="24"/>
        <v>http://roarmap.eprints.org/view/country/604.html</v>
      </c>
      <c r="R340" s="3">
        <v>604</v>
      </c>
      <c r="S340" s="6" t="s">
        <v>275</v>
      </c>
      <c r="T340" s="9">
        <v>604</v>
      </c>
      <c r="U340" s="7" t="s">
        <v>2517</v>
      </c>
      <c r="V340" s="6" t="s">
        <v>53</v>
      </c>
      <c r="W340" s="3" t="s">
        <v>158</v>
      </c>
      <c r="X340" s="3" t="s">
        <v>384</v>
      </c>
      <c r="Y340" s="3" t="s">
        <v>1486</v>
      </c>
      <c r="Z340" s="8" t="str">
        <f>HYPERLINK("http://www.upc.edu.pe","http://www.upc.edu.pe")</f>
        <v>http://www.upc.edu.pe</v>
      </c>
      <c r="AA340" s="8" t="str">
        <f>HYPERLINK("http://repositorioacademico.upc.edu.pe/upc/PoliticaRAUPC.pdf","http://repositorioacademico.upc.edu.pe/upc/PoliticaRAUPC.pdf")</f>
        <v>http://repositorioacademico.upc.edu.pe/upc/PoliticaRAUPC.pdf</v>
      </c>
      <c r="AB340" s="8" t="str">
        <f>HYPERLINK("http://repositorioacademico.upc.edu.pe","http://repositorioacademico.upc.edu.pe")</f>
        <v>http://repositorioacademico.upc.edu.pe</v>
      </c>
      <c r="AC340" s="3">
        <v>41913</v>
      </c>
      <c r="AF340" s="3" t="s">
        <v>177</v>
      </c>
      <c r="AG340" s="3" t="s">
        <v>178</v>
      </c>
      <c r="AH340" s="3" t="s">
        <v>180</v>
      </c>
      <c r="AI340" s="3" t="s">
        <v>181</v>
      </c>
      <c r="AJ340" s="3" t="s">
        <v>182</v>
      </c>
      <c r="AK340" s="3" t="s">
        <v>183</v>
      </c>
      <c r="AL340" s="3" t="s">
        <v>244</v>
      </c>
      <c r="AM340" s="3" t="s">
        <v>479</v>
      </c>
      <c r="AN340" s="3" t="s">
        <v>189</v>
      </c>
      <c r="AO340" s="3" t="s">
        <v>378</v>
      </c>
      <c r="AP340" s="3" t="s">
        <v>185</v>
      </c>
      <c r="AQ340" s="3" t="s">
        <v>394</v>
      </c>
      <c r="AR340" s="3" t="s">
        <v>185</v>
      </c>
      <c r="AS340" s="3" t="s">
        <v>185</v>
      </c>
      <c r="AT340" s="3" t="s">
        <v>395</v>
      </c>
      <c r="AU340" s="3" t="s">
        <v>395</v>
      </c>
      <c r="AV340" s="3" t="s">
        <v>189</v>
      </c>
      <c r="AW340" s="3" t="s">
        <v>520</v>
      </c>
      <c r="AX340" s="3" t="s">
        <v>341</v>
      </c>
      <c r="AY340" s="3" t="s">
        <v>521</v>
      </c>
    </row>
    <row r="341" spans="1:51" ht="15.75" customHeight="1">
      <c r="A341" s="3">
        <v>675</v>
      </c>
      <c r="B341" s="5" t="str">
        <f t="shared" si="0"/>
        <v>http://roarmap.eprints.org/675/</v>
      </c>
      <c r="C341" s="3">
        <v>8</v>
      </c>
      <c r="D341" s="3" t="s">
        <v>98</v>
      </c>
      <c r="E341" s="3">
        <v>389</v>
      </c>
      <c r="F341" s="3" t="s">
        <v>1487</v>
      </c>
      <c r="G341" s="3">
        <v>42055.574861111112</v>
      </c>
      <c r="H341" s="3">
        <v>42066.908402777779</v>
      </c>
      <c r="I341" s="3">
        <v>42055.574861111112</v>
      </c>
      <c r="J341" s="3" t="s">
        <v>103</v>
      </c>
      <c r="K341" s="3" t="s">
        <v>105</v>
      </c>
      <c r="L341" s="3" t="s">
        <v>1488</v>
      </c>
      <c r="P341" s="3" t="s">
        <v>1488</v>
      </c>
      <c r="Q341" t="str">
        <f t="shared" si="24"/>
        <v>http://roarmap.eprints.org/view/country/604.html</v>
      </c>
      <c r="R341" s="3">
        <v>604</v>
      </c>
      <c r="S341" s="6" t="s">
        <v>275</v>
      </c>
      <c r="T341" s="9">
        <v>604</v>
      </c>
      <c r="U341" s="7" t="s">
        <v>2517</v>
      </c>
      <c r="V341" s="6" t="s">
        <v>53</v>
      </c>
      <c r="W341" s="3" t="s">
        <v>158</v>
      </c>
      <c r="X341" s="3" t="s">
        <v>160</v>
      </c>
      <c r="Y341" s="3" t="s">
        <v>1488</v>
      </c>
      <c r="Z341" s="8" t="str">
        <f>HYPERLINK("http://udep.edu.pe","http://udep.edu.pe")</f>
        <v>http://udep.edu.pe</v>
      </c>
      <c r="AB341" s="8" t="str">
        <f>HYPERLINK("http://pirhua.udep.edu.pe/","http://pirhua.udep.edu.pe/")</f>
        <v>http://pirhua.udep.edu.pe/</v>
      </c>
      <c r="AC341" s="3">
        <v>41533</v>
      </c>
      <c r="AF341" s="3" t="s">
        <v>244</v>
      </c>
      <c r="AG341" s="3" t="s">
        <v>244</v>
      </c>
      <c r="AH341" s="3" t="s">
        <v>244</v>
      </c>
      <c r="AI341" s="3" t="s">
        <v>371</v>
      </c>
      <c r="AJ341" s="3" t="s">
        <v>182</v>
      </c>
      <c r="AK341" s="3" t="s">
        <v>244</v>
      </c>
      <c r="AL341" s="3" t="s">
        <v>244</v>
      </c>
      <c r="AN341" s="3" t="s">
        <v>244</v>
      </c>
      <c r="AO341" s="3" t="s">
        <v>392</v>
      </c>
      <c r="AP341" s="3" t="s">
        <v>244</v>
      </c>
      <c r="AQ341" s="3" t="s">
        <v>247</v>
      </c>
      <c r="AR341" s="3" t="s">
        <v>244</v>
      </c>
      <c r="AS341" s="3" t="s">
        <v>244</v>
      </c>
      <c r="AT341" s="3" t="s">
        <v>244</v>
      </c>
      <c r="AU341" s="3" t="s">
        <v>244</v>
      </c>
      <c r="AV341" s="3" t="s">
        <v>244</v>
      </c>
      <c r="AW341" s="3" t="s">
        <v>630</v>
      </c>
      <c r="AX341" s="3" t="s">
        <v>442</v>
      </c>
      <c r="AY341" s="3" t="s">
        <v>371</v>
      </c>
    </row>
    <row r="342" spans="1:51" ht="15.75" customHeight="1">
      <c r="A342" s="3">
        <v>256</v>
      </c>
      <c r="B342" s="5" t="str">
        <f t="shared" si="0"/>
        <v>http://roarmap.eprints.org/256/</v>
      </c>
      <c r="C342" s="3">
        <v>3</v>
      </c>
      <c r="D342" s="3" t="s">
        <v>98</v>
      </c>
      <c r="E342" s="3">
        <v>1</v>
      </c>
      <c r="F342" s="3" t="s">
        <v>1489</v>
      </c>
      <c r="G342" s="3">
        <v>41988.92359953704</v>
      </c>
      <c r="H342" s="3">
        <v>41988.92359953704</v>
      </c>
      <c r="I342" s="3">
        <v>41988.92359953704</v>
      </c>
      <c r="J342" s="3" t="s">
        <v>103</v>
      </c>
      <c r="K342" s="3" t="s">
        <v>105</v>
      </c>
      <c r="L342" s="3" t="s">
        <v>1490</v>
      </c>
      <c r="M342" s="3" t="s">
        <v>352</v>
      </c>
      <c r="P342" s="3" t="s">
        <v>215</v>
      </c>
      <c r="Q342" t="str">
        <f t="shared" si="24"/>
        <v>http://roarmap.eprints.org/view/country/616.html</v>
      </c>
      <c r="R342" s="3">
        <v>616</v>
      </c>
      <c r="S342" s="6" t="s">
        <v>278</v>
      </c>
      <c r="T342" s="9">
        <v>616</v>
      </c>
      <c r="U342" s="7" t="s">
        <v>123</v>
      </c>
      <c r="V342" s="6" t="s">
        <v>102</v>
      </c>
      <c r="W342" s="3" t="s">
        <v>158</v>
      </c>
      <c r="X342" s="3" t="s">
        <v>160</v>
      </c>
      <c r="Y342" s="3" t="s">
        <v>1490</v>
      </c>
      <c r="Z342" s="8" t="str">
        <f>HYPERLINK("http://amu.edu.pl/","http://amu.edu.pl/")</f>
        <v>http://amu.edu.pl/</v>
      </c>
      <c r="AB342" s="8" t="str">
        <f>HYPERLINK("http://repozytorium.amu.edu.pl","http://repozytorium.amu.edu.pl")</f>
        <v>http://repozytorium.amu.edu.pl</v>
      </c>
      <c r="AE342" s="3">
        <v>40318</v>
      </c>
      <c r="AF342" s="3" t="s">
        <v>244</v>
      </c>
      <c r="AG342" s="3" t="s">
        <v>244</v>
      </c>
      <c r="AH342" s="3" t="s">
        <v>180</v>
      </c>
      <c r="AI342" s="3" t="s">
        <v>244</v>
      </c>
      <c r="AJ342" s="3" t="s">
        <v>182</v>
      </c>
      <c r="AK342" s="3" t="s">
        <v>393</v>
      </c>
      <c r="AL342" s="3" t="s">
        <v>189</v>
      </c>
      <c r="AM342" s="3" t="s">
        <v>479</v>
      </c>
      <c r="AN342" s="3" t="s">
        <v>189</v>
      </c>
      <c r="AO342" s="3" t="s">
        <v>247</v>
      </c>
      <c r="AP342" s="3" t="s">
        <v>244</v>
      </c>
      <c r="AQ342" s="3" t="s">
        <v>394</v>
      </c>
      <c r="AR342" s="3" t="s">
        <v>288</v>
      </c>
      <c r="AS342" s="3" t="s">
        <v>189</v>
      </c>
      <c r="AT342" s="3" t="s">
        <v>244</v>
      </c>
      <c r="AU342" s="3" t="s">
        <v>244</v>
      </c>
      <c r="AV342" s="3" t="s">
        <v>288</v>
      </c>
      <c r="AW342" s="3" t="s">
        <v>195</v>
      </c>
      <c r="AX342" s="3" t="s">
        <v>244</v>
      </c>
      <c r="AY342" s="3" t="s">
        <v>247</v>
      </c>
    </row>
    <row r="343" spans="1:51" ht="15.75" customHeight="1">
      <c r="A343" s="3">
        <v>257</v>
      </c>
      <c r="B343" s="5" t="str">
        <f t="shared" si="0"/>
        <v>http://roarmap.eprints.org/257/</v>
      </c>
      <c r="C343" s="3">
        <v>3</v>
      </c>
      <c r="D343" s="3" t="s">
        <v>98</v>
      </c>
      <c r="E343" s="3">
        <v>1</v>
      </c>
      <c r="F343" s="3" t="s">
        <v>1491</v>
      </c>
      <c r="G343" s="3">
        <v>41988.92359953704</v>
      </c>
      <c r="H343" s="3">
        <v>41988.92359953704</v>
      </c>
      <c r="I343" s="3">
        <v>41988.92359953704</v>
      </c>
      <c r="J343" s="3" t="s">
        <v>103</v>
      </c>
      <c r="K343" s="3" t="s">
        <v>105</v>
      </c>
      <c r="L343" s="3" t="s">
        <v>1492</v>
      </c>
      <c r="M343" s="3" t="s">
        <v>637</v>
      </c>
      <c r="N343" s="3" t="s">
        <v>1493</v>
      </c>
      <c r="P343" s="3" t="s">
        <v>215</v>
      </c>
      <c r="Q343" t="str">
        <f t="shared" si="24"/>
        <v>http://roarmap.eprints.org/view/country/616.html</v>
      </c>
      <c r="R343" s="3">
        <v>616</v>
      </c>
      <c r="S343" s="6" t="s">
        <v>278</v>
      </c>
      <c r="T343" s="9">
        <v>616</v>
      </c>
      <c r="U343" s="7" t="s">
        <v>123</v>
      </c>
      <c r="V343" s="6" t="s">
        <v>102</v>
      </c>
      <c r="W343" s="3" t="s">
        <v>158</v>
      </c>
      <c r="X343" s="3" t="s">
        <v>160</v>
      </c>
      <c r="Y343" s="3" t="s">
        <v>1492</v>
      </c>
      <c r="Z343" s="8" t="str">
        <f>HYPERLINK("http://www.ibb.waw.pl","http://www.ibb.waw.pl")</f>
        <v>http://www.ibb.waw.pl</v>
      </c>
      <c r="AF343" s="3" t="s">
        <v>244</v>
      </c>
      <c r="AG343" s="3" t="s">
        <v>178</v>
      </c>
      <c r="AH343" s="3" t="s">
        <v>180</v>
      </c>
      <c r="AI343" s="3" t="s">
        <v>244</v>
      </c>
      <c r="AJ343" s="3" t="s">
        <v>182</v>
      </c>
      <c r="AK343" s="3" t="s">
        <v>393</v>
      </c>
      <c r="AL343" s="3" t="s">
        <v>244</v>
      </c>
      <c r="AM343" s="3" t="s">
        <v>247</v>
      </c>
      <c r="AN343" s="3" t="s">
        <v>244</v>
      </c>
      <c r="AO343" s="3" t="s">
        <v>378</v>
      </c>
      <c r="AP343" s="3" t="s">
        <v>244</v>
      </c>
      <c r="AQ343" s="3" t="s">
        <v>247</v>
      </c>
      <c r="AR343" s="3" t="s">
        <v>288</v>
      </c>
      <c r="AS343" s="3" t="s">
        <v>288</v>
      </c>
      <c r="AT343" s="3" t="s">
        <v>244</v>
      </c>
      <c r="AU343" s="3" t="s">
        <v>244</v>
      </c>
      <c r="AV343" s="3" t="s">
        <v>288</v>
      </c>
      <c r="AW343" s="3" t="s">
        <v>371</v>
      </c>
      <c r="AX343" s="3" t="s">
        <v>244</v>
      </c>
      <c r="AY343" s="3" t="s">
        <v>247</v>
      </c>
    </row>
    <row r="344" spans="1:51" ht="15.75" customHeight="1">
      <c r="A344" s="3">
        <v>258</v>
      </c>
      <c r="B344" s="5" t="str">
        <f t="shared" si="0"/>
        <v>http://roarmap.eprints.org/258/</v>
      </c>
      <c r="C344" s="3">
        <v>3</v>
      </c>
      <c r="D344" s="3" t="s">
        <v>98</v>
      </c>
      <c r="E344" s="3">
        <v>1</v>
      </c>
      <c r="F344" s="3" t="s">
        <v>1494</v>
      </c>
      <c r="G344" s="3">
        <v>41988.92359953704</v>
      </c>
      <c r="H344" s="3">
        <v>41988.92359953704</v>
      </c>
      <c r="I344" s="3">
        <v>41988.92359953704</v>
      </c>
      <c r="J344" s="3" t="s">
        <v>103</v>
      </c>
      <c r="K344" s="3" t="s">
        <v>105</v>
      </c>
      <c r="L344" s="3" t="s">
        <v>1495</v>
      </c>
      <c r="M344" s="3" t="s">
        <v>637</v>
      </c>
      <c r="N344" s="3" t="s">
        <v>1496</v>
      </c>
      <c r="O344" s="3" t="s">
        <v>1497</v>
      </c>
      <c r="P344" s="3" t="s">
        <v>215</v>
      </c>
      <c r="Q344" t="str">
        <f t="shared" si="24"/>
        <v>http://roarmap.eprints.org/view/country/620.html</v>
      </c>
      <c r="R344" s="3">
        <v>620</v>
      </c>
      <c r="S344" s="6" t="s">
        <v>279</v>
      </c>
      <c r="T344" s="9">
        <v>620</v>
      </c>
      <c r="U344" s="7" t="s">
        <v>123</v>
      </c>
      <c r="V344" s="6" t="s">
        <v>76</v>
      </c>
      <c r="W344" s="3" t="s">
        <v>158</v>
      </c>
      <c r="X344" s="3" t="s">
        <v>160</v>
      </c>
      <c r="Y344" s="3" t="s">
        <v>1495</v>
      </c>
      <c r="Z344" s="8" t="str">
        <f>HYPERLINK("http://www.chlc.min-saude.pt/homepage.aspx?menuid=1","http://www.chlc.min-saude.pt/homepage.aspx?menuid=1")</f>
        <v>http://www.chlc.min-saude.pt/homepage.aspx?menuid=1</v>
      </c>
      <c r="AA344" s="8" t="str">
        <f>HYPERLINK("http://repositorio.chlc.min-saude.pt/resources/politica_repositorio_chlc.pdf","http://repositorio.chlc.min-saude.pt/resources/politica_repositorio_chlc.pdf")</f>
        <v>http://repositorio.chlc.min-saude.pt/resources/politica_repositorio_chlc.pdf</v>
      </c>
      <c r="AB344" s="8" t="str">
        <f>HYPERLINK("http://repositorio.chlc.min-saude.pt/","http://repositorio.chlc.min-saude.pt/")</f>
        <v>http://repositorio.chlc.min-saude.pt/</v>
      </c>
      <c r="AC344" s="3">
        <v>41584</v>
      </c>
      <c r="AD344" s="3">
        <v>41586</v>
      </c>
      <c r="AF344" s="3" t="s">
        <v>177</v>
      </c>
      <c r="AG344" s="3" t="s">
        <v>178</v>
      </c>
      <c r="AH344" s="3" t="s">
        <v>180</v>
      </c>
      <c r="AI344" s="3" t="s">
        <v>371</v>
      </c>
      <c r="AJ344" s="3" t="s">
        <v>371</v>
      </c>
      <c r="AK344" s="3" t="s">
        <v>244</v>
      </c>
      <c r="AL344" s="3" t="s">
        <v>185</v>
      </c>
      <c r="AM344" s="3" t="s">
        <v>247</v>
      </c>
      <c r="AN344" s="3" t="s">
        <v>244</v>
      </c>
      <c r="AO344" s="3" t="s">
        <v>247</v>
      </c>
      <c r="AP344" s="3" t="s">
        <v>244</v>
      </c>
      <c r="AQ344" s="3" t="s">
        <v>394</v>
      </c>
      <c r="AR344" s="3" t="s">
        <v>288</v>
      </c>
      <c r="AS344" s="3" t="s">
        <v>288</v>
      </c>
      <c r="AT344" s="3" t="s">
        <v>244</v>
      </c>
      <c r="AU344" s="3" t="s">
        <v>244</v>
      </c>
      <c r="AV344" s="3" t="s">
        <v>288</v>
      </c>
      <c r="AW344" s="3" t="s">
        <v>371</v>
      </c>
      <c r="AX344" s="3" t="s">
        <v>244</v>
      </c>
      <c r="AY344" s="3" t="s">
        <v>247</v>
      </c>
    </row>
    <row r="345" spans="1:51" ht="15.75" customHeight="1">
      <c r="A345" s="3">
        <v>259</v>
      </c>
      <c r="B345" s="5" t="str">
        <f t="shared" si="0"/>
        <v>http://roarmap.eprints.org/259/</v>
      </c>
      <c r="C345" s="3">
        <v>3</v>
      </c>
      <c r="D345" s="3" t="s">
        <v>98</v>
      </c>
      <c r="E345" s="3">
        <v>1</v>
      </c>
      <c r="F345" s="3" t="s">
        <v>1498</v>
      </c>
      <c r="G345" s="3">
        <v>41988.92359953704</v>
      </c>
      <c r="H345" s="3">
        <v>41988.92359953704</v>
      </c>
      <c r="I345" s="3">
        <v>41988.92359953704</v>
      </c>
      <c r="J345" s="3" t="s">
        <v>103</v>
      </c>
      <c r="K345" s="3" t="s">
        <v>105</v>
      </c>
      <c r="L345" s="3" t="s">
        <v>1499</v>
      </c>
      <c r="M345" s="3" t="s">
        <v>352</v>
      </c>
      <c r="P345" s="3" t="s">
        <v>215</v>
      </c>
      <c r="Q345" t="str">
        <f t="shared" si="24"/>
        <v>http://roarmap.eprints.org/view/country/620.html</v>
      </c>
      <c r="R345" s="3">
        <v>620</v>
      </c>
      <c r="S345" s="6" t="s">
        <v>279</v>
      </c>
      <c r="T345" s="9">
        <v>620</v>
      </c>
      <c r="U345" s="7" t="s">
        <v>123</v>
      </c>
      <c r="V345" s="6" t="s">
        <v>76</v>
      </c>
      <c r="W345" s="3" t="s">
        <v>158</v>
      </c>
      <c r="X345" s="3" t="s">
        <v>160</v>
      </c>
      <c r="Y345" s="3" t="s">
        <v>1499</v>
      </c>
      <c r="Z345" s="8" t="str">
        <f>HYPERLINK("http://www.esepf.pt/","http://www.esepf.pt/")</f>
        <v>http://www.esepf.pt/</v>
      </c>
      <c r="AB345" s="8" t="str">
        <f>HYPERLINK("http://repositorio.esepf.pt/","http://repositorio.esepf.pt/")</f>
        <v>http://repositorio.esepf.pt/</v>
      </c>
      <c r="AF345" s="3" t="s">
        <v>244</v>
      </c>
      <c r="AG345" s="3" t="s">
        <v>333</v>
      </c>
      <c r="AH345" s="3" t="s">
        <v>180</v>
      </c>
      <c r="AI345" s="3" t="s">
        <v>244</v>
      </c>
      <c r="AJ345" s="3" t="s">
        <v>244</v>
      </c>
      <c r="AK345" s="3" t="s">
        <v>244</v>
      </c>
      <c r="AL345" s="3" t="s">
        <v>288</v>
      </c>
      <c r="AM345" s="3" t="s">
        <v>178</v>
      </c>
      <c r="AN345" s="3" t="s">
        <v>185</v>
      </c>
      <c r="AO345" s="3" t="s">
        <v>247</v>
      </c>
      <c r="AP345" s="3" t="s">
        <v>244</v>
      </c>
      <c r="AQ345" s="3" t="s">
        <v>394</v>
      </c>
      <c r="AR345" s="3" t="s">
        <v>288</v>
      </c>
      <c r="AS345" s="3" t="s">
        <v>288</v>
      </c>
      <c r="AT345" s="3" t="s">
        <v>244</v>
      </c>
      <c r="AU345" s="3" t="s">
        <v>244</v>
      </c>
      <c r="AV345" s="3" t="s">
        <v>288</v>
      </c>
      <c r="AW345" s="3" t="s">
        <v>520</v>
      </c>
      <c r="AX345" s="3" t="s">
        <v>244</v>
      </c>
      <c r="AY345" s="3" t="s">
        <v>247</v>
      </c>
    </row>
    <row r="346" spans="1:51" ht="15.75" customHeight="1">
      <c r="A346" s="3">
        <v>260</v>
      </c>
      <c r="B346" s="5" t="str">
        <f t="shared" si="0"/>
        <v>http://roarmap.eprints.org/260/</v>
      </c>
      <c r="C346" s="3">
        <v>3</v>
      </c>
      <c r="D346" s="3" t="s">
        <v>98</v>
      </c>
      <c r="E346" s="3">
        <v>1</v>
      </c>
      <c r="F346" s="3" t="s">
        <v>1500</v>
      </c>
      <c r="G346" s="3">
        <v>41988.92359953704</v>
      </c>
      <c r="H346" s="3">
        <v>41988.92359953704</v>
      </c>
      <c r="I346" s="3">
        <v>41988.92359953704</v>
      </c>
      <c r="J346" s="3" t="s">
        <v>103</v>
      </c>
      <c r="K346" s="3" t="s">
        <v>105</v>
      </c>
      <c r="L346" s="3" t="s">
        <v>1501</v>
      </c>
      <c r="M346" s="3" t="s">
        <v>374</v>
      </c>
      <c r="N346" s="3" t="s">
        <v>1502</v>
      </c>
      <c r="P346" s="3" t="s">
        <v>595</v>
      </c>
      <c r="Q346" t="str">
        <f t="shared" si="24"/>
        <v>http://roarmap.eprints.org/view/country/620.html</v>
      </c>
      <c r="R346" s="3">
        <v>620</v>
      </c>
      <c r="S346" s="6" t="s">
        <v>279</v>
      </c>
      <c r="T346" s="9">
        <v>620</v>
      </c>
      <c r="U346" s="7" t="s">
        <v>123</v>
      </c>
      <c r="V346" s="6" t="s">
        <v>76</v>
      </c>
      <c r="W346" s="3" t="s">
        <v>158</v>
      </c>
      <c r="X346" s="3" t="s">
        <v>376</v>
      </c>
      <c r="Y346" s="3" t="s">
        <v>1501</v>
      </c>
      <c r="Z346" s="8" t="str">
        <f>HYPERLINK("http://www.fct.pt/","http://www.fct.pt/")</f>
        <v>http://www.fct.pt/</v>
      </c>
      <c r="AA346" s="3" t="s">
        <v>1503</v>
      </c>
      <c r="AC346" s="3">
        <v>41764</v>
      </c>
      <c r="AD346" s="3">
        <v>41764</v>
      </c>
      <c r="AF346" s="3" t="s">
        <v>177</v>
      </c>
      <c r="AG346" s="3" t="s">
        <v>178</v>
      </c>
      <c r="AH346" s="3" t="s">
        <v>180</v>
      </c>
      <c r="AI346" s="3" t="s">
        <v>187</v>
      </c>
      <c r="AJ346" s="3" t="s">
        <v>182</v>
      </c>
      <c r="AK346" s="3" t="s">
        <v>371</v>
      </c>
      <c r="AL346" s="3" t="s">
        <v>185</v>
      </c>
      <c r="AM346" s="3" t="s">
        <v>178</v>
      </c>
      <c r="AN346" s="3" t="s">
        <v>185</v>
      </c>
      <c r="AO346" s="3" t="s">
        <v>378</v>
      </c>
      <c r="AP346" s="3" t="s">
        <v>185</v>
      </c>
      <c r="AQ346" s="3" t="s">
        <v>394</v>
      </c>
      <c r="AR346" s="3" t="s">
        <v>288</v>
      </c>
      <c r="AS346" s="3" t="s">
        <v>288</v>
      </c>
      <c r="AT346" s="3" t="s">
        <v>379</v>
      </c>
      <c r="AU346" s="3" t="s">
        <v>395</v>
      </c>
      <c r="AV346" s="3" t="s">
        <v>244</v>
      </c>
      <c r="AW346" s="3" t="s">
        <v>520</v>
      </c>
      <c r="AX346" s="3" t="s">
        <v>244</v>
      </c>
      <c r="AY346" s="3" t="s">
        <v>247</v>
      </c>
    </row>
    <row r="347" spans="1:51" ht="15.75" customHeight="1">
      <c r="A347" s="3">
        <v>262</v>
      </c>
      <c r="B347" s="5" t="str">
        <f t="shared" si="0"/>
        <v>http://roarmap.eprints.org/262/</v>
      </c>
      <c r="C347" s="3">
        <v>3</v>
      </c>
      <c r="D347" s="3" t="s">
        <v>98</v>
      </c>
      <c r="E347" s="3">
        <v>1</v>
      </c>
      <c r="F347" s="3" t="s">
        <v>1504</v>
      </c>
      <c r="G347" s="3">
        <v>41988.92359953704</v>
      </c>
      <c r="H347" s="3">
        <v>41988.92359953704</v>
      </c>
      <c r="I347" s="3">
        <v>41988.92359953704</v>
      </c>
      <c r="J347" s="3" t="s">
        <v>103</v>
      </c>
      <c r="K347" s="3" t="s">
        <v>105</v>
      </c>
      <c r="L347" s="3" t="s">
        <v>1505</v>
      </c>
      <c r="M347" s="3" t="s">
        <v>374</v>
      </c>
      <c r="N347" s="3" t="s">
        <v>1506</v>
      </c>
      <c r="O347" s="3" t="s">
        <v>1507</v>
      </c>
      <c r="P347" s="3" t="s">
        <v>215</v>
      </c>
      <c r="Q347" t="str">
        <f t="shared" si="24"/>
        <v>http://roarmap.eprints.org/view/country/620.html</v>
      </c>
      <c r="R347" s="3">
        <v>620</v>
      </c>
      <c r="S347" s="6" t="s">
        <v>279</v>
      </c>
      <c r="T347" s="9">
        <v>620</v>
      </c>
      <c r="U347" s="7" t="s">
        <v>123</v>
      </c>
      <c r="V347" s="6" t="s">
        <v>76</v>
      </c>
      <c r="W347" s="3" t="s">
        <v>158</v>
      </c>
      <c r="X347" s="3" t="s">
        <v>160</v>
      </c>
      <c r="Y347" s="3" t="s">
        <v>1505</v>
      </c>
      <c r="Z347" s="8" t="str">
        <f t="shared" ref="Z347:Z348" si="26">HYPERLINK("http://www.hff.min-saude.pt/","http://www.hff.min-saude.pt/")</f>
        <v>http://www.hff.min-saude.pt/</v>
      </c>
      <c r="AA347" s="8" t="str">
        <f>HYPERLINK("http://www.chuc.min-saude.pt/media/Deliberacao_CA-CHUC_nordm_25-2013.pdf","http://www.chuc.min-saude.pt/media/Deliberacao_CA-CHUC_nordm_25-2013.pdf")</f>
        <v>http://www.chuc.min-saude.pt/media/Deliberacao_CA-CHUC_nordm_25-2013.pdf</v>
      </c>
      <c r="AB347" s="8" t="str">
        <f>HYPERLINK("http://rihuc.huc.min-saude.pt/","http://rihuc.huc.min-saude.pt/")</f>
        <v>http://rihuc.huc.min-saude.pt/</v>
      </c>
      <c r="AC347" s="3">
        <v>40549</v>
      </c>
      <c r="AD347" s="3">
        <v>40550</v>
      </c>
      <c r="AE347" s="3">
        <v>41571</v>
      </c>
      <c r="AF347" s="3" t="s">
        <v>177</v>
      </c>
      <c r="AG347" s="3" t="s">
        <v>178</v>
      </c>
      <c r="AH347" s="3" t="s">
        <v>180</v>
      </c>
      <c r="AI347" s="3" t="s">
        <v>371</v>
      </c>
      <c r="AJ347" s="3" t="s">
        <v>371</v>
      </c>
      <c r="AK347" s="3" t="s">
        <v>244</v>
      </c>
      <c r="AL347" s="3" t="s">
        <v>185</v>
      </c>
      <c r="AM347" s="3" t="s">
        <v>247</v>
      </c>
      <c r="AN347" s="3" t="s">
        <v>244</v>
      </c>
      <c r="AO347" s="3" t="s">
        <v>247</v>
      </c>
      <c r="AP347" s="3" t="s">
        <v>185</v>
      </c>
      <c r="AQ347" s="3" t="s">
        <v>394</v>
      </c>
      <c r="AR347" s="3" t="s">
        <v>288</v>
      </c>
      <c r="AS347" s="3" t="s">
        <v>288</v>
      </c>
      <c r="AT347" s="3" t="s">
        <v>244</v>
      </c>
      <c r="AU347" s="3" t="s">
        <v>244</v>
      </c>
      <c r="AV347" s="3" t="s">
        <v>288</v>
      </c>
      <c r="AW347" s="3" t="s">
        <v>371</v>
      </c>
      <c r="AX347" s="3" t="s">
        <v>244</v>
      </c>
      <c r="AY347" s="3" t="s">
        <v>247</v>
      </c>
    </row>
    <row r="348" spans="1:51" ht="15.75" customHeight="1">
      <c r="A348" s="3">
        <v>261</v>
      </c>
      <c r="B348" s="5" t="str">
        <f t="shared" si="0"/>
        <v>http://roarmap.eprints.org/261/</v>
      </c>
      <c r="C348" s="3">
        <v>3</v>
      </c>
      <c r="D348" s="3" t="s">
        <v>98</v>
      </c>
      <c r="E348" s="3">
        <v>1</v>
      </c>
      <c r="F348" s="3" t="s">
        <v>1508</v>
      </c>
      <c r="G348" s="3">
        <v>41988.92359953704</v>
      </c>
      <c r="H348" s="3">
        <v>41988.92359953704</v>
      </c>
      <c r="I348" s="3">
        <v>41988.92359953704</v>
      </c>
      <c r="J348" s="3" t="s">
        <v>103</v>
      </c>
      <c r="K348" s="3" t="s">
        <v>105</v>
      </c>
      <c r="L348" s="3" t="s">
        <v>1509</v>
      </c>
      <c r="M348" s="3" t="s">
        <v>374</v>
      </c>
      <c r="N348" s="3" t="s">
        <v>1510</v>
      </c>
      <c r="P348" s="3" t="s">
        <v>215</v>
      </c>
      <c r="Q348" t="str">
        <f t="shared" si="24"/>
        <v>http://roarmap.eprints.org/view/country/620.html</v>
      </c>
      <c r="R348" s="3">
        <v>620</v>
      </c>
      <c r="S348" s="6" t="s">
        <v>279</v>
      </c>
      <c r="T348" s="9">
        <v>620</v>
      </c>
      <c r="U348" s="7" t="s">
        <v>123</v>
      </c>
      <c r="V348" s="6" t="s">
        <v>76</v>
      </c>
      <c r="W348" s="3" t="s">
        <v>158</v>
      </c>
      <c r="X348" s="3" t="s">
        <v>160</v>
      </c>
      <c r="Y348" s="3" t="s">
        <v>1509</v>
      </c>
      <c r="Z348" s="8" t="str">
        <f t="shared" si="26"/>
        <v>http://www.hff.min-saude.pt/</v>
      </c>
      <c r="AA348" s="8" t="str">
        <f>HYPERLINK("http://www.hff.min-saude.pt/media/content/DA_0281_T_CA_v01_-_Politica_de_Acesso_Aberto_do_Hospital_Prof_Dr_Fernando_Fonseca_EPE.pdf","http://www.hff.min-saude.pt/media/content/DA_0281_T_CA_v01_-_Politica_de_Acesso_Aberto_do_Hospital_Prof_Dr_Fernando_Fonseca_EPE.pdf")</f>
        <v>http://www.hff.min-saude.pt/media/content/DA_0281_T_CA_v01_-_Politica_de_Acesso_Aberto_do_Hospital_Prof_Dr_Fernando_Fonseca_EPE.pdf</v>
      </c>
      <c r="AB348" s="8" t="str">
        <f>HYPERLINK("http://repositorio.hff.min-saude.pt/","http://repositorio.hff.min-saude.pt/")</f>
        <v>http://repositorio.hff.min-saude.pt/</v>
      </c>
      <c r="AC348" s="3">
        <v>41204</v>
      </c>
      <c r="AD348" s="3">
        <v>41205</v>
      </c>
      <c r="AE348" s="3">
        <v>41571</v>
      </c>
      <c r="AF348" s="3" t="s">
        <v>177</v>
      </c>
      <c r="AG348" s="3" t="s">
        <v>178</v>
      </c>
      <c r="AH348" s="3" t="s">
        <v>180</v>
      </c>
      <c r="AI348" s="3" t="s">
        <v>371</v>
      </c>
      <c r="AJ348" s="3" t="s">
        <v>371</v>
      </c>
      <c r="AK348" s="3" t="s">
        <v>244</v>
      </c>
      <c r="AL348" s="3" t="s">
        <v>185</v>
      </c>
      <c r="AM348" s="3" t="s">
        <v>178</v>
      </c>
      <c r="AN348" s="3" t="s">
        <v>244</v>
      </c>
      <c r="AO348" s="3" t="s">
        <v>378</v>
      </c>
      <c r="AP348" s="3" t="s">
        <v>244</v>
      </c>
      <c r="AQ348" s="3" t="s">
        <v>247</v>
      </c>
      <c r="AR348" s="3" t="s">
        <v>288</v>
      </c>
      <c r="AS348" s="3" t="s">
        <v>288</v>
      </c>
      <c r="AT348" s="3" t="s">
        <v>244</v>
      </c>
      <c r="AU348" s="3" t="s">
        <v>244</v>
      </c>
      <c r="AV348" s="3" t="s">
        <v>288</v>
      </c>
      <c r="AW348" s="3" t="s">
        <v>520</v>
      </c>
      <c r="AX348" s="3" t="s">
        <v>244</v>
      </c>
      <c r="AY348" s="3" t="s">
        <v>247</v>
      </c>
    </row>
    <row r="349" spans="1:51" ht="15.75" customHeight="1">
      <c r="A349" s="3">
        <v>263</v>
      </c>
      <c r="B349" s="5" t="str">
        <f t="shared" si="0"/>
        <v>http://roarmap.eprints.org/263/</v>
      </c>
      <c r="C349" s="3">
        <v>4</v>
      </c>
      <c r="D349" s="3" t="s">
        <v>98</v>
      </c>
      <c r="E349" s="3">
        <v>268</v>
      </c>
      <c r="F349" s="3" t="s">
        <v>1511</v>
      </c>
      <c r="G349" s="3">
        <v>41988.92359953704</v>
      </c>
      <c r="H349" s="3">
        <v>42046.981678240743</v>
      </c>
      <c r="I349" s="3">
        <v>41988.92359953704</v>
      </c>
      <c r="J349" s="3" t="s">
        <v>103</v>
      </c>
      <c r="K349" s="3" t="s">
        <v>105</v>
      </c>
      <c r="L349" s="3" t="s">
        <v>1512</v>
      </c>
      <c r="M349" s="3" t="s">
        <v>532</v>
      </c>
      <c r="P349" s="3" t="s">
        <v>215</v>
      </c>
      <c r="Q349" t="str">
        <f t="shared" si="24"/>
        <v>http://roarmap.eprints.org/view/country/620.html</v>
      </c>
      <c r="R349" s="3">
        <v>620</v>
      </c>
      <c r="S349" s="6" t="s">
        <v>279</v>
      </c>
      <c r="T349" s="9">
        <v>620</v>
      </c>
      <c r="U349" s="7" t="s">
        <v>123</v>
      </c>
      <c r="V349" s="6" t="s">
        <v>76</v>
      </c>
      <c r="W349" s="3" t="s">
        <v>158</v>
      </c>
      <c r="X349" s="3" t="s">
        <v>160</v>
      </c>
      <c r="Y349" s="3" t="s">
        <v>1512</v>
      </c>
      <c r="Z349" s="8" t="str">
        <f>HYPERLINK("http://www.iscte-iul.pt/home.aspx","http://www.iscte-iul.pt/home.aspx")</f>
        <v>http://www.iscte-iul.pt/home.aspx</v>
      </c>
      <c r="AB349" s="8" t="str">
        <f>HYPERLINK("https://repositorio.iscte-iul.pt/","https://repositorio.iscte-iul.pt/")</f>
        <v>https://repositorio.iscte-iul.pt/</v>
      </c>
      <c r="AD349" s="3">
        <v>40513</v>
      </c>
      <c r="AF349" s="3" t="s">
        <v>244</v>
      </c>
      <c r="AG349" s="3" t="s">
        <v>178</v>
      </c>
      <c r="AH349" s="3" t="s">
        <v>180</v>
      </c>
      <c r="AI349" s="3" t="s">
        <v>244</v>
      </c>
      <c r="AJ349" s="3" t="s">
        <v>182</v>
      </c>
      <c r="AK349" s="3" t="s">
        <v>244</v>
      </c>
      <c r="AL349" s="3" t="s">
        <v>185</v>
      </c>
      <c r="AM349" s="3" t="s">
        <v>178</v>
      </c>
      <c r="AN349" s="3" t="s">
        <v>185</v>
      </c>
      <c r="AO349" s="3" t="s">
        <v>247</v>
      </c>
      <c r="AP349" s="3" t="s">
        <v>185</v>
      </c>
      <c r="AQ349" s="3" t="s">
        <v>394</v>
      </c>
      <c r="AR349" s="3" t="s">
        <v>288</v>
      </c>
      <c r="AS349" s="3" t="s">
        <v>185</v>
      </c>
      <c r="AT349" s="3" t="s">
        <v>244</v>
      </c>
      <c r="AU349" s="3" t="s">
        <v>244</v>
      </c>
      <c r="AV349" s="3" t="s">
        <v>288</v>
      </c>
      <c r="AW349" s="3" t="s">
        <v>195</v>
      </c>
      <c r="AX349" s="3" t="s">
        <v>244</v>
      </c>
      <c r="AY349" s="3" t="s">
        <v>247</v>
      </c>
    </row>
    <row r="350" spans="1:51" ht="15.75" customHeight="1">
      <c r="A350" s="3">
        <v>278</v>
      </c>
      <c r="B350" s="5" t="str">
        <f t="shared" si="0"/>
        <v>http://roarmap.eprints.org/278/</v>
      </c>
      <c r="C350" s="3">
        <v>3</v>
      </c>
      <c r="D350" s="3" t="s">
        <v>98</v>
      </c>
      <c r="E350" s="3">
        <v>1</v>
      </c>
      <c r="F350" s="3" t="s">
        <v>1513</v>
      </c>
      <c r="G350" s="3">
        <v>41988.923634259256</v>
      </c>
      <c r="H350" s="3">
        <v>41988.923634259256</v>
      </c>
      <c r="I350" s="3">
        <v>41988.923634259256</v>
      </c>
      <c r="J350" s="3" t="s">
        <v>103</v>
      </c>
      <c r="K350" s="3" t="s">
        <v>105</v>
      </c>
      <c r="L350" s="3" t="s">
        <v>1514</v>
      </c>
      <c r="M350" s="3" t="s">
        <v>374</v>
      </c>
      <c r="P350" s="3" t="s">
        <v>215</v>
      </c>
      <c r="Q350" t="str">
        <f t="shared" si="24"/>
        <v>http://roarmap.eprints.org/view/country/620.html</v>
      </c>
      <c r="R350" s="3">
        <v>620</v>
      </c>
      <c r="S350" s="6" t="s">
        <v>279</v>
      </c>
      <c r="T350" s="9">
        <v>620</v>
      </c>
      <c r="U350" s="7" t="s">
        <v>123</v>
      </c>
      <c r="V350" s="6" t="s">
        <v>76</v>
      </c>
      <c r="W350" s="3" t="s">
        <v>158</v>
      </c>
      <c r="X350" s="3" t="s">
        <v>160</v>
      </c>
      <c r="Y350" s="3" t="s">
        <v>1515</v>
      </c>
      <c r="Z350" s="8" t="str">
        <f>HYPERLINK("http://www.ispa.pt/","http://www.ispa.pt/")</f>
        <v>http://www.ispa.pt/</v>
      </c>
      <c r="AA350" s="8" t="str">
        <f>HYPERLINK("http://cd.ispa.pt/pagina/politica-de-deposito","http://cd.ispa.pt/pagina/politica-de-deposito")</f>
        <v>http://cd.ispa.pt/pagina/politica-de-deposito</v>
      </c>
      <c r="AB350" s="8" t="str">
        <f>HYPERLINK("http://cd.ispa.pt/pagina/http/repositorio.ispa.pt","http://cd.ispa.pt/pagina/http//repositorio.ispa.pt")</f>
        <v>http://cd.ispa.pt/pagina/http//repositorio.ispa.pt</v>
      </c>
      <c r="AC350" s="3">
        <v>40994</v>
      </c>
      <c r="AD350" s="3">
        <v>40994</v>
      </c>
      <c r="AE350" s="3">
        <v>41117</v>
      </c>
      <c r="AF350" s="3" t="s">
        <v>244</v>
      </c>
      <c r="AG350" s="3" t="s">
        <v>333</v>
      </c>
      <c r="AH350" s="3" t="s">
        <v>180</v>
      </c>
      <c r="AI350" s="3" t="s">
        <v>244</v>
      </c>
      <c r="AJ350" s="3" t="s">
        <v>182</v>
      </c>
      <c r="AK350" s="3" t="s">
        <v>244</v>
      </c>
      <c r="AL350" s="3" t="s">
        <v>288</v>
      </c>
      <c r="AM350" s="3" t="s">
        <v>479</v>
      </c>
      <c r="AN350" s="3" t="s">
        <v>189</v>
      </c>
      <c r="AO350" s="3" t="s">
        <v>247</v>
      </c>
      <c r="AP350" s="3" t="s">
        <v>244</v>
      </c>
      <c r="AQ350" s="3" t="s">
        <v>394</v>
      </c>
      <c r="AR350" s="3" t="s">
        <v>288</v>
      </c>
      <c r="AS350" s="3" t="s">
        <v>189</v>
      </c>
      <c r="AT350" s="3" t="s">
        <v>244</v>
      </c>
      <c r="AU350" s="3" t="s">
        <v>244</v>
      </c>
      <c r="AV350" s="3" t="s">
        <v>288</v>
      </c>
      <c r="AW350" s="3" t="s">
        <v>371</v>
      </c>
      <c r="AX350" s="3" t="s">
        <v>244</v>
      </c>
      <c r="AY350" s="3" t="s">
        <v>247</v>
      </c>
    </row>
    <row r="351" spans="1:51" ht="15.75" customHeight="1">
      <c r="A351" s="3">
        <v>265</v>
      </c>
      <c r="B351" s="5" t="str">
        <f t="shared" si="0"/>
        <v>http://roarmap.eprints.org/265/</v>
      </c>
      <c r="C351" s="3">
        <v>4</v>
      </c>
      <c r="D351" s="3" t="s">
        <v>98</v>
      </c>
      <c r="E351" s="3">
        <v>270</v>
      </c>
      <c r="F351" s="3" t="s">
        <v>1516</v>
      </c>
      <c r="G351" s="3">
        <v>41988.923611111109</v>
      </c>
      <c r="H351" s="3">
        <v>42046.981678240743</v>
      </c>
      <c r="I351" s="3">
        <v>41988.923611111109</v>
      </c>
      <c r="J351" s="3" t="s">
        <v>103</v>
      </c>
      <c r="K351" s="3" t="s">
        <v>105</v>
      </c>
      <c r="L351" s="3" t="s">
        <v>1517</v>
      </c>
      <c r="M351" s="3" t="s">
        <v>374</v>
      </c>
      <c r="O351" s="3" t="s">
        <v>1518</v>
      </c>
      <c r="P351" s="3" t="s">
        <v>215</v>
      </c>
      <c r="Q351" t="str">
        <f t="shared" si="24"/>
        <v>http://roarmap.eprints.org/view/country/620.html</v>
      </c>
      <c r="R351" s="3">
        <v>620</v>
      </c>
      <c r="S351" s="6" t="s">
        <v>279</v>
      </c>
      <c r="T351" s="9">
        <v>620</v>
      </c>
      <c r="U351" s="7" t="s">
        <v>123</v>
      </c>
      <c r="V351" s="6" t="s">
        <v>76</v>
      </c>
      <c r="W351" s="3" t="s">
        <v>158</v>
      </c>
      <c r="X351" s="3" t="s">
        <v>160</v>
      </c>
      <c r="Y351" s="3" t="s">
        <v>1517</v>
      </c>
      <c r="Z351" s="8" t="str">
        <f>HYPERLINK("http://www.ipcb.pt/","http://www.ipcb.pt/")</f>
        <v>http://www.ipcb.pt/</v>
      </c>
      <c r="AA351" s="8" t="str">
        <f>HYPERLINK("http://roarmap.eprints.org/598/3/POLITICA_MANDATORIA_FINAL.pdf","http://roarmap.eprints.org/598/3/POLITICA_MANDATORIA_FINAL.pdf")</f>
        <v>http://roarmap.eprints.org/598/3/POLITICA_MANDATORIA_FINAL.pdf</v>
      </c>
      <c r="AB351" s="8" t="str">
        <f>HYPERLINK("http://repositorio.ipcb.pt/?locale=en","http://repositorio.ipcb.pt/?locale=en")</f>
        <v>http://repositorio.ipcb.pt/?locale=en</v>
      </c>
      <c r="AC351" s="3">
        <v>40926</v>
      </c>
      <c r="AD351" s="3">
        <v>40927</v>
      </c>
      <c r="AF351" s="3" t="s">
        <v>177</v>
      </c>
      <c r="AG351" s="3" t="s">
        <v>178</v>
      </c>
      <c r="AH351" s="3" t="s">
        <v>180</v>
      </c>
      <c r="AI351" s="3" t="s">
        <v>244</v>
      </c>
      <c r="AJ351" s="3" t="s">
        <v>371</v>
      </c>
      <c r="AK351" s="3" t="s">
        <v>244</v>
      </c>
      <c r="AL351" s="3" t="s">
        <v>185</v>
      </c>
      <c r="AM351" s="3" t="s">
        <v>479</v>
      </c>
      <c r="AN351" s="3" t="s">
        <v>244</v>
      </c>
      <c r="AO351" s="3" t="s">
        <v>181</v>
      </c>
      <c r="AP351" s="3" t="s">
        <v>244</v>
      </c>
      <c r="AQ351" s="3" t="s">
        <v>394</v>
      </c>
      <c r="AR351" s="3" t="s">
        <v>288</v>
      </c>
      <c r="AS351" s="3" t="s">
        <v>288</v>
      </c>
      <c r="AT351" s="3" t="s">
        <v>244</v>
      </c>
      <c r="AU351" s="3" t="s">
        <v>244</v>
      </c>
      <c r="AV351" s="3" t="s">
        <v>288</v>
      </c>
      <c r="AW351" s="3" t="s">
        <v>371</v>
      </c>
      <c r="AX351" s="3" t="s">
        <v>244</v>
      </c>
      <c r="AY351" s="3" t="s">
        <v>247</v>
      </c>
    </row>
    <row r="352" spans="1:51" ht="15.75" customHeight="1">
      <c r="A352" s="3">
        <v>266</v>
      </c>
      <c r="B352" s="5" t="str">
        <f t="shared" si="0"/>
        <v>http://roarmap.eprints.org/266/</v>
      </c>
      <c r="C352" s="3">
        <v>4</v>
      </c>
      <c r="D352" s="3" t="s">
        <v>98</v>
      </c>
      <c r="E352" s="3">
        <v>271</v>
      </c>
      <c r="F352" s="3" t="s">
        <v>1519</v>
      </c>
      <c r="G352" s="3">
        <v>41988.923611111109</v>
      </c>
      <c r="H352" s="3">
        <v>42046.981678240743</v>
      </c>
      <c r="I352" s="3">
        <v>41988.923611111109</v>
      </c>
      <c r="J352" s="3" t="s">
        <v>103</v>
      </c>
      <c r="K352" s="3" t="s">
        <v>105</v>
      </c>
      <c r="L352" s="3" t="s">
        <v>1520</v>
      </c>
      <c r="M352" s="3" t="s">
        <v>374</v>
      </c>
      <c r="O352" s="3" t="s">
        <v>1521</v>
      </c>
      <c r="P352" s="3" t="s">
        <v>215</v>
      </c>
      <c r="Q352" t="str">
        <f t="shared" si="24"/>
        <v>http://roarmap.eprints.org/view/country/620.html</v>
      </c>
      <c r="R352" s="3">
        <v>620</v>
      </c>
      <c r="S352" s="6" t="s">
        <v>279</v>
      </c>
      <c r="T352" s="9">
        <v>620</v>
      </c>
      <c r="U352" s="7" t="s">
        <v>123</v>
      </c>
      <c r="V352" s="6" t="s">
        <v>76</v>
      </c>
      <c r="W352" s="3" t="s">
        <v>158</v>
      </c>
      <c r="X352" s="3" t="s">
        <v>160</v>
      </c>
      <c r="Y352" s="3" t="s">
        <v>1520</v>
      </c>
      <c r="Z352" s="8" t="str">
        <f>HYPERLINK("http://www.ipv.pt/","http://www.ipv.pt/")</f>
        <v>http://www.ipv.pt/</v>
      </c>
      <c r="AA352" s="8" t="str">
        <f>HYPERLINK("http://bibliotecas.esev.ipv.pt/opac-tmpl/prog/Books/despacho_6_2012.pdf","http://bibliotecas.esev.ipv.pt/opac-tmpl/prog/Books/despacho_6_2012.pdf")</f>
        <v>http://bibliotecas.esev.ipv.pt/opac-tmpl/prog/Books/despacho_6_2012.pdf</v>
      </c>
      <c r="AB352" s="8" t="str">
        <f>HYPERLINK("http://repositorio.ipv.pt/","http://repositorio.ipv.pt/")</f>
        <v>http://repositorio.ipv.pt/</v>
      </c>
      <c r="AC352" s="3">
        <v>41002</v>
      </c>
      <c r="AD352" s="3">
        <v>41003</v>
      </c>
      <c r="AF352" s="3" t="s">
        <v>177</v>
      </c>
      <c r="AG352" s="3" t="s">
        <v>333</v>
      </c>
      <c r="AH352" s="3" t="s">
        <v>180</v>
      </c>
      <c r="AI352" s="3" t="s">
        <v>244</v>
      </c>
      <c r="AJ352" s="3" t="s">
        <v>371</v>
      </c>
      <c r="AK352" s="3" t="s">
        <v>371</v>
      </c>
      <c r="AL352" s="3" t="s">
        <v>288</v>
      </c>
      <c r="AM352" s="3" t="s">
        <v>479</v>
      </c>
      <c r="AN352" s="3" t="s">
        <v>189</v>
      </c>
      <c r="AO352" s="3" t="s">
        <v>247</v>
      </c>
      <c r="AP352" s="3" t="s">
        <v>244</v>
      </c>
      <c r="AQ352" s="3" t="s">
        <v>394</v>
      </c>
      <c r="AR352" s="3" t="s">
        <v>288</v>
      </c>
      <c r="AS352" s="3" t="s">
        <v>288</v>
      </c>
      <c r="AT352" s="3" t="s">
        <v>244</v>
      </c>
      <c r="AU352" s="3" t="s">
        <v>244</v>
      </c>
      <c r="AV352" s="3" t="s">
        <v>288</v>
      </c>
      <c r="AW352" s="3" t="s">
        <v>195</v>
      </c>
      <c r="AX352" s="3" t="s">
        <v>244</v>
      </c>
      <c r="AY352" s="3" t="s">
        <v>247</v>
      </c>
    </row>
    <row r="353" spans="1:51" ht="15.75" customHeight="1">
      <c r="A353" s="3">
        <v>264</v>
      </c>
      <c r="B353" s="5" t="str">
        <f t="shared" si="0"/>
        <v>http://roarmap.eprints.org/264/</v>
      </c>
      <c r="C353" s="3">
        <v>6</v>
      </c>
      <c r="D353" s="3" t="s">
        <v>98</v>
      </c>
      <c r="E353" s="3">
        <v>269</v>
      </c>
      <c r="F353" s="3" t="s">
        <v>1522</v>
      </c>
      <c r="G353" s="3">
        <v>41988.923611111109</v>
      </c>
      <c r="H353" s="3">
        <v>42046.981678240743</v>
      </c>
      <c r="I353" s="3">
        <v>41988.923611111109</v>
      </c>
      <c r="J353" s="3" t="s">
        <v>103</v>
      </c>
      <c r="K353" s="3" t="s">
        <v>105</v>
      </c>
      <c r="L353" s="3" t="s">
        <v>1523</v>
      </c>
      <c r="M353" s="3" t="s">
        <v>374</v>
      </c>
      <c r="N353" s="3" t="s">
        <v>1524</v>
      </c>
      <c r="O353" s="3" t="s">
        <v>1525</v>
      </c>
      <c r="P353" s="3" t="s">
        <v>215</v>
      </c>
      <c r="Q353" t="str">
        <f t="shared" si="24"/>
        <v>http://roarmap.eprints.org/view/country/620.html</v>
      </c>
      <c r="R353" s="3">
        <v>620</v>
      </c>
      <c r="S353" s="6" t="s">
        <v>279</v>
      </c>
      <c r="T353" s="9">
        <v>620</v>
      </c>
      <c r="U353" s="7" t="s">
        <v>123</v>
      </c>
      <c r="V353" s="6" t="s">
        <v>76</v>
      </c>
      <c r="W353" s="3" t="s">
        <v>158</v>
      </c>
      <c r="X353" s="3" t="s">
        <v>160</v>
      </c>
      <c r="Y353" s="3" t="s">
        <v>1523</v>
      </c>
      <c r="Z353" s="8" t="str">
        <f>HYPERLINK("http://portal3.ipb.pt/index.php/pt/ipb","http://portal3.ipb.pt/index.php/pt/ipb")</f>
        <v>http://portal3.ipb.pt/index.php/pt/ipb</v>
      </c>
      <c r="AA353" s="8" t="str">
        <f>HYPERLINK("http://www.ipb.pt/go/e852","http://www.ipb.pt/go/e852")</f>
        <v>http://www.ipb.pt/go/e852</v>
      </c>
      <c r="AB353" s="8" t="str">
        <f>HYPERLINK("https://bibliotecadigital.ipb.pt/","https://bibliotecadigital.ipb.pt/")</f>
        <v>https://bibliotecadigital.ipb.pt/</v>
      </c>
      <c r="AC353" s="3">
        <v>2010</v>
      </c>
      <c r="AD353" s="3">
        <v>40340</v>
      </c>
      <c r="AF353" s="3" t="s">
        <v>177</v>
      </c>
      <c r="AG353" s="3" t="s">
        <v>178</v>
      </c>
      <c r="AH353" s="3" t="s">
        <v>180</v>
      </c>
      <c r="AI353" s="3" t="s">
        <v>244</v>
      </c>
      <c r="AJ353" s="3" t="s">
        <v>182</v>
      </c>
      <c r="AK353" s="3" t="s">
        <v>393</v>
      </c>
      <c r="AL353" s="3" t="s">
        <v>189</v>
      </c>
      <c r="AM353" s="3" t="s">
        <v>479</v>
      </c>
      <c r="AN353" s="3" t="s">
        <v>189</v>
      </c>
      <c r="AO353" s="3" t="s">
        <v>392</v>
      </c>
      <c r="AP353" s="3" t="s">
        <v>189</v>
      </c>
      <c r="AQ353" s="3" t="s">
        <v>394</v>
      </c>
      <c r="AR353" s="3" t="s">
        <v>288</v>
      </c>
      <c r="AS353" s="3" t="s">
        <v>189</v>
      </c>
      <c r="AT353" s="3" t="s">
        <v>379</v>
      </c>
      <c r="AU353" s="3" t="s">
        <v>379</v>
      </c>
      <c r="AV353" s="3" t="s">
        <v>189</v>
      </c>
      <c r="AW353" s="3" t="s">
        <v>244</v>
      </c>
      <c r="AX353" s="3" t="s">
        <v>341</v>
      </c>
    </row>
    <row r="354" spans="1:51" ht="15.75" customHeight="1">
      <c r="A354" s="3">
        <v>267</v>
      </c>
      <c r="B354" s="5" t="str">
        <f t="shared" si="0"/>
        <v>http://roarmap.eprints.org/267/</v>
      </c>
      <c r="C354" s="3">
        <v>3</v>
      </c>
      <c r="D354" s="3" t="s">
        <v>98</v>
      </c>
      <c r="E354" s="3">
        <v>1</v>
      </c>
      <c r="F354" s="3" t="s">
        <v>1526</v>
      </c>
      <c r="G354" s="3">
        <v>41988.923611111109</v>
      </c>
      <c r="H354" s="3">
        <v>41988.923611111109</v>
      </c>
      <c r="I354" s="3">
        <v>41988.923611111109</v>
      </c>
      <c r="J354" s="3" t="s">
        <v>103</v>
      </c>
      <c r="K354" s="3" t="s">
        <v>105</v>
      </c>
      <c r="L354" s="3" t="s">
        <v>1527</v>
      </c>
      <c r="M354" s="3" t="s">
        <v>352</v>
      </c>
      <c r="O354" s="3" t="s">
        <v>1528</v>
      </c>
      <c r="P354" s="3" t="s">
        <v>215</v>
      </c>
      <c r="Q354" t="str">
        <f t="shared" si="24"/>
        <v>http://roarmap.eprints.org/view/country/620.html</v>
      </c>
      <c r="R354" s="3">
        <v>620</v>
      </c>
      <c r="S354" s="6" t="s">
        <v>279</v>
      </c>
      <c r="T354" s="9">
        <v>620</v>
      </c>
      <c r="U354" s="7" t="s">
        <v>123</v>
      </c>
      <c r="V354" s="6" t="s">
        <v>76</v>
      </c>
      <c r="W354" s="3" t="s">
        <v>158</v>
      </c>
      <c r="X354" s="3" t="s">
        <v>384</v>
      </c>
      <c r="Y354" s="3" t="s">
        <v>1527</v>
      </c>
      <c r="Z354" s="8" t="str">
        <f>HYPERLINK("http://www.fct.unl.pt/","http://www.fct.unl.pt/")</f>
        <v>http://www.fct.unl.pt/</v>
      </c>
      <c r="AE354" s="3">
        <v>40513</v>
      </c>
      <c r="AF354" s="3" t="s">
        <v>244</v>
      </c>
      <c r="AG354" s="3" t="s">
        <v>333</v>
      </c>
      <c r="AH354" s="3" t="s">
        <v>180</v>
      </c>
      <c r="AI354" s="3" t="s">
        <v>244</v>
      </c>
      <c r="AJ354" s="3" t="s">
        <v>182</v>
      </c>
      <c r="AK354" s="3" t="s">
        <v>244</v>
      </c>
      <c r="AL354" s="3" t="s">
        <v>288</v>
      </c>
      <c r="AM354" s="3" t="s">
        <v>479</v>
      </c>
      <c r="AN354" s="3" t="s">
        <v>189</v>
      </c>
      <c r="AO354" s="3" t="s">
        <v>247</v>
      </c>
      <c r="AP354" s="3" t="s">
        <v>244</v>
      </c>
      <c r="AQ354" s="3" t="s">
        <v>247</v>
      </c>
      <c r="AR354" s="3" t="s">
        <v>288</v>
      </c>
      <c r="AS354" s="3" t="s">
        <v>288</v>
      </c>
      <c r="AT354" s="3" t="s">
        <v>244</v>
      </c>
      <c r="AU354" s="3" t="s">
        <v>244</v>
      </c>
      <c r="AV354" s="3" t="s">
        <v>288</v>
      </c>
      <c r="AW354" s="3" t="s">
        <v>195</v>
      </c>
      <c r="AX354" s="3" t="s">
        <v>244</v>
      </c>
      <c r="AY354" s="3" t="s">
        <v>247</v>
      </c>
    </row>
    <row r="355" spans="1:51" ht="15.75" customHeight="1">
      <c r="A355" s="3">
        <v>268</v>
      </c>
      <c r="B355" s="5" t="str">
        <f t="shared" si="0"/>
        <v>http://roarmap.eprints.org/268/</v>
      </c>
      <c r="C355" s="3">
        <v>4</v>
      </c>
      <c r="D355" s="3" t="s">
        <v>98</v>
      </c>
      <c r="E355" s="3">
        <v>272</v>
      </c>
      <c r="F355" s="3" t="s">
        <v>1529</v>
      </c>
      <c r="G355" s="3">
        <v>41988.923611111109</v>
      </c>
      <c r="H355" s="3">
        <v>42046.981678240743</v>
      </c>
      <c r="I355" s="3">
        <v>41988.923611111109</v>
      </c>
      <c r="J355" s="3" t="s">
        <v>103</v>
      </c>
      <c r="K355" s="3" t="s">
        <v>105</v>
      </c>
      <c r="L355" s="3" t="s">
        <v>1530</v>
      </c>
      <c r="M355" s="3" t="s">
        <v>374</v>
      </c>
      <c r="O355" s="3" t="s">
        <v>1531</v>
      </c>
      <c r="P355" s="3" t="s">
        <v>215</v>
      </c>
      <c r="Q355" t="str">
        <f t="shared" si="24"/>
        <v>http://roarmap.eprints.org/view/country/620.html</v>
      </c>
      <c r="R355" s="3">
        <v>620</v>
      </c>
      <c r="S355" s="6" t="s">
        <v>279</v>
      </c>
      <c r="T355" s="9">
        <v>620</v>
      </c>
      <c r="U355" s="7" t="s">
        <v>123</v>
      </c>
      <c r="V355" s="6" t="s">
        <v>76</v>
      </c>
      <c r="W355" s="3" t="s">
        <v>158</v>
      </c>
      <c r="X355" s="3" t="s">
        <v>160</v>
      </c>
      <c r="Y355" s="3" t="s">
        <v>1530</v>
      </c>
      <c r="Z355" s="8" t="str">
        <f>HYPERLINK("http://www.ipleiria.pt/Paginas/default.aspx","http://www.ipleiria.pt/Paginas/default.aspx")</f>
        <v>http://www.ipleiria.pt/Paginas/default.aspx</v>
      </c>
      <c r="AA355" s="8" t="str">
        <f>HYPERLINK("http://roarmap.eprints.org/436/1/Despacho_n%C2%BA_26-2011.pdf","http://roarmap.eprints.org/436/1/Despacho_n%C2%BA_26-2011.pdf")</f>
        <v>http://roarmap.eprints.org/436/1/Despacho_n%C2%BA_26-2011.pdf</v>
      </c>
      <c r="AB355" s="8" t="str">
        <f>HYPERLINK("http://repositorio.ipl.pt/","http://repositorio.ipl.pt/")</f>
        <v>http://repositorio.ipl.pt/</v>
      </c>
      <c r="AD355" s="3">
        <v>40595</v>
      </c>
      <c r="AF355" s="3" t="s">
        <v>177</v>
      </c>
      <c r="AG355" s="3" t="s">
        <v>333</v>
      </c>
      <c r="AH355" s="3" t="s">
        <v>180</v>
      </c>
      <c r="AI355" s="3" t="s">
        <v>187</v>
      </c>
      <c r="AJ355" s="3" t="s">
        <v>371</v>
      </c>
      <c r="AK355" s="3" t="s">
        <v>244</v>
      </c>
      <c r="AL355" s="3" t="s">
        <v>288</v>
      </c>
      <c r="AM355" s="3" t="s">
        <v>479</v>
      </c>
      <c r="AN355" s="3" t="s">
        <v>189</v>
      </c>
      <c r="AO355" s="3" t="s">
        <v>247</v>
      </c>
      <c r="AP355" s="3" t="s">
        <v>244</v>
      </c>
      <c r="AQ355" s="3" t="s">
        <v>394</v>
      </c>
      <c r="AR355" s="3" t="s">
        <v>288</v>
      </c>
      <c r="AS355" s="3" t="s">
        <v>288</v>
      </c>
      <c r="AT355" s="3" t="s">
        <v>244</v>
      </c>
      <c r="AU355" s="3" t="s">
        <v>244</v>
      </c>
      <c r="AV355" s="3" t="s">
        <v>288</v>
      </c>
      <c r="AW355" s="3" t="s">
        <v>195</v>
      </c>
      <c r="AX355" s="3" t="s">
        <v>244</v>
      </c>
      <c r="AY355" s="3" t="s">
        <v>247</v>
      </c>
    </row>
    <row r="356" spans="1:51" ht="15.75" customHeight="1">
      <c r="A356" s="3">
        <v>269</v>
      </c>
      <c r="B356" s="5" t="str">
        <f t="shared" si="0"/>
        <v>http://roarmap.eprints.org/269/</v>
      </c>
      <c r="C356" s="3">
        <v>3</v>
      </c>
      <c r="D356" s="3" t="s">
        <v>98</v>
      </c>
      <c r="E356" s="3">
        <v>1</v>
      </c>
      <c r="F356" s="3" t="s">
        <v>1532</v>
      </c>
      <c r="G356" s="3">
        <v>41988.923611111109</v>
      </c>
      <c r="H356" s="3">
        <v>41988.923611111109</v>
      </c>
      <c r="I356" s="3">
        <v>41988.923611111109</v>
      </c>
      <c r="J356" s="3" t="s">
        <v>103</v>
      </c>
      <c r="K356" s="3" t="s">
        <v>105</v>
      </c>
      <c r="L356" s="3" t="s">
        <v>1533</v>
      </c>
      <c r="M356" s="3" t="s">
        <v>352</v>
      </c>
      <c r="O356" s="3" t="s">
        <v>1534</v>
      </c>
      <c r="P356" s="3" t="s">
        <v>215</v>
      </c>
      <c r="Q356" t="str">
        <f t="shared" si="24"/>
        <v>http://roarmap.eprints.org/view/country/620.html</v>
      </c>
      <c r="R356" s="3">
        <v>620</v>
      </c>
      <c r="S356" s="6" t="s">
        <v>279</v>
      </c>
      <c r="T356" s="9">
        <v>620</v>
      </c>
      <c r="U356" s="7" t="s">
        <v>123</v>
      </c>
      <c r="V356" s="6" t="s">
        <v>76</v>
      </c>
      <c r="W356" s="3" t="s">
        <v>158</v>
      </c>
      <c r="X356" s="3" t="s">
        <v>160</v>
      </c>
      <c r="Y356" s="3" t="s">
        <v>1533</v>
      </c>
      <c r="Z356" s="8" t="str">
        <f>HYPERLINK("http://www.uab.pt/web/guest/home;jsessionid=69C4C7F7E49101DE4F8E65AA3CD165D6","http://www.uab.pt/web/guest/home;jsessionid=69C4C7F7E49101DE4F8E65AA3CD165D6")</f>
        <v>http://www.uab.pt/web/guest/home;jsessionid=69C4C7F7E49101DE4F8E65AA3CD165D6</v>
      </c>
      <c r="AB356" s="8" t="str">
        <f>HYPERLINK("https://repositorioaberto.uab.pt/","https://repositorioaberto.uab.pt/")</f>
        <v>https://repositorioaberto.uab.pt/</v>
      </c>
      <c r="AF356" s="3" t="s">
        <v>244</v>
      </c>
      <c r="AG356" s="3" t="s">
        <v>333</v>
      </c>
      <c r="AH356" s="3" t="s">
        <v>180</v>
      </c>
      <c r="AI356" s="3" t="s">
        <v>244</v>
      </c>
      <c r="AJ356" s="3" t="s">
        <v>182</v>
      </c>
      <c r="AK356" s="3" t="s">
        <v>244</v>
      </c>
      <c r="AL356" s="3" t="s">
        <v>288</v>
      </c>
      <c r="AM356" s="3" t="s">
        <v>479</v>
      </c>
      <c r="AN356" s="3" t="s">
        <v>244</v>
      </c>
      <c r="AO356" s="3" t="s">
        <v>247</v>
      </c>
      <c r="AP356" s="3" t="s">
        <v>244</v>
      </c>
      <c r="AQ356" s="3" t="s">
        <v>394</v>
      </c>
      <c r="AR356" s="3" t="s">
        <v>288</v>
      </c>
      <c r="AS356" s="3" t="s">
        <v>185</v>
      </c>
      <c r="AT356" s="3" t="s">
        <v>244</v>
      </c>
      <c r="AU356" s="3" t="s">
        <v>244</v>
      </c>
      <c r="AV356" s="3" t="s">
        <v>288</v>
      </c>
      <c r="AW356" s="3" t="s">
        <v>195</v>
      </c>
      <c r="AX356" s="3" t="s">
        <v>244</v>
      </c>
      <c r="AY356" s="3" t="s">
        <v>247</v>
      </c>
    </row>
    <row r="357" spans="1:51" ht="15.75" customHeight="1">
      <c r="A357" s="3">
        <v>270</v>
      </c>
      <c r="B357" s="5" t="str">
        <f t="shared" si="0"/>
        <v>http://roarmap.eprints.org/270/</v>
      </c>
      <c r="C357" s="3">
        <v>3</v>
      </c>
      <c r="D357" s="3" t="s">
        <v>98</v>
      </c>
      <c r="E357" s="3">
        <v>1</v>
      </c>
      <c r="F357" s="3" t="s">
        <v>1535</v>
      </c>
      <c r="G357" s="3">
        <v>41988.923622685186</v>
      </c>
      <c r="H357" s="3">
        <v>41988.923622685186</v>
      </c>
      <c r="I357" s="3">
        <v>41988.923622685186</v>
      </c>
      <c r="J357" s="3" t="s">
        <v>103</v>
      </c>
      <c r="K357" s="3" t="s">
        <v>105</v>
      </c>
      <c r="L357" s="3" t="s">
        <v>1536</v>
      </c>
      <c r="M357" s="3" t="s">
        <v>374</v>
      </c>
      <c r="N357" s="3" t="s">
        <v>1537</v>
      </c>
      <c r="P357" s="3" t="s">
        <v>215</v>
      </c>
      <c r="Q357" t="str">
        <f t="shared" si="24"/>
        <v>http://roarmap.eprints.org/view/country/620.html</v>
      </c>
      <c r="R357" s="3">
        <v>620</v>
      </c>
      <c r="S357" s="6" t="s">
        <v>279</v>
      </c>
      <c r="T357" s="9">
        <v>620</v>
      </c>
      <c r="U357" s="7" t="s">
        <v>123</v>
      </c>
      <c r="V357" s="6" t="s">
        <v>76</v>
      </c>
      <c r="W357" s="3" t="s">
        <v>158</v>
      </c>
      <c r="X357" s="3" t="s">
        <v>160</v>
      </c>
      <c r="Y357" s="3" t="s">
        <v>1536</v>
      </c>
      <c r="Z357" s="8" t="str">
        <f>HYPERLINK("http://www.universidade-autonoma.pt/","http://www.universidade-autonoma.pt/")</f>
        <v>http://www.universidade-autonoma.pt/</v>
      </c>
      <c r="AA357" s="8" t="str">
        <f>HYPERLINK("http://repositorio.ual.pt/Pol%C3%ADtica%20de%20Dep%C3%B3sito%20de%20Publica%C3%A7%C3%B5es.pdf","http://repositorio.ual.pt/Pol%C3%ADtica%20de%20Dep%C3%B3sito%20de%20Publica%C3%A7%C3%B5es.pdf")</f>
        <v>http://repositorio.ual.pt/Pol%C3%ADtica%20de%20Dep%C3%B3sito%20de%20Publica%C3%A7%C3%B5es.pdf</v>
      </c>
      <c r="AB357" s="8" t="str">
        <f>HYPERLINK("http://repositorio.ual.pt/?locale=en","http://repositorio.ual.pt/?locale=en")</f>
        <v>http://repositorio.ual.pt/?locale=en</v>
      </c>
      <c r="AF357" s="3" t="s">
        <v>244</v>
      </c>
      <c r="AG357" s="3" t="s">
        <v>178</v>
      </c>
      <c r="AH357" s="3" t="s">
        <v>180</v>
      </c>
      <c r="AI357" s="3" t="s">
        <v>371</v>
      </c>
      <c r="AJ357" s="3" t="s">
        <v>182</v>
      </c>
      <c r="AK357" s="3" t="s">
        <v>371</v>
      </c>
      <c r="AL357" s="3" t="s">
        <v>189</v>
      </c>
      <c r="AM357" s="3" t="s">
        <v>178</v>
      </c>
      <c r="AN357" s="3" t="s">
        <v>189</v>
      </c>
      <c r="AO357" s="3" t="s">
        <v>378</v>
      </c>
      <c r="AP357" s="3" t="s">
        <v>244</v>
      </c>
      <c r="AQ357" s="3" t="s">
        <v>247</v>
      </c>
      <c r="AR357" s="3" t="s">
        <v>288</v>
      </c>
      <c r="AS357" s="3" t="s">
        <v>185</v>
      </c>
      <c r="AT357" s="3" t="s">
        <v>244</v>
      </c>
      <c r="AU357" s="3" t="s">
        <v>244</v>
      </c>
      <c r="AV357" s="3" t="s">
        <v>288</v>
      </c>
      <c r="AW357" s="3" t="s">
        <v>195</v>
      </c>
      <c r="AX357" s="3" t="s">
        <v>244</v>
      </c>
      <c r="AY357" s="3" t="s">
        <v>247</v>
      </c>
    </row>
    <row r="358" spans="1:51" ht="15.75" customHeight="1">
      <c r="A358" s="3">
        <v>277</v>
      </c>
      <c r="B358" s="5" t="str">
        <f t="shared" si="0"/>
        <v>http://roarmap.eprints.org/277/</v>
      </c>
      <c r="C358" s="3">
        <v>4</v>
      </c>
      <c r="D358" s="3" t="s">
        <v>98</v>
      </c>
      <c r="E358" s="3">
        <v>276</v>
      </c>
      <c r="F358" s="3" t="s">
        <v>1538</v>
      </c>
      <c r="G358" s="3">
        <v>41988.923634259256</v>
      </c>
      <c r="H358" s="3">
        <v>42046.981689814813</v>
      </c>
      <c r="I358" s="3">
        <v>41988.923634259256</v>
      </c>
      <c r="J358" s="3" t="s">
        <v>103</v>
      </c>
      <c r="K358" s="3" t="s">
        <v>105</v>
      </c>
      <c r="L358" s="3" t="s">
        <v>1539</v>
      </c>
      <c r="M358" s="3" t="s">
        <v>374</v>
      </c>
      <c r="N358" s="3" t="s">
        <v>1540</v>
      </c>
      <c r="P358" s="3" t="s">
        <v>215</v>
      </c>
      <c r="Q358" t="str">
        <f t="shared" si="24"/>
        <v>http://roarmap.eprints.org/view/country/620.html</v>
      </c>
      <c r="R358" s="3">
        <v>620</v>
      </c>
      <c r="S358" s="6" t="s">
        <v>279</v>
      </c>
      <c r="T358" s="9">
        <v>620</v>
      </c>
      <c r="U358" s="7" t="s">
        <v>123</v>
      </c>
      <c r="V358" s="6" t="s">
        <v>76</v>
      </c>
      <c r="W358" s="3" t="s">
        <v>158</v>
      </c>
      <c r="X358" s="3" t="s">
        <v>160</v>
      </c>
      <c r="Y358" s="3" t="s">
        <v>1539</v>
      </c>
      <c r="Z358" s="8" t="str">
        <f>HYPERLINK("http://www.ufp.pt/","http://www.ufp.pt/")</f>
        <v>http://www.ufp.pt/</v>
      </c>
      <c r="AA358" s="8" t="str">
        <f>HYPERLINK("http://homepage.ufp.pt/biblioteca/politicadepositoobrigatorio.pdf","http://homepage.ufp.pt/biblioteca/politicadepositoobrigatorio.pdf")</f>
        <v>http://homepage.ufp.pt/biblioteca/politicadepositoobrigatorio.pdf</v>
      </c>
      <c r="AB358" s="8" t="str">
        <f>HYPERLINK("http://bdigital.ufp.pt/","http://bdigital.ufp.pt/")</f>
        <v>http://bdigital.ufp.pt/</v>
      </c>
      <c r="AE358" s="3">
        <v>41082</v>
      </c>
      <c r="AF358" s="3" t="s">
        <v>244</v>
      </c>
      <c r="AG358" s="3" t="s">
        <v>333</v>
      </c>
      <c r="AH358" s="3" t="s">
        <v>180</v>
      </c>
      <c r="AI358" s="3" t="s">
        <v>244</v>
      </c>
      <c r="AJ358" s="3" t="s">
        <v>182</v>
      </c>
      <c r="AK358" s="3" t="s">
        <v>244</v>
      </c>
      <c r="AL358" s="3" t="s">
        <v>288</v>
      </c>
      <c r="AM358" s="3" t="s">
        <v>479</v>
      </c>
      <c r="AN358" s="3" t="s">
        <v>189</v>
      </c>
      <c r="AO358" s="3" t="s">
        <v>378</v>
      </c>
      <c r="AP358" s="3" t="s">
        <v>244</v>
      </c>
      <c r="AQ358" s="3" t="s">
        <v>394</v>
      </c>
      <c r="AR358" s="3" t="s">
        <v>288</v>
      </c>
      <c r="AS358" s="3" t="s">
        <v>189</v>
      </c>
      <c r="AT358" s="3" t="s">
        <v>244</v>
      </c>
      <c r="AU358" s="3" t="s">
        <v>244</v>
      </c>
      <c r="AV358" s="3" t="s">
        <v>288</v>
      </c>
      <c r="AW358" s="3" t="s">
        <v>195</v>
      </c>
      <c r="AX358" s="3" t="s">
        <v>244</v>
      </c>
      <c r="AY358" s="3" t="s">
        <v>247</v>
      </c>
    </row>
    <row r="359" spans="1:51" ht="15.75" customHeight="1">
      <c r="A359" s="3">
        <v>271</v>
      </c>
      <c r="B359" s="5" t="str">
        <f t="shared" si="0"/>
        <v>http://roarmap.eprints.org/271/</v>
      </c>
      <c r="C359" s="3">
        <v>4</v>
      </c>
      <c r="D359" s="3" t="s">
        <v>98</v>
      </c>
      <c r="E359" s="3">
        <v>268</v>
      </c>
      <c r="F359" s="3" t="s">
        <v>1541</v>
      </c>
      <c r="G359" s="3">
        <v>41988.923622685186</v>
      </c>
      <c r="H359" s="3">
        <v>42046.981678240743</v>
      </c>
      <c r="I359" s="3">
        <v>41988.923622685186</v>
      </c>
      <c r="J359" s="3" t="s">
        <v>103</v>
      </c>
      <c r="K359" s="3" t="s">
        <v>105</v>
      </c>
      <c r="L359" s="3" t="s">
        <v>1542</v>
      </c>
      <c r="M359" s="3" t="s">
        <v>532</v>
      </c>
      <c r="P359" s="3" t="s">
        <v>215</v>
      </c>
      <c r="Q359" t="str">
        <f t="shared" si="24"/>
        <v>http://roarmap.eprints.org/view/country/620.html</v>
      </c>
      <c r="R359" s="3">
        <v>620</v>
      </c>
      <c r="S359" s="6" t="s">
        <v>279</v>
      </c>
      <c r="T359" s="9">
        <v>620</v>
      </c>
      <c r="U359" s="7" t="s">
        <v>123</v>
      </c>
      <c r="V359" s="6" t="s">
        <v>76</v>
      </c>
      <c r="W359" s="3" t="s">
        <v>158</v>
      </c>
      <c r="X359" s="3" t="s">
        <v>160</v>
      </c>
      <c r="Y359" s="3" t="s">
        <v>1542</v>
      </c>
      <c r="Z359" s="8" t="str">
        <f>HYPERLINK("http://www.ulisboa.pt/","http://www.ulisboa.pt/")</f>
        <v>http://www.ulisboa.pt/</v>
      </c>
      <c r="AB359" s="8" t="str">
        <f>HYPERLINK("http://repositorio.ul.pt/","http://repositorio.ul.pt/")</f>
        <v>http://repositorio.ul.pt/</v>
      </c>
      <c r="AF359" s="3" t="s">
        <v>244</v>
      </c>
      <c r="AG359" s="3" t="s">
        <v>333</v>
      </c>
      <c r="AH359" s="3" t="s">
        <v>180</v>
      </c>
      <c r="AI359" s="3" t="s">
        <v>244</v>
      </c>
      <c r="AJ359" s="3" t="s">
        <v>182</v>
      </c>
      <c r="AK359" s="3" t="s">
        <v>244</v>
      </c>
      <c r="AL359" s="3" t="s">
        <v>288</v>
      </c>
      <c r="AM359" s="3" t="s">
        <v>178</v>
      </c>
      <c r="AN359" s="3" t="s">
        <v>244</v>
      </c>
      <c r="AO359" s="3" t="s">
        <v>247</v>
      </c>
      <c r="AP359" s="3" t="s">
        <v>244</v>
      </c>
      <c r="AQ359" s="3" t="s">
        <v>394</v>
      </c>
      <c r="AR359" s="3" t="s">
        <v>288</v>
      </c>
      <c r="AS359" s="3" t="s">
        <v>185</v>
      </c>
      <c r="AT359" s="3" t="s">
        <v>244</v>
      </c>
      <c r="AU359" s="3" t="s">
        <v>244</v>
      </c>
      <c r="AV359" s="3" t="s">
        <v>288</v>
      </c>
      <c r="AW359" s="3" t="s">
        <v>195</v>
      </c>
      <c r="AX359" s="3" t="s">
        <v>244</v>
      </c>
      <c r="AY359" s="3" t="s">
        <v>247</v>
      </c>
    </row>
    <row r="360" spans="1:51" ht="15.75" customHeight="1">
      <c r="A360" s="3">
        <v>272</v>
      </c>
      <c r="B360" s="5" t="str">
        <f t="shared" si="0"/>
        <v>http://roarmap.eprints.org/272/</v>
      </c>
      <c r="C360" s="3">
        <v>4</v>
      </c>
      <c r="D360" s="3" t="s">
        <v>98</v>
      </c>
      <c r="E360" s="3">
        <v>273</v>
      </c>
      <c r="F360" s="3" t="s">
        <v>1543</v>
      </c>
      <c r="G360" s="3">
        <v>41988.923622685186</v>
      </c>
      <c r="H360" s="3">
        <v>42046.981678240743</v>
      </c>
      <c r="I360" s="3">
        <v>41988.923622685186</v>
      </c>
      <c r="J360" s="3" t="s">
        <v>103</v>
      </c>
      <c r="K360" s="3" t="s">
        <v>105</v>
      </c>
      <c r="L360" s="3" t="s">
        <v>1544</v>
      </c>
      <c r="M360" s="3" t="s">
        <v>374</v>
      </c>
      <c r="O360" s="3" t="s">
        <v>1545</v>
      </c>
      <c r="P360" s="3" t="s">
        <v>215</v>
      </c>
      <c r="Q360" t="str">
        <f t="shared" si="24"/>
        <v>http://roarmap.eprints.org/view/country/620.html</v>
      </c>
      <c r="R360" s="3">
        <v>620</v>
      </c>
      <c r="S360" s="6" t="s">
        <v>279</v>
      </c>
      <c r="T360" s="9">
        <v>620</v>
      </c>
      <c r="U360" s="7" t="s">
        <v>123</v>
      </c>
      <c r="V360" s="6" t="s">
        <v>76</v>
      </c>
      <c r="W360" s="3" t="s">
        <v>158</v>
      </c>
      <c r="X360" s="3" t="s">
        <v>160</v>
      </c>
      <c r="Y360" s="3" t="s">
        <v>1544</v>
      </c>
      <c r="Z360" s="8" t="str">
        <f>HYPERLINK("http://www.utad.pt","http://www.utad.pt")</f>
        <v>http://www.utad.pt</v>
      </c>
      <c r="AA360" s="8" t="str">
        <f>HYPERLINK("http://roarmap.eprints.org/690/1/POLITICA_DE_ACESSO_LIVRE_DR_UTAD.pdf","http://roarmap.eprints.org/690/1/POLITICA_DE_ACESSO_LIVRE_DR_UTAD.pdf")</f>
        <v>http://roarmap.eprints.org/690/1/POLITICA_DE_ACESSO_LIVRE_DR_UTAD.pdf</v>
      </c>
      <c r="AB360" s="8" t="str">
        <f>HYPERLINK("http://repositorio.utad.pt/","http://repositorio.utad.pt/")</f>
        <v>http://repositorio.utad.pt/</v>
      </c>
      <c r="AG360" s="3" t="s">
        <v>244</v>
      </c>
      <c r="AH360" s="3" t="s">
        <v>180</v>
      </c>
      <c r="AI360" s="3" t="s">
        <v>244</v>
      </c>
      <c r="AJ360" s="3" t="s">
        <v>244</v>
      </c>
      <c r="AK360" s="3" t="s">
        <v>244</v>
      </c>
      <c r="AL360" s="3" t="s">
        <v>244</v>
      </c>
      <c r="AM360" s="3" t="s">
        <v>247</v>
      </c>
      <c r="AN360" s="3" t="s">
        <v>244</v>
      </c>
      <c r="AO360" s="3" t="s">
        <v>247</v>
      </c>
      <c r="AP360" s="3" t="s">
        <v>244</v>
      </c>
      <c r="AQ360" s="3" t="s">
        <v>247</v>
      </c>
      <c r="AR360" s="3" t="s">
        <v>288</v>
      </c>
      <c r="AS360" s="3" t="s">
        <v>244</v>
      </c>
      <c r="AT360" s="3" t="s">
        <v>244</v>
      </c>
      <c r="AU360" s="3" t="s">
        <v>244</v>
      </c>
      <c r="AV360" s="3" t="s">
        <v>288</v>
      </c>
      <c r="AW360" s="3" t="s">
        <v>244</v>
      </c>
      <c r="AX360" s="3" t="s">
        <v>244</v>
      </c>
      <c r="AY360" s="3" t="s">
        <v>247</v>
      </c>
    </row>
    <row r="361" spans="1:51" ht="15.75" customHeight="1">
      <c r="A361" s="3">
        <v>273</v>
      </c>
      <c r="B361" s="5" t="str">
        <f t="shared" si="0"/>
        <v>http://roarmap.eprints.org/273/</v>
      </c>
      <c r="C361" s="3">
        <v>4</v>
      </c>
      <c r="D361" s="3" t="s">
        <v>98</v>
      </c>
      <c r="E361" s="3">
        <v>274</v>
      </c>
      <c r="F361" s="3" t="s">
        <v>1546</v>
      </c>
      <c r="G361" s="3">
        <v>41988.923622685186</v>
      </c>
      <c r="H361" s="3">
        <v>42046.981678240743</v>
      </c>
      <c r="I361" s="3">
        <v>41988.923622685186</v>
      </c>
      <c r="J361" s="3" t="s">
        <v>103</v>
      </c>
      <c r="K361" s="3" t="s">
        <v>105</v>
      </c>
      <c r="L361" s="3" t="s">
        <v>1547</v>
      </c>
      <c r="M361" s="3" t="s">
        <v>374</v>
      </c>
      <c r="O361" s="3" t="s">
        <v>1548</v>
      </c>
      <c r="P361" s="3" t="s">
        <v>215</v>
      </c>
      <c r="Q361" t="str">
        <f t="shared" si="24"/>
        <v>http://roarmap.eprints.org/view/country/620.html</v>
      </c>
      <c r="R361" s="3">
        <v>620</v>
      </c>
      <c r="S361" s="6" t="s">
        <v>279</v>
      </c>
      <c r="T361" s="9">
        <v>620</v>
      </c>
      <c r="U361" s="7" t="s">
        <v>123</v>
      </c>
      <c r="V361" s="6" t="s">
        <v>76</v>
      </c>
      <c r="W361" s="3" t="s">
        <v>158</v>
      </c>
      <c r="X361" s="3" t="s">
        <v>160</v>
      </c>
      <c r="Y361" s="3" t="s">
        <v>1547</v>
      </c>
      <c r="Z361" s="8" t="str">
        <f>HYPERLINK("http://www.ualg.pt/home/pt","http://www.ualg.pt/home/pt")</f>
        <v>http://www.ualg.pt/home/pt</v>
      </c>
      <c r="AA361" s="8" t="str">
        <f>HYPERLINK("http://roarmap.eprints.org/608/2/index.php_option%3Dcom_docman%26task%3Ddoc_download%26gid%3D6231%26lang%3Dpt","http://roarmap.eprints.org/608/2/index.php_option%3Dcom_docman%26task%3Ddoc_download%26gid%3D6231%26lang%3Dpt")</f>
        <v>http://roarmap.eprints.org/608/2/index.php_option%3Dcom_docman%26task%3Ddoc_download%26gid%3D6231%26lang%3Dpt</v>
      </c>
      <c r="AB361" s="8" t="str">
        <f>HYPERLINK("https://sapientia.ualg.pt/","https://sapientia.ualg.pt/")</f>
        <v>https://sapientia.ualg.pt/</v>
      </c>
      <c r="AG361" s="3" t="s">
        <v>244</v>
      </c>
      <c r="AH361" s="3" t="s">
        <v>180</v>
      </c>
      <c r="AI361" s="3" t="s">
        <v>244</v>
      </c>
      <c r="AJ361" s="3" t="s">
        <v>244</v>
      </c>
      <c r="AK361" s="3" t="s">
        <v>244</v>
      </c>
      <c r="AL361" s="3" t="s">
        <v>244</v>
      </c>
      <c r="AM361" s="3" t="s">
        <v>247</v>
      </c>
      <c r="AN361" s="3" t="s">
        <v>244</v>
      </c>
      <c r="AO361" s="3" t="s">
        <v>247</v>
      </c>
      <c r="AP361" s="3" t="s">
        <v>244</v>
      </c>
      <c r="AQ361" s="3" t="s">
        <v>247</v>
      </c>
      <c r="AR361" s="3" t="s">
        <v>288</v>
      </c>
      <c r="AS361" s="3" t="s">
        <v>244</v>
      </c>
      <c r="AT361" s="3" t="s">
        <v>244</v>
      </c>
      <c r="AU361" s="3" t="s">
        <v>244</v>
      </c>
      <c r="AV361" s="3" t="s">
        <v>288</v>
      </c>
      <c r="AW361" s="3" t="s">
        <v>244</v>
      </c>
      <c r="AX361" s="3" t="s">
        <v>244</v>
      </c>
      <c r="AY361" s="3" t="s">
        <v>247</v>
      </c>
    </row>
    <row r="362" spans="1:51" ht="15.75" customHeight="1">
      <c r="A362" s="3">
        <v>274</v>
      </c>
      <c r="B362" s="5" t="str">
        <f t="shared" si="0"/>
        <v>http://roarmap.eprints.org/274/</v>
      </c>
      <c r="C362" s="3">
        <v>4</v>
      </c>
      <c r="D362" s="3" t="s">
        <v>98</v>
      </c>
      <c r="E362" s="3">
        <v>1</v>
      </c>
      <c r="F362" s="3" t="s">
        <v>1549</v>
      </c>
      <c r="G362" s="3">
        <v>41988.923634259256</v>
      </c>
      <c r="H362" s="3">
        <v>41988.923634259256</v>
      </c>
      <c r="I362" s="3">
        <v>41988.923634259256</v>
      </c>
      <c r="J362" s="3" t="s">
        <v>103</v>
      </c>
      <c r="K362" s="3" t="s">
        <v>105</v>
      </c>
      <c r="L362" s="3" t="s">
        <v>1550</v>
      </c>
      <c r="M362" s="3" t="s">
        <v>374</v>
      </c>
      <c r="O362" s="3" t="s">
        <v>1551</v>
      </c>
      <c r="P362" s="3" t="s">
        <v>215</v>
      </c>
      <c r="Q362" t="str">
        <f t="shared" si="24"/>
        <v>http://roarmap.eprints.org/view/country/620.html</v>
      </c>
      <c r="R362" s="3">
        <v>620</v>
      </c>
      <c r="S362" s="6" t="s">
        <v>279</v>
      </c>
      <c r="T362" s="9">
        <v>620</v>
      </c>
      <c r="U362" s="7" t="s">
        <v>123</v>
      </c>
      <c r="V362" s="6" t="s">
        <v>76</v>
      </c>
      <c r="W362" s="3" t="s">
        <v>158</v>
      </c>
      <c r="X362" s="3" t="s">
        <v>160</v>
      </c>
      <c r="Y362" s="3" t="s">
        <v>1550</v>
      </c>
      <c r="Z362" s="8" t="str">
        <f>HYPERLINK("http://www.uminho.pt/","http://www.uminho.pt/")</f>
        <v>http://www.uminho.pt/</v>
      </c>
      <c r="AA362" s="8" t="str">
        <f>HYPERLINK("https://repositorium.sdum.uminho.pt/about/docs/Despacho_RT-98_2010.pdf","https://repositorium.sdum.uminho.pt/about/docs/Despacho_RT-98_2010.pdf")</f>
        <v>https://repositorium.sdum.uminho.pt/about/docs/Despacho_RT-98_2010.pdf</v>
      </c>
      <c r="AB362" s="8" t="str">
        <f>HYPERLINK("https://repositorium.sdum.uminho.pt","https://repositorium.sdum.uminho.pt")</f>
        <v>https://repositorium.sdum.uminho.pt</v>
      </c>
      <c r="AC362" s="3">
        <v>2004</v>
      </c>
      <c r="AD362" s="3">
        <v>2005</v>
      </c>
      <c r="AE362" s="3">
        <v>40602</v>
      </c>
      <c r="AF362" s="3" t="s">
        <v>177</v>
      </c>
      <c r="AG362" s="3" t="s">
        <v>178</v>
      </c>
      <c r="AH362" s="3" t="s">
        <v>180</v>
      </c>
      <c r="AI362" s="3" t="s">
        <v>187</v>
      </c>
      <c r="AJ362" s="3" t="s">
        <v>182</v>
      </c>
      <c r="AK362" s="3" t="s">
        <v>393</v>
      </c>
      <c r="AL362" s="3" t="s">
        <v>185</v>
      </c>
      <c r="AM362" s="3" t="s">
        <v>247</v>
      </c>
      <c r="AN362" s="3" t="s">
        <v>189</v>
      </c>
      <c r="AO362" s="3" t="s">
        <v>181</v>
      </c>
      <c r="AP362" s="3" t="s">
        <v>189</v>
      </c>
      <c r="AQ362" s="3" t="s">
        <v>394</v>
      </c>
      <c r="AR362" s="3" t="s">
        <v>244</v>
      </c>
      <c r="AS362" s="3" t="s">
        <v>288</v>
      </c>
      <c r="AT362" s="3" t="s">
        <v>379</v>
      </c>
      <c r="AU362" s="3" t="s">
        <v>379</v>
      </c>
      <c r="AV362" s="3" t="s">
        <v>189</v>
      </c>
      <c r="AW362" s="3" t="s">
        <v>339</v>
      </c>
      <c r="AX362" s="3" t="s">
        <v>244</v>
      </c>
      <c r="AY362" s="3" t="s">
        <v>247</v>
      </c>
    </row>
    <row r="363" spans="1:51" ht="15.75" customHeight="1">
      <c r="A363" s="3">
        <v>275</v>
      </c>
      <c r="B363" s="5" t="str">
        <f t="shared" si="0"/>
        <v>http://roarmap.eprints.org/275/</v>
      </c>
      <c r="C363" s="3">
        <v>4</v>
      </c>
      <c r="D363" s="3" t="s">
        <v>98</v>
      </c>
      <c r="E363" s="3">
        <v>275</v>
      </c>
      <c r="F363" s="3" t="s">
        <v>1552</v>
      </c>
      <c r="G363" s="3">
        <v>41988.923634259256</v>
      </c>
      <c r="H363" s="3">
        <v>42046.981689814813</v>
      </c>
      <c r="I363" s="3">
        <v>41988.923634259256</v>
      </c>
      <c r="J363" s="3" t="s">
        <v>103</v>
      </c>
      <c r="K363" s="3" t="s">
        <v>105</v>
      </c>
      <c r="L363" s="3" t="s">
        <v>1553</v>
      </c>
      <c r="M363" s="3" t="s">
        <v>374</v>
      </c>
      <c r="O363" s="3" t="s">
        <v>1554</v>
      </c>
      <c r="P363" s="3" t="s">
        <v>215</v>
      </c>
      <c r="Q363" t="str">
        <f t="shared" si="24"/>
        <v>http://roarmap.eprints.org/view/country/620.html</v>
      </c>
      <c r="R363" s="3">
        <v>620</v>
      </c>
      <c r="S363" s="6" t="s">
        <v>279</v>
      </c>
      <c r="T363" s="9">
        <v>620</v>
      </c>
      <c r="U363" s="7" t="s">
        <v>123</v>
      </c>
      <c r="V363" s="6" t="s">
        <v>76</v>
      </c>
      <c r="W363" s="3" t="s">
        <v>158</v>
      </c>
      <c r="X363" s="3" t="s">
        <v>160</v>
      </c>
      <c r="Y363" s="3" t="s">
        <v>1553</v>
      </c>
      <c r="Z363" s="8" t="str">
        <f>HYPERLINK("http://www.uc.pt/","http://www.uc.pt/")</f>
        <v>http://www.uc.pt/</v>
      </c>
      <c r="AA363" s="8" t="str">
        <f>HYPERLINK("http://roarmap.eprints.org/681/1/mandatoUC.pdf","http://roarmap.eprints.org/681/1/mandatoUC.pdf")</f>
        <v>http://roarmap.eprints.org/681/1/mandatoUC.pdf</v>
      </c>
      <c r="AB363" s="8" t="str">
        <f>HYPERLINK("https://estudogeral.sib.uc.pt/","https://estudogeral.sib.uc.pt/")</f>
        <v>https://estudogeral.sib.uc.pt/</v>
      </c>
      <c r="AF363" s="3" t="s">
        <v>244</v>
      </c>
      <c r="AG363" s="3" t="s">
        <v>333</v>
      </c>
      <c r="AH363" s="3" t="s">
        <v>180</v>
      </c>
      <c r="AI363" s="3" t="s">
        <v>244</v>
      </c>
      <c r="AJ363" s="3" t="s">
        <v>385</v>
      </c>
      <c r="AK363" s="3" t="s">
        <v>244</v>
      </c>
      <c r="AL363" s="3" t="s">
        <v>288</v>
      </c>
      <c r="AM363" s="3" t="s">
        <v>479</v>
      </c>
      <c r="AN363" s="3" t="s">
        <v>244</v>
      </c>
      <c r="AO363" s="3" t="s">
        <v>247</v>
      </c>
      <c r="AP363" s="3" t="s">
        <v>244</v>
      </c>
      <c r="AQ363" s="3" t="s">
        <v>394</v>
      </c>
      <c r="AR363" s="3" t="s">
        <v>288</v>
      </c>
      <c r="AS363" s="3" t="s">
        <v>288</v>
      </c>
      <c r="AT363" s="3" t="s">
        <v>244</v>
      </c>
      <c r="AU363" s="3" t="s">
        <v>244</v>
      </c>
      <c r="AV363" s="3" t="s">
        <v>288</v>
      </c>
      <c r="AW363" s="3" t="s">
        <v>520</v>
      </c>
      <c r="AX363" s="3" t="s">
        <v>244</v>
      </c>
      <c r="AY363" s="3" t="s">
        <v>247</v>
      </c>
    </row>
    <row r="364" spans="1:51" ht="15.75" customHeight="1">
      <c r="A364" s="3">
        <v>276</v>
      </c>
      <c r="B364" s="5" t="str">
        <f t="shared" si="0"/>
        <v>http://roarmap.eprints.org/276/</v>
      </c>
      <c r="C364" s="3">
        <v>3</v>
      </c>
      <c r="D364" s="3" t="s">
        <v>98</v>
      </c>
      <c r="E364" s="3">
        <v>1</v>
      </c>
      <c r="F364" s="3" t="s">
        <v>1555</v>
      </c>
      <c r="G364" s="3">
        <v>41988.923634259256</v>
      </c>
      <c r="H364" s="3">
        <v>41988.923634259256</v>
      </c>
      <c r="I364" s="3">
        <v>41988.923634259256</v>
      </c>
      <c r="J364" s="3" t="s">
        <v>103</v>
      </c>
      <c r="K364" s="3" t="s">
        <v>105</v>
      </c>
      <c r="L364" s="3" t="s">
        <v>1556</v>
      </c>
      <c r="M364" s="3" t="s">
        <v>374</v>
      </c>
      <c r="N364" s="3" t="s">
        <v>1557</v>
      </c>
      <c r="P364" s="3" t="s">
        <v>215</v>
      </c>
      <c r="Q364" t="str">
        <f t="shared" si="24"/>
        <v>http://roarmap.eprints.org/view/country/620.html</v>
      </c>
      <c r="R364" s="3">
        <v>620</v>
      </c>
      <c r="S364" s="6" t="s">
        <v>279</v>
      </c>
      <c r="T364" s="9">
        <v>620</v>
      </c>
      <c r="U364" s="7" t="s">
        <v>123</v>
      </c>
      <c r="V364" s="6" t="s">
        <v>76</v>
      </c>
      <c r="W364" s="3" t="s">
        <v>158</v>
      </c>
      <c r="X364" s="3" t="s">
        <v>160</v>
      </c>
      <c r="Y364" s="3" t="s">
        <v>1556</v>
      </c>
      <c r="Z364" s="8" t="str">
        <f>HYPERLINK("http://sigarra.up.pt/up/pt/web_page.inicial","http://sigarra.up.pt/up/pt/web_page.inicial")</f>
        <v>http://sigarra.up.pt/up/pt/web_page.inicial</v>
      </c>
      <c r="AA364" s="8" t="str">
        <f>HYPERLINK("http://repositorio.up.pt/files/Regulamentos_Open_Access.pdf","http://repositorio.up.pt/files/Regulamentos_Open_Access.pdf")</f>
        <v>http://repositorio.up.pt/files/Regulamentos_Open_Access.pdf</v>
      </c>
      <c r="AB364" s="3" t="s">
        <v>1558</v>
      </c>
      <c r="AE364" s="3">
        <v>39692</v>
      </c>
      <c r="AF364" s="3" t="s">
        <v>244</v>
      </c>
      <c r="AG364" s="3" t="s">
        <v>178</v>
      </c>
      <c r="AH364" s="3" t="s">
        <v>180</v>
      </c>
      <c r="AI364" s="3" t="s">
        <v>244</v>
      </c>
      <c r="AJ364" s="3" t="s">
        <v>182</v>
      </c>
      <c r="AK364" s="3" t="s">
        <v>244</v>
      </c>
      <c r="AL364" s="3" t="s">
        <v>185</v>
      </c>
      <c r="AM364" s="3" t="s">
        <v>479</v>
      </c>
      <c r="AN364" s="3" t="s">
        <v>189</v>
      </c>
      <c r="AO364" s="3" t="s">
        <v>247</v>
      </c>
      <c r="AP364" s="3" t="s">
        <v>244</v>
      </c>
      <c r="AQ364" s="3" t="s">
        <v>394</v>
      </c>
      <c r="AR364" s="3" t="s">
        <v>288</v>
      </c>
      <c r="AS364" s="3" t="s">
        <v>185</v>
      </c>
      <c r="AT364" s="3" t="s">
        <v>244</v>
      </c>
      <c r="AU364" s="3" t="s">
        <v>244</v>
      </c>
      <c r="AV364" s="3" t="s">
        <v>288</v>
      </c>
      <c r="AW364" s="3" t="s">
        <v>520</v>
      </c>
      <c r="AX364" s="3" t="s">
        <v>244</v>
      </c>
      <c r="AY364" s="3" t="s">
        <v>247</v>
      </c>
    </row>
    <row r="365" spans="1:51" ht="15.75" customHeight="1">
      <c r="A365" s="3">
        <v>279</v>
      </c>
      <c r="B365" s="5" t="str">
        <f t="shared" si="0"/>
        <v>http://roarmap.eprints.org/279/</v>
      </c>
      <c r="C365" s="3">
        <v>4</v>
      </c>
      <c r="D365" s="3" t="s">
        <v>98</v>
      </c>
      <c r="E365" s="3">
        <v>277</v>
      </c>
      <c r="F365" s="3" t="s">
        <v>1559</v>
      </c>
      <c r="G365" s="3">
        <v>41988.923634259256</v>
      </c>
      <c r="H365" s="3">
        <v>42046.981689814813</v>
      </c>
      <c r="I365" s="3">
        <v>41988.923634259256</v>
      </c>
      <c r="J365" s="3" t="s">
        <v>103</v>
      </c>
      <c r="K365" s="3" t="s">
        <v>105</v>
      </c>
      <c r="L365" s="3" t="s">
        <v>1560</v>
      </c>
      <c r="M365" s="3" t="s">
        <v>374</v>
      </c>
      <c r="N365" s="3" t="s">
        <v>1561</v>
      </c>
      <c r="O365" s="3" t="s">
        <v>1562</v>
      </c>
      <c r="P365" s="3" t="s">
        <v>1563</v>
      </c>
      <c r="Q365" t="str">
        <f t="shared" si="24"/>
        <v>http://roarmap.eprints.org/view/country/643.html</v>
      </c>
      <c r="R365" s="3">
        <v>643</v>
      </c>
      <c r="S365" s="6" t="s">
        <v>287</v>
      </c>
      <c r="T365" s="9">
        <v>643</v>
      </c>
      <c r="U365" s="7" t="s">
        <v>123</v>
      </c>
      <c r="V365" s="6" t="s">
        <v>102</v>
      </c>
      <c r="W365" s="3" t="s">
        <v>158</v>
      </c>
      <c r="X365" s="3" t="s">
        <v>160</v>
      </c>
      <c r="Y365" s="3" t="s">
        <v>1560</v>
      </c>
      <c r="Z365" s="8" t="str">
        <f>HYPERLINK("http://www.bsu.edu.ru/","http://www.bsu.edu.ru/")</f>
        <v>http://www.bsu.edu.ru/</v>
      </c>
      <c r="AA365" s="8" t="str">
        <f>HYPERLINK("http://roarmap.eprints.org/877/1/%D0%BF%D1%80%D0%B8%D0%BA%D0%B0%D0%B7%20%D0%BE%D0%B1%20%D1%83%D0%BD%D0%B8%D0%B2%D0%B5%D1%80%20%D0%BC%D0%B0%D0%BD%D0%B4%D0%B0%D1%82%D0%B5.pdf","http://roarmap.eprints.org/877/1/%D0%BF%D1%80%D0%B8%D0%BA%D0%B0%D0%B7%20%D0%BE%D0%B1%20%D1%83%D0%BD%D0%B8%D0%B2%D0%B5%D1%80%20%D0%BC%D0%B0%D0%BD%D0%B4%D0%B0%D1%82%D0%B5.pdf")</f>
        <v>http://roarmap.eprints.org/877/1/%D0%BF%D1%80%D0%B8%D0%BA%D0%B0%D0%B7%20%D0%BE%D0%B1%20%D1%83%D0%BD%D0%B8%D0%B2%D0%B5%D1%80%20%D0%BC%D0%B0%D0%BD%D0%B4%D0%B0%D1%82%D0%B5.pdf</v>
      </c>
      <c r="AB365" s="3" t="s">
        <v>1564</v>
      </c>
      <c r="AC365" s="3">
        <v>41411</v>
      </c>
      <c r="AD365" s="3">
        <v>41411</v>
      </c>
      <c r="AF365" s="3" t="s">
        <v>177</v>
      </c>
      <c r="AG365" s="3" t="s">
        <v>178</v>
      </c>
      <c r="AH365" s="3" t="s">
        <v>180</v>
      </c>
      <c r="AI365" s="3" t="s">
        <v>244</v>
      </c>
      <c r="AJ365" s="3" t="s">
        <v>182</v>
      </c>
      <c r="AK365" s="3" t="s">
        <v>244</v>
      </c>
      <c r="AL365" s="3" t="s">
        <v>185</v>
      </c>
      <c r="AM365" s="3" t="s">
        <v>178</v>
      </c>
      <c r="AN365" s="3" t="s">
        <v>185</v>
      </c>
      <c r="AO365" s="3" t="s">
        <v>181</v>
      </c>
      <c r="AP365" s="3" t="s">
        <v>244</v>
      </c>
      <c r="AQ365" s="3" t="s">
        <v>386</v>
      </c>
      <c r="AR365" s="3" t="s">
        <v>288</v>
      </c>
      <c r="AS365" s="3" t="s">
        <v>185</v>
      </c>
      <c r="AT365" s="3" t="s">
        <v>244</v>
      </c>
      <c r="AU365" s="3" t="s">
        <v>244</v>
      </c>
      <c r="AV365" s="3" t="s">
        <v>288</v>
      </c>
      <c r="AW365" s="3" t="s">
        <v>339</v>
      </c>
      <c r="AX365" s="3" t="s">
        <v>244</v>
      </c>
      <c r="AY365" s="3" t="s">
        <v>247</v>
      </c>
    </row>
    <row r="366" spans="1:51" ht="15.75" customHeight="1">
      <c r="A366" s="3">
        <v>280</v>
      </c>
      <c r="B366" s="5" t="str">
        <f t="shared" si="0"/>
        <v>http://roarmap.eprints.org/280/</v>
      </c>
      <c r="C366" s="3">
        <v>4</v>
      </c>
      <c r="D366" s="3" t="s">
        <v>98</v>
      </c>
      <c r="E366" s="3">
        <v>1</v>
      </c>
      <c r="F366" s="3" t="s">
        <v>1565</v>
      </c>
      <c r="G366" s="3">
        <v>41988.923634259256</v>
      </c>
      <c r="H366" s="3">
        <v>42020.584988425922</v>
      </c>
      <c r="I366" s="3">
        <v>41988.923634259256</v>
      </c>
      <c r="J366" s="3" t="s">
        <v>103</v>
      </c>
      <c r="K366" s="3" t="s">
        <v>105</v>
      </c>
      <c r="L366" s="3" t="s">
        <v>1566</v>
      </c>
      <c r="M366" s="3" t="s">
        <v>532</v>
      </c>
      <c r="N366" s="3" t="s">
        <v>1567</v>
      </c>
      <c r="O366" s="3" t="s">
        <v>1568</v>
      </c>
      <c r="P366" s="3" t="s">
        <v>215</v>
      </c>
      <c r="Q366" t="str">
        <f t="shared" si="24"/>
        <v>http://roarmap.eprints.org/view/country/643.html</v>
      </c>
      <c r="R366" s="3">
        <v>643</v>
      </c>
      <c r="S366" s="6" t="s">
        <v>287</v>
      </c>
      <c r="T366" s="9">
        <v>643</v>
      </c>
      <c r="U366" s="7" t="s">
        <v>123</v>
      </c>
      <c r="V366" s="6" t="s">
        <v>102</v>
      </c>
      <c r="W366" s="3" t="s">
        <v>158</v>
      </c>
      <c r="X366" s="3" t="s">
        <v>384</v>
      </c>
      <c r="Y366" s="3" t="s">
        <v>1566</v>
      </c>
      <c r="Z366" s="8" t="str">
        <f>HYPERLINK("http://www.cemi.rssi.ru/","http://www.cemi.rssi.ru/")</f>
        <v>http://www.cemi.rssi.ru/</v>
      </c>
      <c r="AB366" s="8" t="str">
        <f t="shared" ref="AB366:AB368" si="27">HYPERLINK("http://socionet.ru/","http://socionet.ru/")</f>
        <v>http://socionet.ru/</v>
      </c>
      <c r="AF366" s="3" t="s">
        <v>244</v>
      </c>
      <c r="AG366" s="3" t="s">
        <v>178</v>
      </c>
      <c r="AH366" s="3" t="s">
        <v>180</v>
      </c>
      <c r="AI366" s="3" t="s">
        <v>371</v>
      </c>
      <c r="AJ366" s="3" t="s">
        <v>182</v>
      </c>
      <c r="AK366" s="3" t="s">
        <v>393</v>
      </c>
      <c r="AL366" s="3" t="s">
        <v>185</v>
      </c>
      <c r="AM366" s="3" t="s">
        <v>178</v>
      </c>
      <c r="AN366" s="3" t="s">
        <v>185</v>
      </c>
      <c r="AO366" s="3" t="s">
        <v>187</v>
      </c>
      <c r="AP366" s="3" t="s">
        <v>244</v>
      </c>
      <c r="AQ366" s="3" t="s">
        <v>247</v>
      </c>
      <c r="AR366" s="3" t="s">
        <v>288</v>
      </c>
      <c r="AS366" s="3" t="s">
        <v>185</v>
      </c>
      <c r="AT366" s="3" t="s">
        <v>379</v>
      </c>
      <c r="AU366" s="3" t="s">
        <v>379</v>
      </c>
      <c r="AV366" s="3" t="s">
        <v>288</v>
      </c>
      <c r="AW366" s="3" t="s">
        <v>371</v>
      </c>
      <c r="AX366" s="3" t="s">
        <v>244</v>
      </c>
      <c r="AY366" s="3" t="s">
        <v>247</v>
      </c>
    </row>
    <row r="367" spans="1:51" ht="15.75" customHeight="1">
      <c r="A367" s="3">
        <v>281</v>
      </c>
      <c r="B367" s="5" t="str">
        <f t="shared" si="0"/>
        <v>http://roarmap.eprints.org/281/</v>
      </c>
      <c r="C367" s="3">
        <v>4</v>
      </c>
      <c r="D367" s="3" t="s">
        <v>98</v>
      </c>
      <c r="E367" s="3">
        <v>1</v>
      </c>
      <c r="F367" s="3" t="s">
        <v>1569</v>
      </c>
      <c r="G367" s="3">
        <v>41988.923645833333</v>
      </c>
      <c r="H367" s="3">
        <v>42020.585196759261</v>
      </c>
      <c r="I367" s="3">
        <v>41988.923645833333</v>
      </c>
      <c r="J367" s="3" t="s">
        <v>103</v>
      </c>
      <c r="K367" s="3" t="s">
        <v>105</v>
      </c>
      <c r="L367" s="3" t="s">
        <v>1570</v>
      </c>
      <c r="M367" s="3" t="s">
        <v>532</v>
      </c>
      <c r="N367" s="3" t="s">
        <v>1571</v>
      </c>
      <c r="O367" s="3" t="s">
        <v>1572</v>
      </c>
      <c r="P367" s="3" t="s">
        <v>215</v>
      </c>
      <c r="Q367" t="str">
        <f t="shared" si="24"/>
        <v>http://roarmap.eprints.org/view/country/643.html</v>
      </c>
      <c r="R367" s="3">
        <v>643</v>
      </c>
      <c r="S367" s="6" t="s">
        <v>287</v>
      </c>
      <c r="T367" s="9">
        <v>643</v>
      </c>
      <c r="U367" s="7" t="s">
        <v>123</v>
      </c>
      <c r="V367" s="6" t="s">
        <v>102</v>
      </c>
      <c r="W367" s="3" t="s">
        <v>158</v>
      </c>
      <c r="X367" s="3" t="s">
        <v>384</v>
      </c>
      <c r="Y367" s="3" t="s">
        <v>1570</v>
      </c>
      <c r="Z367" s="8" t="str">
        <f>HYPERLINK("http://keldysh.ru/","http://keldysh.ru/")</f>
        <v>http://keldysh.ru/</v>
      </c>
      <c r="AB367" s="8" t="str">
        <f t="shared" si="27"/>
        <v>http://socionet.ru/</v>
      </c>
      <c r="AF367" s="3" t="s">
        <v>244</v>
      </c>
      <c r="AG367" s="3" t="s">
        <v>178</v>
      </c>
      <c r="AH367" s="3" t="s">
        <v>180</v>
      </c>
      <c r="AI367" s="3" t="s">
        <v>371</v>
      </c>
      <c r="AJ367" s="3" t="s">
        <v>182</v>
      </c>
      <c r="AK367" s="3" t="s">
        <v>393</v>
      </c>
      <c r="AL367" s="3" t="s">
        <v>185</v>
      </c>
      <c r="AM367" s="3" t="s">
        <v>178</v>
      </c>
      <c r="AN367" s="3" t="s">
        <v>185</v>
      </c>
      <c r="AO367" s="3" t="s">
        <v>187</v>
      </c>
      <c r="AP367" s="3" t="s">
        <v>244</v>
      </c>
      <c r="AQ367" s="3" t="s">
        <v>247</v>
      </c>
      <c r="AR367" s="3" t="s">
        <v>288</v>
      </c>
      <c r="AS367" s="3" t="s">
        <v>185</v>
      </c>
      <c r="AT367" s="3" t="s">
        <v>379</v>
      </c>
      <c r="AU367" s="3" t="s">
        <v>379</v>
      </c>
      <c r="AV367" s="3" t="s">
        <v>288</v>
      </c>
      <c r="AW367" s="3" t="s">
        <v>371</v>
      </c>
      <c r="AX367" s="3" t="s">
        <v>244</v>
      </c>
      <c r="AY367" s="3" t="s">
        <v>247</v>
      </c>
    </row>
    <row r="368" spans="1:51" ht="15.75" customHeight="1">
      <c r="A368" s="3">
        <v>282</v>
      </c>
      <c r="B368" s="5" t="str">
        <f t="shared" si="0"/>
        <v>http://roarmap.eprints.org/282/</v>
      </c>
      <c r="C368" s="3">
        <v>4</v>
      </c>
      <c r="D368" s="3" t="s">
        <v>98</v>
      </c>
      <c r="E368" s="3">
        <v>1</v>
      </c>
      <c r="F368" s="3" t="s">
        <v>1573</v>
      </c>
      <c r="G368" s="3">
        <v>41988.923645833333</v>
      </c>
      <c r="H368" s="3">
        <v>42020.585486111115</v>
      </c>
      <c r="I368" s="3">
        <v>41988.923645833333</v>
      </c>
      <c r="J368" s="3" t="s">
        <v>103</v>
      </c>
      <c r="K368" s="3" t="s">
        <v>105</v>
      </c>
      <c r="L368" s="3" t="s">
        <v>1574</v>
      </c>
      <c r="M368" s="3" t="s">
        <v>532</v>
      </c>
      <c r="N368" s="3" t="s">
        <v>1575</v>
      </c>
      <c r="O368" s="3" t="s">
        <v>1576</v>
      </c>
      <c r="P368" s="3" t="s">
        <v>215</v>
      </c>
      <c r="Q368" t="str">
        <f t="shared" si="24"/>
        <v>http://roarmap.eprints.org/view/country/643.html</v>
      </c>
      <c r="R368" s="3">
        <v>643</v>
      </c>
      <c r="S368" s="6" t="s">
        <v>287</v>
      </c>
      <c r="T368" s="9">
        <v>643</v>
      </c>
      <c r="U368" s="7" t="s">
        <v>123</v>
      </c>
      <c r="V368" s="6" t="s">
        <v>102</v>
      </c>
      <c r="W368" s="3" t="s">
        <v>158</v>
      </c>
      <c r="X368" s="3" t="s">
        <v>384</v>
      </c>
      <c r="Y368" s="3" t="s">
        <v>1574</v>
      </c>
      <c r="Z368" s="8" t="str">
        <f>HYPERLINK("http://www.vscc.ac.ru/","http://www.vscc.ac.ru/")</f>
        <v>http://www.vscc.ac.ru/</v>
      </c>
      <c r="AB368" s="8" t="str">
        <f t="shared" si="27"/>
        <v>http://socionet.ru/</v>
      </c>
      <c r="AF368" s="3" t="s">
        <v>244</v>
      </c>
      <c r="AG368" s="3" t="s">
        <v>178</v>
      </c>
      <c r="AH368" s="3" t="s">
        <v>180</v>
      </c>
      <c r="AI368" s="3" t="s">
        <v>371</v>
      </c>
      <c r="AJ368" s="3" t="s">
        <v>182</v>
      </c>
      <c r="AK368" s="3" t="s">
        <v>393</v>
      </c>
      <c r="AL368" s="3" t="s">
        <v>185</v>
      </c>
      <c r="AM368" s="3" t="s">
        <v>178</v>
      </c>
      <c r="AN368" s="3" t="s">
        <v>185</v>
      </c>
      <c r="AO368" s="3" t="s">
        <v>187</v>
      </c>
      <c r="AP368" s="3" t="s">
        <v>244</v>
      </c>
      <c r="AQ368" s="3" t="s">
        <v>247</v>
      </c>
      <c r="AR368" s="3" t="s">
        <v>288</v>
      </c>
      <c r="AS368" s="3" t="s">
        <v>185</v>
      </c>
      <c r="AT368" s="3" t="s">
        <v>379</v>
      </c>
      <c r="AU368" s="3" t="s">
        <v>379</v>
      </c>
      <c r="AV368" s="3" t="s">
        <v>288</v>
      </c>
      <c r="AW368" s="3" t="s">
        <v>371</v>
      </c>
      <c r="AX368" s="3" t="s">
        <v>244</v>
      </c>
      <c r="AY368" s="3" t="s">
        <v>247</v>
      </c>
    </row>
    <row r="369" spans="1:52" ht="15.75" customHeight="1">
      <c r="A369" s="3">
        <v>43</v>
      </c>
      <c r="B369" s="5" t="str">
        <f t="shared" si="0"/>
        <v>http://roarmap.eprints.org/43/</v>
      </c>
      <c r="C369" s="3">
        <v>6</v>
      </c>
      <c r="D369" s="3" t="s">
        <v>98</v>
      </c>
      <c r="E369" s="3">
        <v>235</v>
      </c>
      <c r="F369" s="3" t="s">
        <v>1577</v>
      </c>
      <c r="G369" s="3">
        <v>41988.923136574071</v>
      </c>
      <c r="H369" s="3">
        <v>42046.98164351852</v>
      </c>
      <c r="I369" s="3">
        <v>41988.923136574071</v>
      </c>
      <c r="J369" s="3" t="s">
        <v>103</v>
      </c>
      <c r="K369" s="3" t="s">
        <v>105</v>
      </c>
      <c r="L369" s="3" t="s">
        <v>1578</v>
      </c>
      <c r="M369" s="3" t="s">
        <v>307</v>
      </c>
      <c r="O369" s="3" t="s">
        <v>1579</v>
      </c>
      <c r="P369" s="3" t="s">
        <v>215</v>
      </c>
      <c r="Q369" t="str">
        <f t="shared" si="24"/>
        <v>http://roarmap.eprints.org/view/country/682.html</v>
      </c>
      <c r="R369" s="3">
        <v>682</v>
      </c>
      <c r="S369" s="6" t="s">
        <v>301</v>
      </c>
      <c r="T369" s="9">
        <v>682</v>
      </c>
      <c r="U369" s="7" t="s">
        <v>118</v>
      </c>
      <c r="V369" s="6" t="s">
        <v>96</v>
      </c>
      <c r="W369" s="3" t="s">
        <v>158</v>
      </c>
      <c r="X369" s="3" t="s">
        <v>160</v>
      </c>
      <c r="Y369" s="3" t="s">
        <v>1578</v>
      </c>
      <c r="Z369" s="8" t="str">
        <f>HYPERLINK("http://www.kaust.edu.sa/","http://www.kaust.edu.sa/")</f>
        <v>http://www.kaust.edu.sa/</v>
      </c>
      <c r="AA369" s="8" t="str">
        <f>HYPERLINK("http://libguides.kaust.edu.sa/OpenAccessPolicy","http://libguides.kaust.edu.sa/OpenAccessPolicy")</f>
        <v>http://libguides.kaust.edu.sa/OpenAccessPolicy</v>
      </c>
      <c r="AB369" s="8" t="str">
        <f>HYPERLINK("http://repository.kaust.edu.sa/kaust/","http://repository.kaust.edu.sa/kaust/")</f>
        <v>http://repository.kaust.edu.sa/kaust/</v>
      </c>
      <c r="AC369" s="3">
        <v>41820</v>
      </c>
      <c r="AD369" s="3">
        <v>41820</v>
      </c>
      <c r="AF369" s="3" t="s">
        <v>177</v>
      </c>
      <c r="AG369" s="3" t="s">
        <v>178</v>
      </c>
      <c r="AH369" s="3" t="s">
        <v>180</v>
      </c>
      <c r="AI369" s="3" t="s">
        <v>392</v>
      </c>
      <c r="AJ369" s="3" t="s">
        <v>182</v>
      </c>
      <c r="AK369" s="3" t="s">
        <v>393</v>
      </c>
      <c r="AL369" s="3" t="s">
        <v>185</v>
      </c>
      <c r="AM369" s="3" t="s">
        <v>479</v>
      </c>
      <c r="AN369" s="3" t="s">
        <v>189</v>
      </c>
      <c r="AO369" s="3" t="s">
        <v>247</v>
      </c>
      <c r="AP369" s="3" t="s">
        <v>185</v>
      </c>
      <c r="AQ369" s="3" t="s">
        <v>648</v>
      </c>
      <c r="AR369" s="3" t="s">
        <v>288</v>
      </c>
      <c r="AS369" s="3" t="s">
        <v>189</v>
      </c>
      <c r="AT369" s="3" t="s">
        <v>244</v>
      </c>
      <c r="AU369" s="3" t="s">
        <v>244</v>
      </c>
      <c r="AV369" s="3" t="s">
        <v>288</v>
      </c>
      <c r="AW369" s="3" t="s">
        <v>339</v>
      </c>
      <c r="AX369" s="3" t="s">
        <v>244</v>
      </c>
      <c r="AY369" s="3" t="s">
        <v>247</v>
      </c>
    </row>
    <row r="370" spans="1:52" ht="15.75" customHeight="1">
      <c r="A370" s="3">
        <v>44</v>
      </c>
      <c r="B370" s="5" t="str">
        <f t="shared" si="0"/>
        <v>http://roarmap.eprints.org/44/</v>
      </c>
      <c r="C370" s="3">
        <v>4</v>
      </c>
      <c r="D370" s="3" t="s">
        <v>98</v>
      </c>
      <c r="E370" s="3">
        <v>236</v>
      </c>
      <c r="F370" s="3" t="s">
        <v>1580</v>
      </c>
      <c r="G370" s="3">
        <v>41988.923136574071</v>
      </c>
      <c r="H370" s="3">
        <v>42046.98164351852</v>
      </c>
      <c r="I370" s="3">
        <v>41988.923136574071</v>
      </c>
      <c r="J370" s="3" t="s">
        <v>103</v>
      </c>
      <c r="K370" s="3" t="s">
        <v>105</v>
      </c>
      <c r="L370" s="3" t="s">
        <v>1581</v>
      </c>
      <c r="M370" s="3" t="s">
        <v>374</v>
      </c>
      <c r="O370" s="3" t="s">
        <v>1582</v>
      </c>
      <c r="P370" s="3" t="s">
        <v>215</v>
      </c>
      <c r="Q370" t="str">
        <f t="shared" si="24"/>
        <v>http://roarmap.eprints.org/view/country/702.html</v>
      </c>
      <c r="R370" s="3">
        <v>702</v>
      </c>
      <c r="S370" s="6" t="s">
        <v>310</v>
      </c>
      <c r="T370" s="9">
        <v>702</v>
      </c>
      <c r="U370" s="7" t="s">
        <v>118</v>
      </c>
      <c r="V370" s="6" t="s">
        <v>74</v>
      </c>
      <c r="W370" s="3" t="s">
        <v>158</v>
      </c>
      <c r="X370" s="3" t="s">
        <v>376</v>
      </c>
      <c r="Y370" s="3" t="s">
        <v>1581</v>
      </c>
      <c r="Z370" s="8" t="str">
        <f>HYPERLINK("http://www.a-star.edu.sg/","http://www.a-star.edu.sg/")</f>
        <v>http://www.a-star.edu.sg/</v>
      </c>
      <c r="AA370" s="8" t="str">
        <f>HYPERLINK("http://roarmap.eprints.org/933/1/FAQ_OAR.pdf","http://roarmap.eprints.org/933/1/FAQ_OAR.pdf")</f>
        <v>http://roarmap.eprints.org/933/1/FAQ_OAR.pdf</v>
      </c>
      <c r="AB370" s="8" t="str">
        <f>HYPERLINK("http://oar.a-star.edu.sg/jspui/","http://oar.a-star.edu.sg/jspui/")</f>
        <v>http://oar.a-star.edu.sg/jspui/</v>
      </c>
      <c r="AC370" s="3">
        <v>41487</v>
      </c>
      <c r="AD370" s="3">
        <v>41487</v>
      </c>
      <c r="AF370" s="3" t="s">
        <v>177</v>
      </c>
      <c r="AG370" s="3" t="s">
        <v>178</v>
      </c>
      <c r="AH370" s="3" t="s">
        <v>370</v>
      </c>
      <c r="AI370" s="3" t="s">
        <v>187</v>
      </c>
      <c r="AJ370" s="3" t="s">
        <v>182</v>
      </c>
      <c r="AK370" s="3" t="s">
        <v>393</v>
      </c>
      <c r="AL370" s="3" t="s">
        <v>185</v>
      </c>
      <c r="AM370" s="3" t="s">
        <v>178</v>
      </c>
      <c r="AN370" s="3" t="s">
        <v>244</v>
      </c>
      <c r="AO370" s="3" t="s">
        <v>378</v>
      </c>
      <c r="AP370" s="3" t="s">
        <v>244</v>
      </c>
      <c r="AQ370" s="3" t="s">
        <v>386</v>
      </c>
      <c r="AR370" s="3" t="s">
        <v>288</v>
      </c>
      <c r="AS370" s="3" t="s">
        <v>189</v>
      </c>
      <c r="AT370" s="3" t="s">
        <v>395</v>
      </c>
      <c r="AU370" s="3" t="s">
        <v>244</v>
      </c>
      <c r="AV370" s="3" t="s">
        <v>288</v>
      </c>
      <c r="AW370" s="3" t="s">
        <v>339</v>
      </c>
      <c r="AX370" s="3" t="s">
        <v>244</v>
      </c>
      <c r="AY370" s="3" t="s">
        <v>247</v>
      </c>
    </row>
    <row r="371" spans="1:52" ht="15.75" customHeight="1">
      <c r="A371" s="3">
        <v>45</v>
      </c>
      <c r="B371" s="5" t="str">
        <f t="shared" si="0"/>
        <v>http://roarmap.eprints.org/45/</v>
      </c>
      <c r="C371" s="3">
        <v>3</v>
      </c>
      <c r="D371" s="3" t="s">
        <v>98</v>
      </c>
      <c r="E371" s="3">
        <v>1</v>
      </c>
      <c r="F371" s="3" t="s">
        <v>1583</v>
      </c>
      <c r="G371" s="3">
        <v>41988.923136574071</v>
      </c>
      <c r="H371" s="3">
        <v>41988.923136574071</v>
      </c>
      <c r="I371" s="3">
        <v>41988.923136574071</v>
      </c>
      <c r="J371" s="3" t="s">
        <v>103</v>
      </c>
      <c r="K371" s="3" t="s">
        <v>105</v>
      </c>
      <c r="L371" s="3" t="s">
        <v>1584</v>
      </c>
      <c r="M371" s="3" t="s">
        <v>374</v>
      </c>
      <c r="P371" s="3" t="s">
        <v>215</v>
      </c>
      <c r="Q371" t="str">
        <f t="shared" si="24"/>
        <v>http://roarmap.eprints.org/view/country/702.html</v>
      </c>
      <c r="R371" s="3">
        <v>702</v>
      </c>
      <c r="S371" s="6" t="s">
        <v>310</v>
      </c>
      <c r="T371" s="9">
        <v>702</v>
      </c>
      <c r="U371" s="7" t="s">
        <v>118</v>
      </c>
      <c r="V371" s="6" t="s">
        <v>74</v>
      </c>
      <c r="W371" s="3" t="s">
        <v>158</v>
      </c>
      <c r="X371" s="3" t="s">
        <v>160</v>
      </c>
      <c r="Y371" s="3" t="s">
        <v>1584</v>
      </c>
      <c r="Z371" s="8" t="str">
        <f>HYPERLINK("http://www.ntu.edu.sg/Pages/index.aspx","http://www.ntu.edu.sg/Pages/index.aspx")</f>
        <v>http://www.ntu.edu.sg/Pages/index.aspx</v>
      </c>
      <c r="AA371" s="8" t="str">
        <f>HYPERLINK("https://www.ntu.edu.sg/library/scholarlycomm/OAmandates/Pages/NTU-OAmandate.aspx","https://www.ntu.edu.sg/library/scholarlycomm/OAmandates/Pages/NTU-OAmandate.aspx")</f>
        <v>https://www.ntu.edu.sg/library/scholarlycomm/OAmandates/Pages/NTU-OAmandate.aspx</v>
      </c>
      <c r="AB371" s="8" t="str">
        <f>HYPERLINK("http://dr.ntu.edu.sg/","http://dr.ntu.edu.sg/")</f>
        <v>http://dr.ntu.edu.sg/</v>
      </c>
      <c r="AC371" s="3">
        <v>40766</v>
      </c>
      <c r="AD371" s="3">
        <v>40763</v>
      </c>
      <c r="AF371" s="3" t="s">
        <v>177</v>
      </c>
      <c r="AG371" s="3" t="s">
        <v>178</v>
      </c>
      <c r="AH371" s="3" t="s">
        <v>180</v>
      </c>
      <c r="AI371" s="3" t="s">
        <v>187</v>
      </c>
      <c r="AJ371" s="3" t="s">
        <v>182</v>
      </c>
      <c r="AK371" s="3" t="s">
        <v>393</v>
      </c>
      <c r="AL371" s="3" t="s">
        <v>185</v>
      </c>
      <c r="AM371" s="3" t="s">
        <v>178</v>
      </c>
      <c r="AN371" s="3" t="s">
        <v>189</v>
      </c>
      <c r="AO371" s="3" t="s">
        <v>247</v>
      </c>
      <c r="AP371" s="3" t="s">
        <v>244</v>
      </c>
      <c r="AQ371" s="3" t="s">
        <v>386</v>
      </c>
      <c r="AR371" s="3" t="s">
        <v>288</v>
      </c>
      <c r="AS371" s="3" t="s">
        <v>189</v>
      </c>
      <c r="AT371" s="3" t="s">
        <v>244</v>
      </c>
      <c r="AU371" s="3" t="s">
        <v>244</v>
      </c>
      <c r="AV371" s="3" t="s">
        <v>288</v>
      </c>
      <c r="AW371" s="3" t="s">
        <v>339</v>
      </c>
      <c r="AX371" s="3" t="s">
        <v>244</v>
      </c>
      <c r="AY371" s="3" t="s">
        <v>247</v>
      </c>
    </row>
    <row r="372" spans="1:52" ht="15.75" customHeight="1">
      <c r="A372" s="3">
        <v>46</v>
      </c>
      <c r="B372" s="5" t="str">
        <f t="shared" si="0"/>
        <v>http://roarmap.eprints.org/46/</v>
      </c>
      <c r="C372" s="3">
        <v>4</v>
      </c>
      <c r="D372" s="3" t="s">
        <v>98</v>
      </c>
      <c r="E372" s="3">
        <v>237</v>
      </c>
      <c r="F372" s="3" t="s">
        <v>1585</v>
      </c>
      <c r="G372" s="3">
        <v>41988.923136574071</v>
      </c>
      <c r="H372" s="3">
        <v>42046.98164351852</v>
      </c>
      <c r="I372" s="3">
        <v>41988.923136574071</v>
      </c>
      <c r="J372" s="3" t="s">
        <v>103</v>
      </c>
      <c r="K372" s="3" t="s">
        <v>105</v>
      </c>
      <c r="L372" s="3" t="s">
        <v>1586</v>
      </c>
      <c r="M372" s="3" t="s">
        <v>374</v>
      </c>
      <c r="P372" s="3" t="s">
        <v>215</v>
      </c>
      <c r="Q372" t="str">
        <f t="shared" si="24"/>
        <v>http://roarmap.eprints.org/view/country/702.html</v>
      </c>
      <c r="R372" s="3">
        <v>702</v>
      </c>
      <c r="S372" s="6" t="s">
        <v>310</v>
      </c>
      <c r="T372" s="9">
        <v>702</v>
      </c>
      <c r="U372" s="7" t="s">
        <v>118</v>
      </c>
      <c r="V372" s="6" t="s">
        <v>74</v>
      </c>
      <c r="W372" s="3" t="s">
        <v>158</v>
      </c>
      <c r="X372" s="3" t="s">
        <v>160</v>
      </c>
      <c r="Y372" s="3" t="s">
        <v>1586</v>
      </c>
      <c r="Z372" s="8" t="str">
        <f>HYPERLINK("http://www.smu.edu.sg/","http://www.smu.edu.sg/")</f>
        <v>http://www.smu.edu.sg/</v>
      </c>
      <c r="AA372" s="8" t="str">
        <f>HYPERLINK("http://library.smu.edu.sg/sites/default/files/library/pdf/smuopenaccesspolicy_24102013.pdf","http://library.smu.edu.sg/sites/default/files/library/pdf/smuopenaccesspolicy_24102013.pdf")</f>
        <v>http://library.smu.edu.sg/sites/default/files/library/pdf/smuopenaccesspolicy_24102013.pdf</v>
      </c>
      <c r="AB372" s="8" t="str">
        <f>HYPERLINK("http://ink.library.smu.edu.sg/","http://ink.library.smu.edu.sg/")</f>
        <v>http://ink.library.smu.edu.sg/</v>
      </c>
      <c r="AC372" s="3">
        <v>41571</v>
      </c>
      <c r="AD372" s="3">
        <v>41571</v>
      </c>
      <c r="AF372" s="3" t="s">
        <v>177</v>
      </c>
      <c r="AG372" s="3" t="s">
        <v>178</v>
      </c>
      <c r="AH372" s="3" t="s">
        <v>180</v>
      </c>
      <c r="AI372" s="3" t="s">
        <v>244</v>
      </c>
      <c r="AJ372" s="3" t="s">
        <v>182</v>
      </c>
      <c r="AK372" s="3" t="s">
        <v>393</v>
      </c>
      <c r="AL372" s="3" t="s">
        <v>185</v>
      </c>
      <c r="AM372" s="3" t="s">
        <v>178</v>
      </c>
      <c r="AN372" s="3" t="s">
        <v>189</v>
      </c>
      <c r="AO372" s="3" t="s">
        <v>371</v>
      </c>
      <c r="AP372" s="3" t="s">
        <v>244</v>
      </c>
      <c r="AQ372" s="3" t="s">
        <v>386</v>
      </c>
      <c r="AR372" s="3" t="s">
        <v>288</v>
      </c>
      <c r="AS372" s="3" t="s">
        <v>189</v>
      </c>
      <c r="AT372" s="3" t="s">
        <v>244</v>
      </c>
      <c r="AU372" s="3" t="s">
        <v>244</v>
      </c>
      <c r="AV372" s="3" t="s">
        <v>288</v>
      </c>
      <c r="AW372" s="3" t="s">
        <v>339</v>
      </c>
      <c r="AX372" s="3" t="s">
        <v>244</v>
      </c>
      <c r="AY372" s="3" t="s">
        <v>247</v>
      </c>
    </row>
    <row r="373" spans="1:52" ht="15.75" customHeight="1">
      <c r="A373" s="3">
        <v>284</v>
      </c>
      <c r="B373" s="5" t="str">
        <f t="shared" si="0"/>
        <v>http://roarmap.eprints.org/284/</v>
      </c>
      <c r="C373" s="3">
        <v>3</v>
      </c>
      <c r="D373" s="3" t="s">
        <v>98</v>
      </c>
      <c r="E373" s="3">
        <v>1</v>
      </c>
      <c r="F373" s="3" t="s">
        <v>1587</v>
      </c>
      <c r="G373" s="3">
        <v>41988.923645833333</v>
      </c>
      <c r="H373" s="3">
        <v>41988.923645833333</v>
      </c>
      <c r="I373" s="3">
        <v>41988.923645833333</v>
      </c>
      <c r="J373" s="3" t="s">
        <v>103</v>
      </c>
      <c r="K373" s="3" t="s">
        <v>105</v>
      </c>
      <c r="L373" s="3" t="s">
        <v>1588</v>
      </c>
      <c r="M373" s="3" t="s">
        <v>637</v>
      </c>
      <c r="P373" s="3" t="s">
        <v>756</v>
      </c>
      <c r="Q373" t="str">
        <f t="shared" si="24"/>
        <v>http://roarmap.eprints.org/view/country/703.html</v>
      </c>
      <c r="R373" s="3">
        <v>703</v>
      </c>
      <c r="S373" s="6" t="s">
        <v>311</v>
      </c>
      <c r="T373" s="9">
        <v>703</v>
      </c>
      <c r="U373" s="7" t="s">
        <v>123</v>
      </c>
      <c r="V373" s="6" t="s">
        <v>102</v>
      </c>
      <c r="W373" s="3" t="s">
        <v>158</v>
      </c>
      <c r="X373" s="3" t="s">
        <v>364</v>
      </c>
      <c r="Y373" s="3" t="s">
        <v>1588</v>
      </c>
      <c r="Z373" s="8" t="str">
        <f>HYPERLINK("http://www.cvtisr.sk/","http://www.cvtisr.sk/")</f>
        <v>http://www.cvtisr.sk/</v>
      </c>
      <c r="AA373" s="3" t="s">
        <v>1589</v>
      </c>
      <c r="AB373" s="8" t="str">
        <f>HYPERLINK("http://www.crzp.sk/crzpopacxe","http://www.crzp.sk/crzpopacxe")</f>
        <v>http://www.crzp.sk/crzpopacxe</v>
      </c>
      <c r="AF373" s="3" t="s">
        <v>244</v>
      </c>
      <c r="AG373" s="3" t="s">
        <v>178</v>
      </c>
      <c r="AH373" s="3" t="s">
        <v>180</v>
      </c>
      <c r="AI373" s="3" t="s">
        <v>371</v>
      </c>
      <c r="AJ373" s="3" t="s">
        <v>385</v>
      </c>
      <c r="AK373" s="3" t="s">
        <v>244</v>
      </c>
      <c r="AL373" s="3" t="s">
        <v>244</v>
      </c>
      <c r="AM373" s="3" t="s">
        <v>178</v>
      </c>
      <c r="AN373" s="3" t="s">
        <v>244</v>
      </c>
      <c r="AO373" s="3" t="s">
        <v>181</v>
      </c>
      <c r="AP373" s="3" t="s">
        <v>185</v>
      </c>
      <c r="AQ373" s="3" t="s">
        <v>247</v>
      </c>
      <c r="AR373" s="3" t="s">
        <v>288</v>
      </c>
      <c r="AS373" s="3" t="s">
        <v>189</v>
      </c>
      <c r="AT373" s="3" t="s">
        <v>193</v>
      </c>
      <c r="AU373" s="3" t="s">
        <v>193</v>
      </c>
      <c r="AV373" s="3" t="s">
        <v>288</v>
      </c>
      <c r="AW373" s="3" t="s">
        <v>339</v>
      </c>
      <c r="AX373" s="3" t="s">
        <v>244</v>
      </c>
      <c r="AY373" s="3" t="s">
        <v>247</v>
      </c>
    </row>
    <row r="374" spans="1:52" ht="15.75" customHeight="1">
      <c r="A374" s="3">
        <v>75</v>
      </c>
      <c r="B374" s="5" t="str">
        <f t="shared" si="0"/>
        <v>http://roarmap.eprints.org/75/</v>
      </c>
      <c r="C374" s="3">
        <v>3</v>
      </c>
      <c r="D374" s="3" t="s">
        <v>98</v>
      </c>
      <c r="E374" s="3">
        <v>1</v>
      </c>
      <c r="F374" s="3" t="s">
        <v>1590</v>
      </c>
      <c r="G374" s="3">
        <v>41988.923206018517</v>
      </c>
      <c r="H374" s="3">
        <v>41988.923206018517</v>
      </c>
      <c r="I374" s="3">
        <v>41988.923206018517</v>
      </c>
      <c r="J374" s="3" t="s">
        <v>103</v>
      </c>
      <c r="K374" s="3" t="s">
        <v>105</v>
      </c>
      <c r="L374" s="3" t="s">
        <v>1591</v>
      </c>
      <c r="M374" s="3" t="s">
        <v>352</v>
      </c>
      <c r="P374" s="3" t="s">
        <v>215</v>
      </c>
      <c r="Q374" t="str">
        <f t="shared" si="24"/>
        <v>http://roarmap.eprints.org/view/country/704.html</v>
      </c>
      <c r="R374" s="3">
        <v>704</v>
      </c>
      <c r="S374" s="6" t="s">
        <v>313</v>
      </c>
      <c r="T374" s="9">
        <v>704</v>
      </c>
      <c r="U374" s="7" t="s">
        <v>118</v>
      </c>
      <c r="V374" s="6" t="s">
        <v>74</v>
      </c>
      <c r="W374" s="3" t="s">
        <v>158</v>
      </c>
      <c r="X374" s="3" t="s">
        <v>384</v>
      </c>
      <c r="Y374" s="3" t="s">
        <v>1591</v>
      </c>
      <c r="Z374" s="8" t="str">
        <f>HYPERLINK("http://rifee.vn/","http://rifee.vn/")</f>
        <v>http://rifee.vn/</v>
      </c>
      <c r="AB374" s="8" t="str">
        <f>HYPERLINK("http://rifee.vn/posts/an-pham-khoa-hoc-12","http://rifee.vn/posts/an-pham-khoa-hoc-12")</f>
        <v>http://rifee.vn/posts/an-pham-khoa-hoc-12</v>
      </c>
      <c r="AF374" s="3" t="s">
        <v>244</v>
      </c>
      <c r="AG374" s="3" t="s">
        <v>244</v>
      </c>
      <c r="AH374" s="3" t="s">
        <v>180</v>
      </c>
      <c r="AI374" s="3" t="s">
        <v>244</v>
      </c>
      <c r="AJ374" s="3" t="s">
        <v>244</v>
      </c>
      <c r="AK374" s="3" t="s">
        <v>244</v>
      </c>
      <c r="AL374" s="3" t="s">
        <v>244</v>
      </c>
      <c r="AM374" s="3" t="s">
        <v>247</v>
      </c>
      <c r="AN374" s="3" t="s">
        <v>244</v>
      </c>
      <c r="AO374" s="3" t="s">
        <v>247</v>
      </c>
      <c r="AP374" s="3" t="s">
        <v>244</v>
      </c>
      <c r="AQ374" s="3" t="s">
        <v>247</v>
      </c>
      <c r="AR374" s="3" t="s">
        <v>288</v>
      </c>
      <c r="AS374" s="3" t="s">
        <v>288</v>
      </c>
      <c r="AT374" s="3" t="s">
        <v>244</v>
      </c>
      <c r="AU374" s="3" t="s">
        <v>244</v>
      </c>
      <c r="AV374" s="3" t="s">
        <v>288</v>
      </c>
      <c r="AW374" s="3" t="s">
        <v>371</v>
      </c>
      <c r="AX374" s="3" t="s">
        <v>244</v>
      </c>
      <c r="AY374" s="3" t="s">
        <v>247</v>
      </c>
    </row>
    <row r="375" spans="1:52" ht="15.75" customHeight="1">
      <c r="A375" s="3">
        <v>285</v>
      </c>
      <c r="B375" s="5" t="str">
        <f t="shared" si="0"/>
        <v>http://roarmap.eprints.org/285/</v>
      </c>
      <c r="C375" s="3">
        <v>4</v>
      </c>
      <c r="D375" s="3" t="s">
        <v>98</v>
      </c>
      <c r="E375" s="3">
        <v>1</v>
      </c>
      <c r="F375" s="3" t="s">
        <v>1592</v>
      </c>
      <c r="G375" s="3">
        <v>41988.923645833333</v>
      </c>
      <c r="H375" s="3">
        <v>41988.923645833333</v>
      </c>
      <c r="I375" s="3">
        <v>41988.923645833333</v>
      </c>
      <c r="J375" s="3" t="s">
        <v>103</v>
      </c>
      <c r="K375" s="3" t="s">
        <v>105</v>
      </c>
      <c r="L375" s="3" t="s">
        <v>1593</v>
      </c>
      <c r="M375" s="3" t="s">
        <v>532</v>
      </c>
      <c r="O375" s="3" t="s">
        <v>1594</v>
      </c>
      <c r="P375" s="3" t="s">
        <v>756</v>
      </c>
      <c r="Q375" t="str">
        <f t="shared" si="24"/>
        <v>http://roarmap.eprints.org/view/country/705.html</v>
      </c>
      <c r="R375" s="3">
        <v>705</v>
      </c>
      <c r="S375" s="6" t="s">
        <v>314</v>
      </c>
      <c r="T375" s="9">
        <v>705</v>
      </c>
      <c r="U375" s="7" t="s">
        <v>123</v>
      </c>
      <c r="V375" s="6" t="s">
        <v>76</v>
      </c>
      <c r="W375" s="3" t="s">
        <v>158</v>
      </c>
      <c r="X375" s="3" t="s">
        <v>160</v>
      </c>
      <c r="Y375" s="3" t="s">
        <v>1593</v>
      </c>
      <c r="Z375" s="8" t="str">
        <f>HYPERLINK("http://www.uni-lj.si/","http://www.uni-lj.si/")</f>
        <v>http://www.uni-lj.si/</v>
      </c>
      <c r="AA375" s="8" t="str">
        <f>HYPERLINK("http://www.uradni-list.si/1/content?id=114726#!/Dopolnitev-Statuta-Univerze-v-Ljubljani","http://www.uradni-list.si/1/content?id=114726#!/Dopolnitev-Statuta-Univerze-v-Ljubljani")</f>
        <v>http://www.uradni-list.si/1/content?id=114726#!/Dopolnitev-Statuta-Univerze-v-Ljubljani</v>
      </c>
      <c r="AB375" s="8" t="str">
        <f>HYPERLINK("https://repozitorij.uni-lj.si","https://repozitorij.uni-lj.si")</f>
        <v>https://repozitorij.uni-lj.si</v>
      </c>
      <c r="AC375" s="3">
        <v>41543</v>
      </c>
      <c r="AD375" s="3">
        <v>41559</v>
      </c>
      <c r="AF375" s="3" t="s">
        <v>177</v>
      </c>
      <c r="AG375" s="3" t="s">
        <v>178</v>
      </c>
      <c r="AH375" s="3" t="s">
        <v>180</v>
      </c>
      <c r="AI375" s="3" t="s">
        <v>371</v>
      </c>
      <c r="AJ375" s="3" t="s">
        <v>385</v>
      </c>
      <c r="AK375" s="3" t="s">
        <v>244</v>
      </c>
      <c r="AL375" s="3" t="s">
        <v>185</v>
      </c>
      <c r="AM375" s="3" t="s">
        <v>178</v>
      </c>
      <c r="AN375" s="3" t="s">
        <v>185</v>
      </c>
      <c r="AO375" s="3" t="s">
        <v>371</v>
      </c>
      <c r="AP375" s="3" t="s">
        <v>244</v>
      </c>
      <c r="AQ375" s="3" t="s">
        <v>394</v>
      </c>
      <c r="AR375" s="3" t="s">
        <v>288</v>
      </c>
      <c r="AS375" s="3" t="s">
        <v>288</v>
      </c>
      <c r="AT375" s="3" t="s">
        <v>244</v>
      </c>
      <c r="AU375" s="3" t="s">
        <v>244</v>
      </c>
      <c r="AV375" s="3" t="s">
        <v>288</v>
      </c>
      <c r="AW375" s="3" t="s">
        <v>244</v>
      </c>
      <c r="AX375" s="3" t="s">
        <v>244</v>
      </c>
      <c r="AY375" s="3" t="s">
        <v>247</v>
      </c>
    </row>
    <row r="376" spans="1:52" ht="15.75" customHeight="1">
      <c r="A376" s="3">
        <v>286</v>
      </c>
      <c r="B376" s="5" t="str">
        <f t="shared" si="0"/>
        <v>http://roarmap.eprints.org/286/</v>
      </c>
      <c r="C376" s="3">
        <v>5</v>
      </c>
      <c r="D376" s="3" t="s">
        <v>98</v>
      </c>
      <c r="E376" s="3">
        <v>278</v>
      </c>
      <c r="F376" s="3" t="s">
        <v>1595</v>
      </c>
      <c r="G376" s="3">
        <v>41988.923645833333</v>
      </c>
      <c r="H376" s="3">
        <v>42046.981689814813</v>
      </c>
      <c r="I376" s="3">
        <v>41988.923645833333</v>
      </c>
      <c r="J376" s="3" t="s">
        <v>103</v>
      </c>
      <c r="K376" s="3" t="s">
        <v>105</v>
      </c>
      <c r="L376" s="3" t="s">
        <v>1596</v>
      </c>
      <c r="M376" s="3" t="s">
        <v>532</v>
      </c>
      <c r="N376" s="3" t="s">
        <v>1597</v>
      </c>
      <c r="O376" s="3" t="s">
        <v>1598</v>
      </c>
      <c r="P376" s="3" t="s">
        <v>215</v>
      </c>
      <c r="Q376" t="str">
        <f t="shared" si="24"/>
        <v>http://roarmap.eprints.org/view/country/705.html</v>
      </c>
      <c r="R376" s="3">
        <v>705</v>
      </c>
      <c r="S376" s="6" t="s">
        <v>314</v>
      </c>
      <c r="T376" s="9">
        <v>705</v>
      </c>
      <c r="U376" s="7" t="s">
        <v>123</v>
      </c>
      <c r="V376" s="6" t="s">
        <v>76</v>
      </c>
      <c r="W376" s="3" t="s">
        <v>158</v>
      </c>
      <c r="X376" s="3" t="s">
        <v>160</v>
      </c>
      <c r="Y376" s="3" t="s">
        <v>1596</v>
      </c>
      <c r="Z376" s="8" t="str">
        <f>HYPERLINK("http://www3.fgg.uni-lj.si/","http://www3.fgg.uni-lj.si/")</f>
        <v>http://www3.fgg.uni-lj.si/</v>
      </c>
      <c r="AB376" s="8" t="str">
        <f>HYPERLINK("http://drugg.fgg.uni-lj.si/","http://drugg.fgg.uni-lj.si/")</f>
        <v>http://drugg.fgg.uni-lj.si/</v>
      </c>
      <c r="AF376" s="3" t="s">
        <v>177</v>
      </c>
      <c r="AG376" s="3" t="s">
        <v>333</v>
      </c>
      <c r="AH376" s="3" t="s">
        <v>180</v>
      </c>
      <c r="AI376" s="3" t="s">
        <v>244</v>
      </c>
      <c r="AJ376" s="3" t="s">
        <v>182</v>
      </c>
      <c r="AK376" s="3" t="s">
        <v>244</v>
      </c>
      <c r="AL376" s="3" t="s">
        <v>288</v>
      </c>
      <c r="AM376" s="3" t="s">
        <v>479</v>
      </c>
      <c r="AN376" s="3" t="s">
        <v>189</v>
      </c>
      <c r="AO376" s="3" t="s">
        <v>247</v>
      </c>
      <c r="AP376" s="3" t="s">
        <v>185</v>
      </c>
      <c r="AQ376" s="3" t="s">
        <v>247</v>
      </c>
      <c r="AR376" s="3" t="s">
        <v>288</v>
      </c>
      <c r="AS376" s="3" t="s">
        <v>189</v>
      </c>
      <c r="AT376" s="3" t="s">
        <v>244</v>
      </c>
      <c r="AU376" s="3" t="s">
        <v>244</v>
      </c>
      <c r="AV376" s="3" t="s">
        <v>288</v>
      </c>
      <c r="AW376" s="3" t="s">
        <v>195</v>
      </c>
      <c r="AX376" s="3" t="s">
        <v>244</v>
      </c>
      <c r="AY376" s="3" t="s">
        <v>247</v>
      </c>
    </row>
    <row r="377" spans="1:52" ht="15.75" customHeight="1">
      <c r="A377" s="3">
        <v>287</v>
      </c>
      <c r="B377" s="5" t="str">
        <f t="shared" si="0"/>
        <v>http://roarmap.eprints.org/287/</v>
      </c>
      <c r="C377" s="3">
        <v>5</v>
      </c>
      <c r="D377" s="3" t="s">
        <v>98</v>
      </c>
      <c r="E377" s="3">
        <v>279</v>
      </c>
      <c r="F377" s="3" t="s">
        <v>1599</v>
      </c>
      <c r="G377" s="3">
        <v>41988.923657407409</v>
      </c>
      <c r="H377" s="3">
        <v>42046.981689814813</v>
      </c>
      <c r="I377" s="3">
        <v>41988.923657407409</v>
      </c>
      <c r="J377" s="3" t="s">
        <v>103</v>
      </c>
      <c r="K377" s="3" t="s">
        <v>105</v>
      </c>
      <c r="L377" s="3" t="s">
        <v>1600</v>
      </c>
      <c r="M377" s="3" t="s">
        <v>532</v>
      </c>
      <c r="O377" s="3" t="s">
        <v>1601</v>
      </c>
      <c r="P377" s="3" t="s">
        <v>215</v>
      </c>
      <c r="Q377" t="str">
        <f t="shared" si="24"/>
        <v>http://roarmap.eprints.org/view/country/705.html</v>
      </c>
      <c r="R377" s="3">
        <v>705</v>
      </c>
      <c r="S377" s="6" t="s">
        <v>314</v>
      </c>
      <c r="T377" s="9">
        <v>705</v>
      </c>
      <c r="U377" s="7" t="s">
        <v>123</v>
      </c>
      <c r="V377" s="6" t="s">
        <v>76</v>
      </c>
      <c r="W377" s="3" t="s">
        <v>158</v>
      </c>
      <c r="X377" s="3" t="s">
        <v>160</v>
      </c>
      <c r="Y377" s="3" t="s">
        <v>1600</v>
      </c>
      <c r="Z377" s="8" t="str">
        <f>HYPERLINK("http://www.pef.uni-lj.si/","http://www.pef.uni-lj.si/")</f>
        <v>http://www.pef.uni-lj.si/</v>
      </c>
      <c r="AB377" s="8" t="str">
        <f>HYPERLINK("http://pefprints.pef.uni-lj.si/","http://pefprints.pef.uni-lj.si/")</f>
        <v>http://pefprints.pef.uni-lj.si/</v>
      </c>
      <c r="AF377" s="3" t="s">
        <v>177</v>
      </c>
      <c r="AG377" s="3" t="s">
        <v>333</v>
      </c>
      <c r="AH377" s="3" t="s">
        <v>180</v>
      </c>
      <c r="AI377" s="3" t="s">
        <v>244</v>
      </c>
      <c r="AJ377" s="3" t="s">
        <v>182</v>
      </c>
      <c r="AK377" s="3" t="s">
        <v>244</v>
      </c>
      <c r="AL377" s="3" t="s">
        <v>288</v>
      </c>
      <c r="AM377" s="3" t="s">
        <v>247</v>
      </c>
      <c r="AN377" s="3" t="s">
        <v>244</v>
      </c>
      <c r="AO377" s="3" t="s">
        <v>247</v>
      </c>
      <c r="AP377" s="3" t="s">
        <v>185</v>
      </c>
      <c r="AQ377" s="3" t="s">
        <v>247</v>
      </c>
      <c r="AR377" s="3" t="s">
        <v>288</v>
      </c>
      <c r="AS377" s="3" t="s">
        <v>189</v>
      </c>
      <c r="AT377" s="3" t="s">
        <v>244</v>
      </c>
      <c r="AU377" s="3" t="s">
        <v>244</v>
      </c>
      <c r="AV377" s="3" t="s">
        <v>288</v>
      </c>
      <c r="AW377" s="3" t="s">
        <v>195</v>
      </c>
      <c r="AX377" s="3" t="s">
        <v>244</v>
      </c>
      <c r="AY377" s="3" t="s">
        <v>247</v>
      </c>
    </row>
    <row r="378" spans="1:52" ht="15.75" customHeight="1">
      <c r="A378" s="3">
        <v>687</v>
      </c>
      <c r="B378" s="5" t="str">
        <f t="shared" si="0"/>
        <v>http://roarmap.eprints.org/687/</v>
      </c>
      <c r="C378" s="3">
        <v>5</v>
      </c>
      <c r="D378" s="3" t="s">
        <v>98</v>
      </c>
      <c r="E378" s="3">
        <v>196</v>
      </c>
      <c r="F378" s="3" t="s">
        <v>1602</v>
      </c>
      <c r="G378" s="3">
        <v>42076.569675925923</v>
      </c>
      <c r="H378" s="3">
        <v>42076.569675925923</v>
      </c>
      <c r="I378" s="3">
        <v>42076.569675925923</v>
      </c>
      <c r="J378" s="3" t="s">
        <v>103</v>
      </c>
      <c r="K378" s="3" t="s">
        <v>105</v>
      </c>
      <c r="L378" s="3" t="s">
        <v>1603</v>
      </c>
      <c r="N378" s="3" t="s">
        <v>1604</v>
      </c>
      <c r="P378" s="3" t="s">
        <v>1603</v>
      </c>
      <c r="Q378" t="str">
        <f t="shared" si="24"/>
        <v>http://roarmap.eprints.org/view/country/710.html</v>
      </c>
      <c r="R378" s="3">
        <v>710</v>
      </c>
      <c r="S378" s="6" t="s">
        <v>316</v>
      </c>
      <c r="T378" s="9">
        <v>710</v>
      </c>
      <c r="U378" s="7" t="s">
        <v>51</v>
      </c>
      <c r="V378" s="6" t="s">
        <v>316</v>
      </c>
      <c r="W378" s="3" t="s">
        <v>158</v>
      </c>
      <c r="X378" s="3" t="s">
        <v>376</v>
      </c>
      <c r="Y378" s="3" t="s">
        <v>1603</v>
      </c>
      <c r="Z378" s="8" t="str">
        <f>HYPERLINK("http://www.nrf.ac.za","http://www.nrf.ac.za")</f>
        <v>http://www.nrf.ac.za</v>
      </c>
      <c r="AA378" s="8" t="str">
        <f>HYPERLINK("http://hdl.handle.net/10907/103","http://hdl.handle.net/10907/103")</f>
        <v>http://hdl.handle.net/10907/103</v>
      </c>
      <c r="AB378" s="8" t="str">
        <f>HYPERLINK("http://ir.nrf.ac.za/","http://ir.nrf.ac.za/")</f>
        <v>http://ir.nrf.ac.za/</v>
      </c>
      <c r="AC378" s="3">
        <v>2014</v>
      </c>
      <c r="AD378" s="3">
        <v>42064</v>
      </c>
      <c r="AF378" s="3" t="s">
        <v>177</v>
      </c>
      <c r="AG378" s="3" t="s">
        <v>178</v>
      </c>
      <c r="AH378" s="3" t="s">
        <v>180</v>
      </c>
      <c r="AI378" s="3" t="s">
        <v>377</v>
      </c>
      <c r="AJ378" s="3" t="s">
        <v>182</v>
      </c>
      <c r="AK378" s="3" t="s">
        <v>393</v>
      </c>
      <c r="AL378" s="3" t="s">
        <v>185</v>
      </c>
      <c r="AM378" s="3" t="s">
        <v>178</v>
      </c>
      <c r="AN378" s="3" t="s">
        <v>185</v>
      </c>
      <c r="AO378" s="3" t="s">
        <v>378</v>
      </c>
      <c r="AP378" s="3" t="s">
        <v>189</v>
      </c>
      <c r="AQ378" s="3" t="s">
        <v>190</v>
      </c>
      <c r="AR378" s="3" t="s">
        <v>244</v>
      </c>
      <c r="AS378" s="3" t="s">
        <v>185</v>
      </c>
      <c r="AT378" s="3" t="s">
        <v>395</v>
      </c>
      <c r="AU378" s="3" t="s">
        <v>395</v>
      </c>
      <c r="AV378" s="3" t="s">
        <v>185</v>
      </c>
      <c r="AW378" s="3" t="s">
        <v>195</v>
      </c>
      <c r="AX378" s="3" t="s">
        <v>341</v>
      </c>
      <c r="AY378" s="3" t="s">
        <v>247</v>
      </c>
    </row>
    <row r="379" spans="1:52" ht="15.75" customHeight="1">
      <c r="A379" s="3">
        <v>11</v>
      </c>
      <c r="B379" s="5" t="str">
        <f t="shared" si="0"/>
        <v>http://roarmap.eprints.org/11/</v>
      </c>
      <c r="C379" s="3">
        <v>3</v>
      </c>
      <c r="D379" s="3" t="s">
        <v>98</v>
      </c>
      <c r="E379" s="3">
        <v>1</v>
      </c>
      <c r="F379" s="3" t="s">
        <v>1605</v>
      </c>
      <c r="G379" s="3">
        <v>41988.923078703701</v>
      </c>
      <c r="H379" s="3">
        <v>41988.923078703701</v>
      </c>
      <c r="I379" s="3">
        <v>41988.923078703701</v>
      </c>
      <c r="J379" s="3" t="s">
        <v>103</v>
      </c>
      <c r="K379" s="3" t="s">
        <v>105</v>
      </c>
      <c r="L379" s="3" t="s">
        <v>1606</v>
      </c>
      <c r="M379" s="3" t="s">
        <v>352</v>
      </c>
      <c r="N379" s="3" t="s">
        <v>1607</v>
      </c>
      <c r="O379" s="3" t="s">
        <v>1608</v>
      </c>
      <c r="P379" s="3" t="s">
        <v>215</v>
      </c>
      <c r="Q379" t="str">
        <f t="shared" si="24"/>
        <v>http://roarmap.eprints.org/view/country/710.html</v>
      </c>
      <c r="R379" s="3">
        <v>710</v>
      </c>
      <c r="S379" s="6" t="s">
        <v>316</v>
      </c>
      <c r="T379" s="9">
        <v>710</v>
      </c>
      <c r="U379" s="7" t="s">
        <v>51</v>
      </c>
      <c r="V379" s="6" t="s">
        <v>316</v>
      </c>
      <c r="W379" s="3" t="s">
        <v>158</v>
      </c>
      <c r="X379" s="3" t="s">
        <v>160</v>
      </c>
      <c r="Y379" s="3" t="s">
        <v>1606</v>
      </c>
      <c r="Z379" s="8" t="str">
        <f>HYPERLINK("http://www.sun.ac.za/english","http://www.sun.ac.za/english")</f>
        <v>http://www.sun.ac.za/english</v>
      </c>
      <c r="AB379" s="8" t="str">
        <f>HYPERLINK("http://scholar.sun.ac.za/","http://scholar.sun.ac.za/")</f>
        <v>http://scholar.sun.ac.za/</v>
      </c>
      <c r="AC379" s="3">
        <v>40471</v>
      </c>
      <c r="AF379" s="3" t="s">
        <v>177</v>
      </c>
      <c r="AG379" s="3" t="s">
        <v>244</v>
      </c>
      <c r="AH379" s="3" t="s">
        <v>180</v>
      </c>
      <c r="AI379" s="3" t="s">
        <v>244</v>
      </c>
      <c r="AJ379" s="3" t="s">
        <v>182</v>
      </c>
      <c r="AK379" s="3" t="s">
        <v>244</v>
      </c>
      <c r="AL379" s="3" t="s">
        <v>288</v>
      </c>
      <c r="AM379" s="3" t="s">
        <v>479</v>
      </c>
      <c r="AN379" s="3" t="s">
        <v>244</v>
      </c>
      <c r="AO379" s="3" t="s">
        <v>247</v>
      </c>
      <c r="AP379" s="3" t="s">
        <v>244</v>
      </c>
      <c r="AQ379" s="3" t="s">
        <v>386</v>
      </c>
      <c r="AR379" s="3" t="s">
        <v>288</v>
      </c>
      <c r="AS379" s="3" t="s">
        <v>288</v>
      </c>
      <c r="AT379" s="3" t="s">
        <v>244</v>
      </c>
      <c r="AU379" s="3" t="s">
        <v>244</v>
      </c>
      <c r="AV379" s="3" t="s">
        <v>288</v>
      </c>
      <c r="AW379" s="3" t="s">
        <v>339</v>
      </c>
      <c r="AX379" s="3" t="s">
        <v>341</v>
      </c>
      <c r="AY379" s="3" t="s">
        <v>428</v>
      </c>
      <c r="AZ379" s="8" t="str">
        <f>HYPERLINK("http://library.sun.ac.za/English/services/oa/Pages/su-oafund.aspx","http://library.sun.ac.za/English/services/oa/Pages/su-oafund.aspx")</f>
        <v>http://library.sun.ac.za/English/services/oa/Pages/su-oafund.aspx</v>
      </c>
    </row>
    <row r="380" spans="1:52" ht="15.75" customHeight="1">
      <c r="A380" s="3">
        <v>7</v>
      </c>
      <c r="B380" s="5" t="str">
        <f t="shared" si="0"/>
        <v>http://roarmap.eprints.org/7/</v>
      </c>
      <c r="C380" s="3">
        <v>4</v>
      </c>
      <c r="D380" s="3" t="s">
        <v>98</v>
      </c>
      <c r="E380" s="3">
        <v>226</v>
      </c>
      <c r="F380" s="3" t="s">
        <v>1609</v>
      </c>
      <c r="G380" s="3">
        <v>41988.923078703701</v>
      </c>
      <c r="H380" s="3">
        <v>42046.981631944444</v>
      </c>
      <c r="I380" s="3">
        <v>41988.923078703701</v>
      </c>
      <c r="J380" s="3" t="s">
        <v>103</v>
      </c>
      <c r="K380" s="3" t="s">
        <v>105</v>
      </c>
      <c r="L380" s="3" t="s">
        <v>1610</v>
      </c>
      <c r="M380" s="3" t="s">
        <v>352</v>
      </c>
      <c r="N380" s="3" t="s">
        <v>1611</v>
      </c>
      <c r="P380" s="3" t="s">
        <v>215</v>
      </c>
      <c r="Q380" t="str">
        <f t="shared" si="24"/>
        <v>http://roarmap.eprints.org/view/country/710.html</v>
      </c>
      <c r="R380" s="3">
        <v>710</v>
      </c>
      <c r="S380" s="6" t="s">
        <v>316</v>
      </c>
      <c r="T380" s="9">
        <v>710</v>
      </c>
      <c r="U380" s="7" t="s">
        <v>51</v>
      </c>
      <c r="V380" s="6" t="s">
        <v>316</v>
      </c>
      <c r="W380" s="3" t="s">
        <v>158</v>
      </c>
      <c r="X380" s="3" t="s">
        <v>160</v>
      </c>
      <c r="Y380" s="3" t="s">
        <v>1610</v>
      </c>
      <c r="Z380" s="8" t="str">
        <f>HYPERLINK("http://twas.assaf.org.za/","http://twas.assaf.org.za/")</f>
        <v>http://twas.assaf.org.za/</v>
      </c>
      <c r="AB380" s="8" t="str">
        <f>HYPERLINK("http://twas.assaf.org.za/","http://twas.assaf.org.za/")</f>
        <v>http://twas.assaf.org.za/</v>
      </c>
      <c r="AC380" s="3">
        <v>40521</v>
      </c>
      <c r="AF380" s="3" t="s">
        <v>177</v>
      </c>
      <c r="AG380" s="3" t="s">
        <v>333</v>
      </c>
      <c r="AH380" s="3" t="s">
        <v>180</v>
      </c>
      <c r="AI380" s="3" t="s">
        <v>244</v>
      </c>
      <c r="AJ380" s="3" t="s">
        <v>385</v>
      </c>
      <c r="AK380" s="3" t="s">
        <v>244</v>
      </c>
      <c r="AL380" s="3" t="s">
        <v>288</v>
      </c>
      <c r="AM380" s="3" t="s">
        <v>247</v>
      </c>
      <c r="AN380" s="3" t="s">
        <v>244</v>
      </c>
      <c r="AO380" s="3" t="s">
        <v>247</v>
      </c>
      <c r="AP380" s="3" t="s">
        <v>244</v>
      </c>
      <c r="AQ380" s="3" t="s">
        <v>386</v>
      </c>
      <c r="AR380" s="3" t="s">
        <v>288</v>
      </c>
      <c r="AS380" s="3" t="s">
        <v>288</v>
      </c>
      <c r="AT380" s="3" t="s">
        <v>244</v>
      </c>
      <c r="AU380" s="3" t="s">
        <v>244</v>
      </c>
      <c r="AV380" s="3" t="s">
        <v>288</v>
      </c>
      <c r="AW380" s="3" t="s">
        <v>371</v>
      </c>
      <c r="AX380" s="3" t="s">
        <v>244</v>
      </c>
      <c r="AY380" s="3" t="s">
        <v>247</v>
      </c>
    </row>
    <row r="381" spans="1:52" ht="15.75" customHeight="1">
      <c r="A381" s="3">
        <v>660</v>
      </c>
      <c r="B381" s="5" t="str">
        <f t="shared" si="0"/>
        <v>http://roarmap.eprints.org/660/</v>
      </c>
      <c r="C381" s="3">
        <v>5</v>
      </c>
      <c r="D381" s="3" t="s">
        <v>98</v>
      </c>
      <c r="E381" s="3">
        <v>65</v>
      </c>
      <c r="F381" s="3" t="s">
        <v>1612</v>
      </c>
      <c r="G381" s="3">
        <v>42012.757314814815</v>
      </c>
      <c r="H381" s="3">
        <v>42012.757314814815</v>
      </c>
      <c r="I381" s="3">
        <v>42012.757314814815</v>
      </c>
      <c r="J381" s="3" t="s">
        <v>103</v>
      </c>
      <c r="K381" s="3" t="s">
        <v>105</v>
      </c>
      <c r="L381" s="3" t="s">
        <v>1613</v>
      </c>
      <c r="P381" s="3" t="s">
        <v>215</v>
      </c>
      <c r="Q381" t="str">
        <f t="shared" si="24"/>
        <v>http://roarmap.eprints.org/view/country/710.html</v>
      </c>
      <c r="R381" s="3">
        <v>710</v>
      </c>
      <c r="S381" s="6" t="s">
        <v>316</v>
      </c>
      <c r="T381" s="9">
        <v>710</v>
      </c>
      <c r="U381" s="7" t="s">
        <v>51</v>
      </c>
      <c r="V381" s="6" t="s">
        <v>316</v>
      </c>
      <c r="W381" s="3" t="s">
        <v>158</v>
      </c>
      <c r="X381" s="3" t="s">
        <v>160</v>
      </c>
      <c r="Y381" s="3" t="s">
        <v>1613</v>
      </c>
      <c r="Z381" s="8" t="str">
        <f>HYPERLINK("https://www.uct.ac.za/","https://www.uct.ac.za/")</f>
        <v>https://www.uct.ac.za/</v>
      </c>
      <c r="AA381" s="8" t="str">
        <f>HYPERLINK("https://www.uct.ac.za/downloads/uct.ac.za/about/policies/UCTOpenAccessPolicy.pdf","https://www.uct.ac.za/downloads/uct.ac.za/about/policies/UCTOpenAccessPolicy.pdf")</f>
        <v>https://www.uct.ac.za/downloads/uct.ac.za/about/policies/UCTOpenAccessPolicy.pdf</v>
      </c>
      <c r="AB381" s="8" t="str">
        <f>HYPERLINK("https://open.uct.ac.za/","https://open.uct.ac.za/")</f>
        <v>https://open.uct.ac.za/</v>
      </c>
      <c r="AC381" s="3">
        <v>40848</v>
      </c>
      <c r="AD381" s="3">
        <v>41804</v>
      </c>
      <c r="AF381" s="3" t="s">
        <v>478</v>
      </c>
      <c r="AG381" s="3" t="s">
        <v>178</v>
      </c>
      <c r="AH381" s="3" t="s">
        <v>180</v>
      </c>
      <c r="AI381" s="3" t="s">
        <v>181</v>
      </c>
      <c r="AJ381" s="3" t="s">
        <v>182</v>
      </c>
      <c r="AK381" s="3" t="s">
        <v>393</v>
      </c>
      <c r="AL381" s="3" t="s">
        <v>185</v>
      </c>
      <c r="AM381" s="3" t="s">
        <v>479</v>
      </c>
      <c r="AN381" s="3" t="s">
        <v>244</v>
      </c>
      <c r="AO381" s="3" t="s">
        <v>247</v>
      </c>
      <c r="AP381" s="3" t="s">
        <v>244</v>
      </c>
      <c r="AQ381" s="3" t="s">
        <v>394</v>
      </c>
      <c r="AR381" s="3" t="s">
        <v>244</v>
      </c>
      <c r="AS381" s="3" t="s">
        <v>244</v>
      </c>
      <c r="AT381" s="3" t="s">
        <v>244</v>
      </c>
      <c r="AU381" s="3" t="s">
        <v>244</v>
      </c>
      <c r="AV381" s="3" t="s">
        <v>244</v>
      </c>
      <c r="AW381" s="3" t="s">
        <v>244</v>
      </c>
      <c r="AX381" s="3" t="s">
        <v>442</v>
      </c>
      <c r="AY381" s="3" t="s">
        <v>428</v>
      </c>
    </row>
    <row r="382" spans="1:52" ht="15.75" customHeight="1">
      <c r="A382" s="3">
        <v>8</v>
      </c>
      <c r="B382" s="5" t="str">
        <f t="shared" si="0"/>
        <v>http://roarmap.eprints.org/8/</v>
      </c>
      <c r="C382" s="3">
        <v>4</v>
      </c>
      <c r="D382" s="3" t="s">
        <v>98</v>
      </c>
      <c r="E382" s="3">
        <v>227</v>
      </c>
      <c r="F382" s="3" t="s">
        <v>1614</v>
      </c>
      <c r="G382" s="3">
        <v>41988.923078703701</v>
      </c>
      <c r="H382" s="3">
        <v>42046.981631944444</v>
      </c>
      <c r="I382" s="3">
        <v>41988.923078703701</v>
      </c>
      <c r="J382" s="3" t="s">
        <v>103</v>
      </c>
      <c r="K382" s="3" t="s">
        <v>105</v>
      </c>
      <c r="L382" s="3" t="s">
        <v>1615</v>
      </c>
      <c r="M382" s="3" t="s">
        <v>374</v>
      </c>
      <c r="P382" s="3" t="s">
        <v>215</v>
      </c>
      <c r="Q382" t="str">
        <f t="shared" si="24"/>
        <v>http://roarmap.eprints.org/view/country/710.html</v>
      </c>
      <c r="R382" s="3">
        <v>710</v>
      </c>
      <c r="S382" s="6" t="s">
        <v>316</v>
      </c>
      <c r="T382" s="9">
        <v>710</v>
      </c>
      <c r="U382" s="7" t="s">
        <v>51</v>
      </c>
      <c r="V382" s="6" t="s">
        <v>316</v>
      </c>
      <c r="W382" s="3" t="s">
        <v>158</v>
      </c>
      <c r="X382" s="3" t="s">
        <v>160</v>
      </c>
      <c r="Y382" s="3" t="s">
        <v>1615</v>
      </c>
      <c r="Z382" s="8" t="str">
        <f>HYPERLINK("http://www.uj.ac.za","www.uj.ac.za")</f>
        <v>www.uj.ac.za</v>
      </c>
      <c r="AA382" s="8" t="str">
        <f>HYPERLINK("http://roarmap.eprints.org/670/1/University%20of%20Johannesburg%20Open%20Access%20mandate.pdf","http://roarmap.eprints.org/670/1/University%20of%20Johannesburg%20Open%20Access%20mandate.pdf")</f>
        <v>http://roarmap.eprints.org/670/1/University%20of%20Johannesburg%20Open%20Access%20mandate.pdf</v>
      </c>
      <c r="AB382" s="8" t="str">
        <f>HYPERLINK("https://ujdigispace.uj.ac.za/","https://ujdigispace.uj.ac.za/")</f>
        <v>https://ujdigispace.uj.ac.za/</v>
      </c>
      <c r="AC382" s="3">
        <v>40179</v>
      </c>
      <c r="AF382" s="3" t="s">
        <v>478</v>
      </c>
      <c r="AG382" s="3" t="s">
        <v>333</v>
      </c>
      <c r="AH382" s="3" t="s">
        <v>180</v>
      </c>
      <c r="AI382" s="3" t="s">
        <v>187</v>
      </c>
      <c r="AJ382" s="3" t="s">
        <v>182</v>
      </c>
      <c r="AK382" s="3" t="s">
        <v>393</v>
      </c>
      <c r="AL382" s="3" t="s">
        <v>288</v>
      </c>
      <c r="AM382" s="3" t="s">
        <v>247</v>
      </c>
      <c r="AN382" s="3" t="s">
        <v>244</v>
      </c>
      <c r="AO382" s="3" t="s">
        <v>181</v>
      </c>
      <c r="AP382" s="3" t="s">
        <v>244</v>
      </c>
      <c r="AQ382" s="3" t="s">
        <v>394</v>
      </c>
      <c r="AR382" s="3" t="s">
        <v>288</v>
      </c>
      <c r="AS382" s="3" t="s">
        <v>288</v>
      </c>
      <c r="AT382" s="3" t="s">
        <v>244</v>
      </c>
      <c r="AU382" s="3" t="s">
        <v>244</v>
      </c>
      <c r="AV382" s="3" t="s">
        <v>288</v>
      </c>
      <c r="AW382" s="3" t="s">
        <v>339</v>
      </c>
      <c r="AX382" s="3" t="s">
        <v>341</v>
      </c>
      <c r="AY382" s="3" t="s">
        <v>247</v>
      </c>
    </row>
    <row r="383" spans="1:52" ht="15.75" customHeight="1">
      <c r="A383" s="3">
        <v>9</v>
      </c>
      <c r="B383" s="5" t="str">
        <f t="shared" si="0"/>
        <v>http://roarmap.eprints.org/9/</v>
      </c>
      <c r="C383" s="3">
        <v>3</v>
      </c>
      <c r="D383" s="3" t="s">
        <v>98</v>
      </c>
      <c r="E383" s="3">
        <v>1</v>
      </c>
      <c r="F383" s="3" t="s">
        <v>1616</v>
      </c>
      <c r="G383" s="3">
        <v>41988.923078703701</v>
      </c>
      <c r="H383" s="3">
        <v>41988.923078703701</v>
      </c>
      <c r="I383" s="3">
        <v>41988.923078703701</v>
      </c>
      <c r="J383" s="3" t="s">
        <v>103</v>
      </c>
      <c r="K383" s="3" t="s">
        <v>105</v>
      </c>
      <c r="L383" s="3" t="s">
        <v>1617</v>
      </c>
      <c r="M383" s="3" t="s">
        <v>532</v>
      </c>
      <c r="N383" s="3" t="s">
        <v>1618</v>
      </c>
      <c r="P383" s="3" t="s">
        <v>215</v>
      </c>
      <c r="Q383" t="str">
        <f t="shared" si="24"/>
        <v>http://roarmap.eprints.org/view/country/710.html</v>
      </c>
      <c r="R383" s="3">
        <v>710</v>
      </c>
      <c r="S383" s="6" t="s">
        <v>316</v>
      </c>
      <c r="T383" s="9">
        <v>710</v>
      </c>
      <c r="U383" s="7" t="s">
        <v>51</v>
      </c>
      <c r="V383" s="6" t="s">
        <v>316</v>
      </c>
      <c r="W383" s="3" t="s">
        <v>158</v>
      </c>
      <c r="X383" s="3" t="s">
        <v>160</v>
      </c>
      <c r="Y383" s="3" t="s">
        <v>1617</v>
      </c>
      <c r="Z383" s="8" t="str">
        <f>HYPERLINK("http://www.up.ac.za/","www.up.ac.za/")</f>
        <v>www.up.ac.za/</v>
      </c>
      <c r="AA383" s="8" t="str">
        <f>HYPERLINK("http://www.library.up.ac.za/openup/policies.htm","http://www.library.up.ac.za/openup/policies.htm")</f>
        <v>http://www.library.up.ac.za/openup/policies.htm</v>
      </c>
      <c r="AB383" s="8" t="str">
        <f>HYPERLINK("http://repository.up.ac.za/","http://repository.up.ac.za/")</f>
        <v>http://repository.up.ac.za/</v>
      </c>
      <c r="AC383" s="3">
        <v>39845</v>
      </c>
      <c r="AF383" s="3" t="s">
        <v>478</v>
      </c>
      <c r="AG383" s="3" t="s">
        <v>178</v>
      </c>
      <c r="AH383" s="3" t="s">
        <v>180</v>
      </c>
      <c r="AI383" s="3" t="s">
        <v>187</v>
      </c>
      <c r="AJ383" s="3" t="s">
        <v>182</v>
      </c>
      <c r="AK383" s="3" t="s">
        <v>393</v>
      </c>
      <c r="AL383" s="3" t="s">
        <v>185</v>
      </c>
      <c r="AM383" s="3" t="s">
        <v>178</v>
      </c>
      <c r="AN383" s="3" t="s">
        <v>244</v>
      </c>
      <c r="AO383" s="3" t="s">
        <v>181</v>
      </c>
      <c r="AP383" s="3" t="s">
        <v>244</v>
      </c>
      <c r="AQ383" s="3" t="s">
        <v>394</v>
      </c>
      <c r="AR383" s="3" t="s">
        <v>288</v>
      </c>
      <c r="AS383" s="3" t="s">
        <v>185</v>
      </c>
      <c r="AT383" s="3" t="s">
        <v>244</v>
      </c>
      <c r="AU383" s="3" t="s">
        <v>244</v>
      </c>
      <c r="AV383" s="3" t="s">
        <v>288</v>
      </c>
      <c r="AW383" s="3" t="s">
        <v>339</v>
      </c>
      <c r="AX383" s="3" t="s">
        <v>341</v>
      </c>
      <c r="AY383" s="3" t="s">
        <v>247</v>
      </c>
    </row>
    <row r="384" spans="1:52" ht="15.75" customHeight="1">
      <c r="A384" s="3">
        <v>10</v>
      </c>
      <c r="B384" s="5" t="str">
        <f t="shared" si="0"/>
        <v>http://roarmap.eprints.org/10/</v>
      </c>
      <c r="C384" s="3">
        <v>4</v>
      </c>
      <c r="D384" s="3" t="s">
        <v>98</v>
      </c>
      <c r="E384" s="3">
        <v>228</v>
      </c>
      <c r="F384" s="3" t="s">
        <v>1619</v>
      </c>
      <c r="G384" s="3">
        <v>41988.923078703701</v>
      </c>
      <c r="H384" s="3">
        <v>42046.981631944444</v>
      </c>
      <c r="I384" s="3">
        <v>41988.923078703701</v>
      </c>
      <c r="J384" s="3" t="s">
        <v>103</v>
      </c>
      <c r="K384" s="3" t="s">
        <v>105</v>
      </c>
      <c r="L384" s="3" t="s">
        <v>1620</v>
      </c>
      <c r="M384" s="3" t="s">
        <v>637</v>
      </c>
      <c r="N384" s="3" t="s">
        <v>1621</v>
      </c>
      <c r="P384" s="3" t="s">
        <v>215</v>
      </c>
      <c r="Q384" t="str">
        <f t="shared" si="24"/>
        <v>http://roarmap.eprints.org/view/country/710.html</v>
      </c>
      <c r="R384" s="3">
        <v>710</v>
      </c>
      <c r="S384" s="6" t="s">
        <v>316</v>
      </c>
      <c r="T384" s="9">
        <v>710</v>
      </c>
      <c r="U384" s="7" t="s">
        <v>51</v>
      </c>
      <c r="V384" s="6" t="s">
        <v>316</v>
      </c>
      <c r="W384" s="3" t="s">
        <v>158</v>
      </c>
      <c r="X384" s="3" t="s">
        <v>160</v>
      </c>
      <c r="Y384" s="3" t="s">
        <v>1620</v>
      </c>
      <c r="Z384" s="8" t="str">
        <f>HYPERLINK("http://www.unisa.ac.za/","http://www.unisa.ac.za/")</f>
        <v>http://www.unisa.ac.za/</v>
      </c>
      <c r="AA384" s="8" t="str">
        <f>HYPERLINK("http://www.scribd.com/doc/59922824/UNISA-Draft-IP-Policy-Version-1","http://www.scribd.com/doc/59922824/UNISA-Draft-IP-Policy-Version-1")</f>
        <v>http://www.scribd.com/doc/59922824/UNISA-Draft-IP-Policy-Version-1</v>
      </c>
      <c r="AB384" s="8" t="str">
        <f>HYPERLINK("http://uir.unisa.ac.za/","http://uir.unisa.ac.za/")</f>
        <v>http://uir.unisa.ac.za/</v>
      </c>
      <c r="AF384" s="3" t="s">
        <v>177</v>
      </c>
      <c r="AG384" s="3" t="s">
        <v>333</v>
      </c>
      <c r="AH384" s="3" t="s">
        <v>180</v>
      </c>
      <c r="AI384" s="3" t="s">
        <v>244</v>
      </c>
      <c r="AJ384" s="3" t="s">
        <v>182</v>
      </c>
      <c r="AK384" s="3" t="s">
        <v>393</v>
      </c>
      <c r="AL384" s="3" t="s">
        <v>288</v>
      </c>
      <c r="AM384" s="3" t="s">
        <v>247</v>
      </c>
      <c r="AN384" s="3" t="s">
        <v>244</v>
      </c>
      <c r="AO384" s="3" t="s">
        <v>247</v>
      </c>
      <c r="AP384" s="3" t="s">
        <v>244</v>
      </c>
      <c r="AQ384" s="3" t="s">
        <v>394</v>
      </c>
      <c r="AR384" s="3" t="s">
        <v>288</v>
      </c>
      <c r="AS384" s="3" t="s">
        <v>288</v>
      </c>
      <c r="AT384" s="3" t="s">
        <v>244</v>
      </c>
      <c r="AU384" s="3" t="s">
        <v>244</v>
      </c>
      <c r="AV384" s="3" t="s">
        <v>288</v>
      </c>
      <c r="AW384" s="3" t="s">
        <v>339</v>
      </c>
      <c r="AX384" s="3" t="s">
        <v>244</v>
      </c>
      <c r="AY384" s="3" t="s">
        <v>247</v>
      </c>
    </row>
    <row r="385" spans="1:51" ht="15.75" customHeight="1">
      <c r="A385" s="3">
        <v>658</v>
      </c>
      <c r="B385" s="5" t="str">
        <f t="shared" si="0"/>
        <v>http://roarmap.eprints.org/658/</v>
      </c>
      <c r="C385" s="3">
        <v>9</v>
      </c>
      <c r="D385" s="3" t="s">
        <v>98</v>
      </c>
      <c r="E385" s="3">
        <v>367</v>
      </c>
      <c r="F385" s="3" t="s">
        <v>1622</v>
      </c>
      <c r="G385" s="3">
        <v>42020.675775462965</v>
      </c>
      <c r="H385" s="3">
        <v>42046.981770833336</v>
      </c>
      <c r="I385" s="3">
        <v>42020.675775462965</v>
      </c>
      <c r="J385" s="3" t="s">
        <v>103</v>
      </c>
      <c r="K385" s="3" t="s">
        <v>105</v>
      </c>
      <c r="L385" s="3" t="s">
        <v>1623</v>
      </c>
      <c r="O385" s="3" t="s">
        <v>1356</v>
      </c>
      <c r="P385" s="3" t="s">
        <v>215</v>
      </c>
      <c r="Q385" t="str">
        <f t="shared" si="24"/>
        <v>http://roarmap.eprints.org/view/country/716.html</v>
      </c>
      <c r="R385" s="3">
        <v>716</v>
      </c>
      <c r="S385" s="6" t="s">
        <v>317</v>
      </c>
      <c r="T385" s="9">
        <v>716</v>
      </c>
      <c r="U385" s="7" t="s">
        <v>51</v>
      </c>
      <c r="V385" s="6" t="s">
        <v>316</v>
      </c>
      <c r="W385" s="3" t="s">
        <v>158</v>
      </c>
      <c r="X385" s="3" t="s">
        <v>160</v>
      </c>
      <c r="Y385" s="3" t="s">
        <v>1623</v>
      </c>
      <c r="Z385" s="8" t="str">
        <f>HYPERLINK("http://www.buse.ac.zw/","http://www.buse.ac.zw/")</f>
        <v>http://www.buse.ac.zw/</v>
      </c>
      <c r="AB385" s="8" t="str">
        <f>HYPERLINK("http://digilib.buse.ac.zw:8090/xmlui/","http://digilib.buse.ac.zw:8090/xmlui/")</f>
        <v>http://digilib.buse.ac.zw:8090/xmlui/</v>
      </c>
      <c r="AC385" s="3">
        <v>41920</v>
      </c>
      <c r="AG385" s="3" t="s">
        <v>178</v>
      </c>
      <c r="AH385" s="3" t="s">
        <v>180</v>
      </c>
      <c r="AI385" s="3" t="s">
        <v>187</v>
      </c>
      <c r="AJ385" s="3" t="s">
        <v>182</v>
      </c>
      <c r="AK385" s="3" t="s">
        <v>393</v>
      </c>
      <c r="AL385" s="3" t="s">
        <v>244</v>
      </c>
      <c r="AM385" s="3" t="s">
        <v>178</v>
      </c>
      <c r="AN385" s="3" t="s">
        <v>244</v>
      </c>
      <c r="AO385" s="3" t="s">
        <v>187</v>
      </c>
      <c r="AP385" s="3" t="s">
        <v>244</v>
      </c>
      <c r="AQ385" s="3" t="s">
        <v>394</v>
      </c>
      <c r="AR385" s="3" t="s">
        <v>244</v>
      </c>
      <c r="AS385" s="3" t="s">
        <v>244</v>
      </c>
      <c r="AT385" s="3" t="s">
        <v>379</v>
      </c>
      <c r="AU385" s="3" t="s">
        <v>379</v>
      </c>
      <c r="AV385" s="3" t="s">
        <v>244</v>
      </c>
      <c r="AW385" s="3" t="s">
        <v>244</v>
      </c>
      <c r="AX385" s="3" t="s">
        <v>244</v>
      </c>
      <c r="AY385" s="3" t="s">
        <v>247</v>
      </c>
    </row>
    <row r="386" spans="1:51" ht="15.75" customHeight="1">
      <c r="A386" s="3">
        <v>659</v>
      </c>
      <c r="B386" s="5" t="str">
        <f t="shared" si="0"/>
        <v>http://roarmap.eprints.org/659/</v>
      </c>
      <c r="C386" s="3">
        <v>14</v>
      </c>
      <c r="D386" s="3" t="s">
        <v>98</v>
      </c>
      <c r="E386" s="3">
        <v>368</v>
      </c>
      <c r="F386" s="3" t="s">
        <v>1624</v>
      </c>
      <c r="G386" s="3">
        <v>42020.668055555558</v>
      </c>
      <c r="H386" s="3">
        <v>42046.981770833336</v>
      </c>
      <c r="I386" s="3">
        <v>42020.668055555558</v>
      </c>
      <c r="J386" s="3" t="s">
        <v>103</v>
      </c>
      <c r="K386" s="3" t="s">
        <v>105</v>
      </c>
      <c r="L386" s="3" t="s">
        <v>1625</v>
      </c>
      <c r="N386" s="3" t="s">
        <v>1626</v>
      </c>
      <c r="O386" s="3" t="s">
        <v>1627</v>
      </c>
      <c r="P386" s="3" t="s">
        <v>215</v>
      </c>
      <c r="Q386" t="str">
        <f t="shared" si="24"/>
        <v>http://roarmap.eprints.org/view/country/716.html</v>
      </c>
      <c r="R386" s="3">
        <v>716</v>
      </c>
      <c r="S386" s="6" t="s">
        <v>317</v>
      </c>
      <c r="T386" s="9">
        <v>716</v>
      </c>
      <c r="U386" s="7" t="s">
        <v>51</v>
      </c>
      <c r="V386" s="6" t="s">
        <v>316</v>
      </c>
      <c r="W386" s="3" t="s">
        <v>158</v>
      </c>
      <c r="X386" s="3" t="s">
        <v>160</v>
      </c>
      <c r="Y386" s="3" t="s">
        <v>1625</v>
      </c>
      <c r="Z386" s="8" t="str">
        <f>HYPERLINK("http://www.msu.ac.zw/","http://www.msu.ac.zw/")</f>
        <v>http://www.msu.ac.zw/</v>
      </c>
      <c r="AB386" s="8" t="str">
        <f>HYPERLINK("http://ir.msu.ac.zw:8080/jspui/","http://ir.msu.ac.zw:8080/jspui/")</f>
        <v>http://ir.msu.ac.zw:8080/jspui/</v>
      </c>
      <c r="AC386" s="3">
        <v>41640</v>
      </c>
      <c r="AF386" s="3" t="s">
        <v>244</v>
      </c>
      <c r="AG386" s="3" t="s">
        <v>178</v>
      </c>
      <c r="AH386" s="3" t="s">
        <v>180</v>
      </c>
      <c r="AI386" s="3" t="s">
        <v>392</v>
      </c>
      <c r="AJ386" s="3" t="s">
        <v>182</v>
      </c>
      <c r="AK386" s="3" t="s">
        <v>393</v>
      </c>
      <c r="AL386" s="3" t="s">
        <v>189</v>
      </c>
      <c r="AM386" s="3" t="s">
        <v>479</v>
      </c>
      <c r="AN386" s="3" t="s">
        <v>189</v>
      </c>
      <c r="AO386" s="3" t="s">
        <v>247</v>
      </c>
      <c r="AP386" s="3" t="s">
        <v>244</v>
      </c>
      <c r="AQ386" s="3" t="s">
        <v>648</v>
      </c>
      <c r="AR386" s="3" t="s">
        <v>244</v>
      </c>
      <c r="AS386" s="3" t="s">
        <v>189</v>
      </c>
      <c r="AT386" s="3" t="s">
        <v>244</v>
      </c>
      <c r="AU386" s="3" t="s">
        <v>244</v>
      </c>
      <c r="AV386" s="3" t="s">
        <v>244</v>
      </c>
      <c r="AW386" s="3" t="s">
        <v>244</v>
      </c>
      <c r="AX386" s="3" t="s">
        <v>244</v>
      </c>
      <c r="AY386" s="3" t="s">
        <v>247</v>
      </c>
    </row>
    <row r="387" spans="1:51" ht="15.75" customHeight="1">
      <c r="A387" s="3">
        <v>288</v>
      </c>
      <c r="B387" s="5" t="str">
        <f t="shared" si="0"/>
        <v>http://roarmap.eprints.org/288/</v>
      </c>
      <c r="C387" s="3">
        <v>4</v>
      </c>
      <c r="D387" s="3" t="s">
        <v>98</v>
      </c>
      <c r="E387" s="3">
        <v>1</v>
      </c>
      <c r="F387" s="3" t="s">
        <v>1628</v>
      </c>
      <c r="G387" s="3">
        <v>41988.923657407409</v>
      </c>
      <c r="H387" s="3">
        <v>42026.540960648148</v>
      </c>
      <c r="I387" s="3">
        <v>41988.923657407409</v>
      </c>
      <c r="J387" s="3" t="s">
        <v>103</v>
      </c>
      <c r="K387" s="3" t="s">
        <v>105</v>
      </c>
      <c r="L387" s="3" t="s">
        <v>1629</v>
      </c>
      <c r="M387" s="3" t="s">
        <v>374</v>
      </c>
      <c r="N387" s="3" t="s">
        <v>1630</v>
      </c>
      <c r="P387" s="3" t="s">
        <v>215</v>
      </c>
      <c r="Q387" t="str">
        <f t="shared" ref="Q387:Q450" si="28">CONCATENATE("http://roarmap.eprints.org/view/country/",T387,".html")</f>
        <v>http://roarmap.eprints.org/view/country/724.html</v>
      </c>
      <c r="R387" s="3">
        <v>724</v>
      </c>
      <c r="S387" s="6" t="s">
        <v>319</v>
      </c>
      <c r="T387" s="9">
        <v>724</v>
      </c>
      <c r="U387" s="7" t="s">
        <v>123</v>
      </c>
      <c r="V387" s="6" t="s">
        <v>76</v>
      </c>
      <c r="W387" s="3" t="s">
        <v>158</v>
      </c>
      <c r="X387" s="3" t="s">
        <v>160</v>
      </c>
      <c r="Y387" s="3" t="s">
        <v>1629</v>
      </c>
      <c r="Z387" s="8" t="str">
        <f>HYPERLINK("http://www.uchceu.es/en/","http://www.uchceu.es/en/")</f>
        <v>http://www.uchceu.es/en/</v>
      </c>
      <c r="AA387" s="8" t="str">
        <f>HYPERLINK("http://roarmap.eprints.org/1016/1/politica-acceso-abierto.pdf","http://roarmap.eprints.org/1016/1/politica-acceso-abierto.pdf")</f>
        <v>http://roarmap.eprints.org/1016/1/politica-acceso-abierto.pdf</v>
      </c>
      <c r="AB387" s="8" t="str">
        <f>HYPERLINK("http://dspace.ceu.es/","http://dspace.ceu.es/")</f>
        <v>http://dspace.ceu.es/</v>
      </c>
      <c r="AC387" s="3">
        <v>41429</v>
      </c>
      <c r="AF387" s="3" t="s">
        <v>177</v>
      </c>
      <c r="AG387" s="3" t="s">
        <v>178</v>
      </c>
      <c r="AH387" s="3" t="s">
        <v>180</v>
      </c>
      <c r="AI387" s="3" t="s">
        <v>244</v>
      </c>
      <c r="AJ387" s="3" t="s">
        <v>182</v>
      </c>
      <c r="AK387" s="3" t="s">
        <v>244</v>
      </c>
      <c r="AL387" s="3" t="s">
        <v>185</v>
      </c>
      <c r="AM387" s="3" t="s">
        <v>479</v>
      </c>
      <c r="AN387" s="3" t="s">
        <v>244</v>
      </c>
      <c r="AO387" s="3" t="s">
        <v>247</v>
      </c>
      <c r="AP387" s="3" t="s">
        <v>244</v>
      </c>
      <c r="AQ387" s="3" t="s">
        <v>394</v>
      </c>
      <c r="AR387" s="3" t="s">
        <v>288</v>
      </c>
      <c r="AS387" s="3" t="s">
        <v>288</v>
      </c>
      <c r="AT387" s="3" t="s">
        <v>244</v>
      </c>
      <c r="AU387" s="3" t="s">
        <v>244</v>
      </c>
      <c r="AV387" s="3" t="s">
        <v>288</v>
      </c>
      <c r="AW387" s="3" t="s">
        <v>371</v>
      </c>
      <c r="AX387" s="3" t="s">
        <v>244</v>
      </c>
      <c r="AY387" s="3" t="s">
        <v>247</v>
      </c>
    </row>
    <row r="388" spans="1:51" ht="15.75" customHeight="1">
      <c r="A388" s="3">
        <v>289</v>
      </c>
      <c r="B388" s="5" t="str">
        <f t="shared" si="0"/>
        <v>http://roarmap.eprints.org/289/</v>
      </c>
      <c r="C388" s="3">
        <v>3</v>
      </c>
      <c r="D388" s="3" t="s">
        <v>98</v>
      </c>
      <c r="E388" s="3">
        <v>1</v>
      </c>
      <c r="F388" s="3" t="s">
        <v>1631</v>
      </c>
      <c r="G388" s="3">
        <v>41988.923657407409</v>
      </c>
      <c r="H388" s="3">
        <v>41988.923657407409</v>
      </c>
      <c r="I388" s="3">
        <v>41988.923657407409</v>
      </c>
      <c r="J388" s="3" t="s">
        <v>103</v>
      </c>
      <c r="K388" s="3" t="s">
        <v>105</v>
      </c>
      <c r="L388" s="3" t="s">
        <v>1632</v>
      </c>
      <c r="M388" s="3" t="s">
        <v>532</v>
      </c>
      <c r="N388" s="3" t="s">
        <v>1633</v>
      </c>
      <c r="O388" s="3" t="s">
        <v>1634</v>
      </c>
      <c r="P388" s="3" t="s">
        <v>215</v>
      </c>
      <c r="Q388" t="str">
        <f t="shared" si="28"/>
        <v>http://roarmap.eprints.org/view/country/724.html</v>
      </c>
      <c r="R388" s="3">
        <v>724</v>
      </c>
      <c r="S388" s="6" t="s">
        <v>319</v>
      </c>
      <c r="T388" s="9">
        <v>724</v>
      </c>
      <c r="U388" s="7" t="s">
        <v>123</v>
      </c>
      <c r="V388" s="6" t="s">
        <v>76</v>
      </c>
      <c r="W388" s="3" t="s">
        <v>158</v>
      </c>
      <c r="X388" s="3" t="s">
        <v>376</v>
      </c>
      <c r="Y388" s="3" t="s">
        <v>1632</v>
      </c>
      <c r="Z388" s="8" t="str">
        <f>HYPERLINK("https://sede.asturias.es/portal/site/Asturias/menuitem.dd936699a8bc2e7af18e90dbbb30a0a0/?vgnextoid=f8a6242274c5e010VgnVCM1000000100007fRCRD&amp;i18n.http.lang=en","https://sede.asturias.es/portal/site/Asturias/menuitem.dd936699a8bc2e7af18e90dbbb30a0a0/?vgnextoid=f8a6242274c5e010VgnVCM1000000100007fRCRD&amp;i18n.http.lang=en")</f>
        <v>https://sede.asturias.es/portal/site/Asturias/menuitem.dd936699a8bc2e7af18e90dbbb30a0a0/?vgnextoid=f8a6242274c5e010VgnVCM1000000100007fRCRD&amp;i18n.http.lang=en</v>
      </c>
      <c r="AA388" s="8" t="str">
        <f>HYPERLINK("http://www.accesoabierto.net/node/17","http://www.accesoabierto.net/node/17")</f>
        <v>http://www.accesoabierto.net/node/17</v>
      </c>
      <c r="AB388" s="8" t="str">
        <f>HYPERLINK("http://ria.asturias.es/RIA/index.jsp","http://ria.asturias.es/RIA/index.jsp")</f>
        <v>http://ria.asturias.es/RIA/index.jsp</v>
      </c>
      <c r="AF388" s="3" t="s">
        <v>244</v>
      </c>
      <c r="AG388" s="3" t="s">
        <v>333</v>
      </c>
      <c r="AH388" s="3" t="s">
        <v>180</v>
      </c>
      <c r="AI388" s="3" t="s">
        <v>244</v>
      </c>
      <c r="AJ388" s="3" t="s">
        <v>182</v>
      </c>
      <c r="AK388" s="3" t="s">
        <v>244</v>
      </c>
      <c r="AL388" s="3" t="s">
        <v>288</v>
      </c>
      <c r="AM388" s="3" t="s">
        <v>178</v>
      </c>
      <c r="AN388" s="3" t="s">
        <v>189</v>
      </c>
      <c r="AO388" s="3" t="s">
        <v>621</v>
      </c>
      <c r="AP388" s="3" t="s">
        <v>244</v>
      </c>
      <c r="AQ388" s="3" t="s">
        <v>394</v>
      </c>
      <c r="AR388" s="3" t="s">
        <v>288</v>
      </c>
      <c r="AS388" s="3" t="s">
        <v>189</v>
      </c>
      <c r="AT388" s="3" t="s">
        <v>379</v>
      </c>
      <c r="AU388" s="3" t="s">
        <v>379</v>
      </c>
      <c r="AV388" s="3" t="s">
        <v>288</v>
      </c>
      <c r="AW388" s="3" t="s">
        <v>195</v>
      </c>
      <c r="AX388" s="3" t="s">
        <v>244</v>
      </c>
      <c r="AY388" s="3" t="s">
        <v>247</v>
      </c>
    </row>
    <row r="389" spans="1:51" ht="15.75" customHeight="1">
      <c r="A389" s="3">
        <v>290</v>
      </c>
      <c r="B389" s="5" t="str">
        <f t="shared" si="0"/>
        <v>http://roarmap.eprints.org/290/</v>
      </c>
      <c r="C389" s="3">
        <v>4</v>
      </c>
      <c r="D389" s="3" t="s">
        <v>98</v>
      </c>
      <c r="E389" s="3">
        <v>1</v>
      </c>
      <c r="F389" s="3" t="s">
        <v>1635</v>
      </c>
      <c r="G389" s="3">
        <v>41988.923657407409</v>
      </c>
      <c r="H389" s="3">
        <v>42029.781643518516</v>
      </c>
      <c r="I389" s="3">
        <v>41988.923657407409</v>
      </c>
      <c r="J389" s="3" t="s">
        <v>103</v>
      </c>
      <c r="K389" s="3" t="s">
        <v>105</v>
      </c>
      <c r="L389" s="3" t="s">
        <v>1636</v>
      </c>
      <c r="M389" s="3" t="s">
        <v>374</v>
      </c>
      <c r="O389" s="8" t="str">
        <f>HYPERLINK("http://www.consorciomadrono.es/docs/declaracion_acceso_abierto.pdf","http://www.consorciomadrono.es/docs/declaracion_acceso_abierto.pdf")</f>
        <v>http://www.consorciomadrono.es/docs/declaracion_acceso_abierto.pdf</v>
      </c>
      <c r="P389" s="3" t="s">
        <v>215</v>
      </c>
      <c r="Q389" t="str">
        <f t="shared" si="28"/>
        <v>http://roarmap.eprints.org/view/country/724.html</v>
      </c>
      <c r="R389" s="3">
        <v>724</v>
      </c>
      <c r="S389" s="6" t="s">
        <v>319</v>
      </c>
      <c r="T389" s="9">
        <v>724</v>
      </c>
      <c r="U389" s="7" t="s">
        <v>123</v>
      </c>
      <c r="V389" s="6" t="s">
        <v>76</v>
      </c>
      <c r="W389" s="3" t="s">
        <v>158</v>
      </c>
      <c r="X389" s="3" t="s">
        <v>376</v>
      </c>
      <c r="Y389" s="3" t="s">
        <v>1636</v>
      </c>
      <c r="Z389" s="8" t="str">
        <f>HYPERLINK("http://www.madrid.org/cs/Satellite?pagename=ComunidadMadrid/Home","http://www.madrid.org/cs/Satellite?pagename=ComunidadMadrid/Home")</f>
        <v>http://www.madrid.org/cs/Satellite?pagename=ComunidadMadrid/Home</v>
      </c>
      <c r="AA389" s="8" t="str">
        <f>HYPERLINK("http://www.madrimasd.org/informacionidi/convocatorias/2009/documentos/Orden_679-2009_19-02-09_Convocatoria_Ayuda_Programas_Actividades_Tecnonologia.pdf","http://www.madrimasd.org/informacionidi/convocatorias/2009/documentos/Orden_679-2009_19-02-09_Convocatoria_Ayuda_Programas_Actividades_Tecnonologia.pdf")</f>
        <v>http://www.madrimasd.org/informacionidi/convocatorias/2009/documentos/Orden_679-2009_19-02-09_Convocatoria_Ayuda_Programas_Actividades_Tecnonologia.pdf</v>
      </c>
      <c r="AB389" s="3" t="s">
        <v>1637</v>
      </c>
      <c r="AC389" s="3">
        <v>39863</v>
      </c>
      <c r="AF389" s="3" t="s">
        <v>244</v>
      </c>
      <c r="AG389" s="3" t="s">
        <v>178</v>
      </c>
      <c r="AH389" s="3" t="s">
        <v>180</v>
      </c>
      <c r="AI389" s="3" t="s">
        <v>244</v>
      </c>
      <c r="AJ389" s="3" t="s">
        <v>182</v>
      </c>
      <c r="AK389" s="3" t="s">
        <v>244</v>
      </c>
      <c r="AL389" s="3" t="s">
        <v>189</v>
      </c>
      <c r="AM389" s="3" t="s">
        <v>178</v>
      </c>
      <c r="AN389" s="3" t="s">
        <v>189</v>
      </c>
      <c r="AO389" s="3" t="s">
        <v>247</v>
      </c>
      <c r="AP389" s="3" t="s">
        <v>244</v>
      </c>
      <c r="AQ389" s="3" t="s">
        <v>247</v>
      </c>
      <c r="AR389" s="3" t="s">
        <v>288</v>
      </c>
      <c r="AS389" s="3" t="s">
        <v>288</v>
      </c>
      <c r="AT389" s="3" t="s">
        <v>244</v>
      </c>
      <c r="AU389" s="3" t="s">
        <v>244</v>
      </c>
      <c r="AV389" s="3" t="s">
        <v>288</v>
      </c>
      <c r="AW389" s="3" t="s">
        <v>195</v>
      </c>
      <c r="AX389" s="3" t="s">
        <v>244</v>
      </c>
      <c r="AY389" s="3" t="s">
        <v>247</v>
      </c>
    </row>
    <row r="390" spans="1:51" ht="15.75" customHeight="1">
      <c r="A390" s="3">
        <v>291</v>
      </c>
      <c r="B390" s="5" t="str">
        <f t="shared" si="0"/>
        <v>http://roarmap.eprints.org/291/</v>
      </c>
      <c r="C390" s="3">
        <v>3</v>
      </c>
      <c r="D390" s="3" t="s">
        <v>98</v>
      </c>
      <c r="E390" s="3">
        <v>1</v>
      </c>
      <c r="F390" s="3" t="s">
        <v>1638</v>
      </c>
      <c r="G390" s="3">
        <v>41988.923668981479</v>
      </c>
      <c r="H390" s="3">
        <v>41988.923668981479</v>
      </c>
      <c r="I390" s="3">
        <v>41988.923668981479</v>
      </c>
      <c r="J390" s="3" t="s">
        <v>103</v>
      </c>
      <c r="K390" s="3" t="s">
        <v>105</v>
      </c>
      <c r="L390" s="3" t="s">
        <v>1639</v>
      </c>
      <c r="M390" s="3" t="s">
        <v>637</v>
      </c>
      <c r="N390" s="3" t="s">
        <v>1640</v>
      </c>
      <c r="O390" s="3" t="s">
        <v>1641</v>
      </c>
      <c r="P390" s="3" t="s">
        <v>215</v>
      </c>
      <c r="Q390" t="str">
        <f t="shared" si="28"/>
        <v>http://roarmap.eprints.org/view/country/724.html</v>
      </c>
      <c r="R390" s="3">
        <v>724</v>
      </c>
      <c r="S390" s="6" t="s">
        <v>319</v>
      </c>
      <c r="T390" s="9">
        <v>724</v>
      </c>
      <c r="U390" s="7" t="s">
        <v>123</v>
      </c>
      <c r="V390" s="6" t="s">
        <v>76</v>
      </c>
      <c r="W390" s="3" t="s">
        <v>158</v>
      </c>
      <c r="X390" s="3" t="s">
        <v>376</v>
      </c>
      <c r="Y390" s="3" t="s">
        <v>1639</v>
      </c>
      <c r="Z390" s="8" t="str">
        <f t="shared" ref="Z390:AA390" si="29">HYPERLINK("http://www.mpt.gob.es/enlaces/administracion_general_del_estado","http://www.mpt.gob.es/enlaces/administracion_general_del_estado")</f>
        <v>http://www.mpt.gob.es/enlaces/administracion_general_del_estado</v>
      </c>
      <c r="AA390" s="8" t="str">
        <f t="shared" si="29"/>
        <v>http://www.mpt.gob.es/enlaces/administracion_general_del_estado</v>
      </c>
      <c r="AB390" s="8" t="str">
        <f>HYPERLINK("http://opendepot.org/","http://opendepot.org/")</f>
        <v>http://opendepot.org/</v>
      </c>
      <c r="AE390" s="3">
        <v>40674</v>
      </c>
      <c r="AF390" s="3" t="s">
        <v>371</v>
      </c>
      <c r="AG390" s="3" t="s">
        <v>178</v>
      </c>
      <c r="AH390" s="3" t="s">
        <v>463</v>
      </c>
      <c r="AI390" s="3" t="s">
        <v>244</v>
      </c>
      <c r="AJ390" s="3" t="s">
        <v>182</v>
      </c>
      <c r="AK390" s="3" t="s">
        <v>244</v>
      </c>
      <c r="AL390" s="3" t="s">
        <v>244</v>
      </c>
      <c r="AM390" s="3" t="s">
        <v>178</v>
      </c>
      <c r="AN390" s="3" t="s">
        <v>244</v>
      </c>
      <c r="AO390" s="3" t="s">
        <v>247</v>
      </c>
      <c r="AP390" s="3" t="s">
        <v>244</v>
      </c>
      <c r="AQ390" s="3" t="s">
        <v>394</v>
      </c>
      <c r="AR390" s="3" t="s">
        <v>288</v>
      </c>
      <c r="AS390" s="3" t="s">
        <v>288</v>
      </c>
      <c r="AT390" s="3" t="s">
        <v>785</v>
      </c>
      <c r="AU390" s="3" t="s">
        <v>785</v>
      </c>
      <c r="AV390" s="3" t="s">
        <v>244</v>
      </c>
      <c r="AW390" s="3" t="s">
        <v>195</v>
      </c>
      <c r="AX390" s="3" t="s">
        <v>244</v>
      </c>
      <c r="AY390" s="3" t="s">
        <v>247</v>
      </c>
    </row>
    <row r="391" spans="1:51" ht="15.75" customHeight="1">
      <c r="A391" s="3">
        <v>293</v>
      </c>
      <c r="B391" s="5" t="str">
        <f t="shared" si="0"/>
        <v>http://roarmap.eprints.org/293/</v>
      </c>
      <c r="C391" s="3">
        <v>5</v>
      </c>
      <c r="D391" s="3" t="s">
        <v>98</v>
      </c>
      <c r="E391" s="3">
        <v>1</v>
      </c>
      <c r="F391" s="3" t="s">
        <v>1642</v>
      </c>
      <c r="G391" s="3">
        <v>41988.923668981479</v>
      </c>
      <c r="H391" s="3">
        <v>41988.923668981479</v>
      </c>
      <c r="I391" s="3">
        <v>41988.923668981479</v>
      </c>
      <c r="J391" s="3" t="s">
        <v>103</v>
      </c>
      <c r="K391" s="3" t="s">
        <v>105</v>
      </c>
      <c r="L391" s="3" t="s">
        <v>1643</v>
      </c>
      <c r="M391" s="3" t="s">
        <v>352</v>
      </c>
      <c r="N391" s="3" t="s">
        <v>1644</v>
      </c>
      <c r="O391" s="3" t="s">
        <v>1645</v>
      </c>
      <c r="P391" s="3" t="s">
        <v>215</v>
      </c>
      <c r="Q391" t="str">
        <f t="shared" si="28"/>
        <v>http://roarmap.eprints.org/view/country/724.html</v>
      </c>
      <c r="R391" s="3">
        <v>724</v>
      </c>
      <c r="S391" s="6" t="s">
        <v>319</v>
      </c>
      <c r="T391" s="9">
        <v>724</v>
      </c>
      <c r="U391" s="7" t="s">
        <v>123</v>
      </c>
      <c r="V391" s="6" t="s">
        <v>76</v>
      </c>
      <c r="W391" s="3" t="s">
        <v>158</v>
      </c>
      <c r="X391" s="3" t="s">
        <v>160</v>
      </c>
      <c r="Y391" s="3" t="s">
        <v>1643</v>
      </c>
      <c r="Z391" s="8" t="str">
        <f>HYPERLINK("http://www.uc3m.es/Home","http://www.uc3m.es/Home")</f>
        <v>http://www.uc3m.es/Home</v>
      </c>
      <c r="AA391" s="8" t="str">
        <f>HYPERLINK("http://hdl.handle.net/10016/17691","http://hdl.handle.net/10016/17691")</f>
        <v>http://hdl.handle.net/10016/17691</v>
      </c>
      <c r="AB391" s="8" t="str">
        <f>HYPERLINK("http://e-archivo.uc3m.es","http://e-archivo.uc3m.es")</f>
        <v>http://e-archivo.uc3m.es</v>
      </c>
      <c r="AC391" s="3">
        <v>41312</v>
      </c>
      <c r="AD391" s="3">
        <v>41312</v>
      </c>
      <c r="AE391" s="3">
        <v>41606</v>
      </c>
      <c r="AF391" s="3" t="s">
        <v>478</v>
      </c>
      <c r="AG391" s="3" t="s">
        <v>178</v>
      </c>
      <c r="AH391" s="3" t="s">
        <v>180</v>
      </c>
      <c r="AI391" s="3" t="s">
        <v>392</v>
      </c>
      <c r="AJ391" s="3" t="s">
        <v>385</v>
      </c>
      <c r="AK391" s="3" t="s">
        <v>244</v>
      </c>
      <c r="AL391" s="3" t="s">
        <v>189</v>
      </c>
      <c r="AM391" s="3" t="s">
        <v>178</v>
      </c>
      <c r="AN391" s="3" t="s">
        <v>189</v>
      </c>
      <c r="AO391" s="3" t="s">
        <v>392</v>
      </c>
      <c r="AP391" s="3" t="s">
        <v>185</v>
      </c>
      <c r="AQ391" s="3" t="s">
        <v>648</v>
      </c>
      <c r="AR391" s="3" t="s">
        <v>189</v>
      </c>
      <c r="AS391" s="3" t="s">
        <v>288</v>
      </c>
      <c r="AT391" s="3" t="s">
        <v>379</v>
      </c>
      <c r="AU391" s="3" t="s">
        <v>395</v>
      </c>
      <c r="AV391" s="3" t="s">
        <v>288</v>
      </c>
      <c r="AW391" s="3" t="s">
        <v>630</v>
      </c>
      <c r="AX391" s="3" t="s">
        <v>244</v>
      </c>
      <c r="AY391" s="3" t="s">
        <v>247</v>
      </c>
    </row>
    <row r="392" spans="1:51" ht="15.75" customHeight="1">
      <c r="A392" s="3">
        <v>673</v>
      </c>
      <c r="B392" s="5" t="str">
        <f t="shared" si="0"/>
        <v>http://roarmap.eprints.org/673/</v>
      </c>
      <c r="C392" s="3">
        <v>8</v>
      </c>
      <c r="D392" s="3" t="s">
        <v>98</v>
      </c>
      <c r="E392" s="3">
        <v>381</v>
      </c>
      <c r="F392" s="3" t="s">
        <v>1646</v>
      </c>
      <c r="G392" s="3">
        <v>42055.574467592596</v>
      </c>
      <c r="H392" s="3">
        <v>42055.574467592596</v>
      </c>
      <c r="I392" s="3">
        <v>42055.574467592596</v>
      </c>
      <c r="J392" s="3" t="s">
        <v>103</v>
      </c>
      <c r="K392" s="3" t="s">
        <v>105</v>
      </c>
      <c r="L392" s="3" t="s">
        <v>1647</v>
      </c>
      <c r="Q392" t="str">
        <f t="shared" si="28"/>
        <v>http://roarmap.eprints.org/view/country/724.html</v>
      </c>
      <c r="R392" s="3">
        <v>724</v>
      </c>
      <c r="S392" s="6" t="s">
        <v>319</v>
      </c>
      <c r="T392" s="9">
        <v>724</v>
      </c>
      <c r="U392" s="7" t="s">
        <v>123</v>
      </c>
      <c r="V392" s="6" t="s">
        <v>76</v>
      </c>
      <c r="W392" s="3" t="s">
        <v>158</v>
      </c>
      <c r="X392" s="3" t="s">
        <v>160</v>
      </c>
      <c r="Y392" s="3" t="s">
        <v>1647</v>
      </c>
      <c r="Z392" s="8" t="str">
        <f>HYPERLINK("http://www.ucm.es/","http://www.ucm.es/")</f>
        <v>http://www.ucm.es/</v>
      </c>
      <c r="AA392" s="8" t="str">
        <f>HYPERLINK("http://biblioteca.ucm.es/data/cont/docs/politica_acceso_abierto_20140527.pdf","http://biblioteca.ucm.es/data/cont/docs/politica_acceso_abierto_20140527.pdf")</f>
        <v>http://biblioteca.ucm.es/data/cont/docs/politica_acceso_abierto_20140527.pdf</v>
      </c>
      <c r="AB392" s="8" t="str">
        <f>HYPERLINK("http://eprints.ucm.es/","http://eprints.ucm.es/")</f>
        <v>http://eprints.ucm.es/</v>
      </c>
      <c r="AC392" s="3">
        <v>41786</v>
      </c>
      <c r="AD392" s="3">
        <v>41786</v>
      </c>
      <c r="AF392" s="3" t="s">
        <v>177</v>
      </c>
      <c r="AG392" s="3" t="s">
        <v>178</v>
      </c>
      <c r="AH392" s="3" t="s">
        <v>180</v>
      </c>
      <c r="AI392" s="3" t="s">
        <v>181</v>
      </c>
      <c r="AJ392" s="3" t="s">
        <v>182</v>
      </c>
      <c r="AK392" s="3" t="s">
        <v>371</v>
      </c>
      <c r="AL392" s="3" t="s">
        <v>244</v>
      </c>
      <c r="AM392" s="3" t="s">
        <v>479</v>
      </c>
      <c r="AN392" s="3" t="s">
        <v>244</v>
      </c>
      <c r="AO392" s="3" t="s">
        <v>181</v>
      </c>
      <c r="AP392" s="3" t="s">
        <v>185</v>
      </c>
      <c r="AQ392" s="3" t="s">
        <v>247</v>
      </c>
      <c r="AR392" s="3" t="s">
        <v>244</v>
      </c>
      <c r="AS392" s="3" t="s">
        <v>244</v>
      </c>
      <c r="AT392" s="3" t="s">
        <v>244</v>
      </c>
      <c r="AU392" s="3" t="s">
        <v>244</v>
      </c>
      <c r="AV392" s="3" t="s">
        <v>244</v>
      </c>
      <c r="AW392" s="3" t="s">
        <v>244</v>
      </c>
      <c r="AX392" s="3" t="s">
        <v>244</v>
      </c>
      <c r="AY392" s="3" t="s">
        <v>247</v>
      </c>
    </row>
    <row r="393" spans="1:51" ht="15.75" customHeight="1">
      <c r="A393" s="3">
        <v>298</v>
      </c>
      <c r="B393" s="5" t="str">
        <f t="shared" si="0"/>
        <v>http://roarmap.eprints.org/298/</v>
      </c>
      <c r="C393" s="3">
        <v>6</v>
      </c>
      <c r="D393" s="3" t="s">
        <v>98</v>
      </c>
      <c r="E393" s="3">
        <v>280</v>
      </c>
      <c r="F393" s="3" t="s">
        <v>1648</v>
      </c>
      <c r="G393" s="3">
        <v>41988.923680555556</v>
      </c>
      <c r="H393" s="3">
        <v>42046.981689814813</v>
      </c>
      <c r="I393" s="3">
        <v>41988.923680555556</v>
      </c>
      <c r="J393" s="3" t="s">
        <v>103</v>
      </c>
      <c r="K393" s="3" t="s">
        <v>105</v>
      </c>
      <c r="L393" s="3" t="s">
        <v>1649</v>
      </c>
      <c r="M393" s="3" t="s">
        <v>374</v>
      </c>
      <c r="O393" s="3" t="s">
        <v>1650</v>
      </c>
      <c r="P393" s="3" t="s">
        <v>215</v>
      </c>
      <c r="Q393" t="str">
        <f t="shared" si="28"/>
        <v>http://roarmap.eprints.org/view/country/724.html</v>
      </c>
      <c r="R393" s="3">
        <v>724</v>
      </c>
      <c r="S393" s="6" t="s">
        <v>319</v>
      </c>
      <c r="T393" s="9">
        <v>724</v>
      </c>
      <c r="U393" s="7" t="s">
        <v>123</v>
      </c>
      <c r="V393" s="6" t="s">
        <v>76</v>
      </c>
      <c r="W393" s="3" t="s">
        <v>158</v>
      </c>
      <c r="X393" s="3" t="s">
        <v>160</v>
      </c>
      <c r="Y393" s="3" t="s">
        <v>1649</v>
      </c>
      <c r="Z393" s="8" t="str">
        <f>HYPERLINK("http://www.upct.es/","http://www.upct.es/")</f>
        <v>http://www.upct.es/</v>
      </c>
      <c r="AA393" s="8" t="str">
        <f>HYPERLINK("http://repositorio.bib.upct.es/dspace/ayuda/institucional.pdf","http://repositorio.bib.upct.es/dspace/ayuda/institucional.pdf")</f>
        <v>http://repositorio.bib.upct.es/dspace/ayuda/institucional.pdf</v>
      </c>
      <c r="AB393" s="8" t="str">
        <f>HYPERLINK("http://repositorio.bib.upct.es/dspace","http://repositorio.bib.upct.es/dspace")</f>
        <v>http://repositorio.bib.upct.es/dspace</v>
      </c>
      <c r="AC393" s="3">
        <v>40504</v>
      </c>
      <c r="AD393" s="3">
        <v>40504</v>
      </c>
      <c r="AE393" s="3">
        <v>40848</v>
      </c>
      <c r="AF393" s="3" t="s">
        <v>177</v>
      </c>
      <c r="AG393" s="3" t="s">
        <v>333</v>
      </c>
      <c r="AH393" s="3" t="s">
        <v>180</v>
      </c>
      <c r="AI393" s="3" t="s">
        <v>244</v>
      </c>
      <c r="AJ393" s="3" t="s">
        <v>182</v>
      </c>
      <c r="AK393" s="3" t="s">
        <v>244</v>
      </c>
      <c r="AL393" s="3" t="s">
        <v>288</v>
      </c>
      <c r="AM393" s="3" t="s">
        <v>178</v>
      </c>
      <c r="AN393" s="3" t="s">
        <v>189</v>
      </c>
      <c r="AO393" s="3" t="s">
        <v>621</v>
      </c>
      <c r="AP393" s="3" t="s">
        <v>244</v>
      </c>
      <c r="AQ393" s="3" t="s">
        <v>394</v>
      </c>
      <c r="AR393" s="3" t="s">
        <v>288</v>
      </c>
      <c r="AS393" s="3" t="s">
        <v>244</v>
      </c>
      <c r="AT393" s="3" t="s">
        <v>244</v>
      </c>
      <c r="AU393" s="3" t="s">
        <v>244</v>
      </c>
      <c r="AV393" s="3" t="s">
        <v>288</v>
      </c>
      <c r="AW393" s="3" t="s">
        <v>630</v>
      </c>
      <c r="AX393" s="3" t="s">
        <v>244</v>
      </c>
      <c r="AY393" s="3" t="s">
        <v>247</v>
      </c>
    </row>
    <row r="394" spans="1:51" ht="15.75" customHeight="1">
      <c r="A394" s="3">
        <v>299</v>
      </c>
      <c r="B394" s="5" t="str">
        <f t="shared" si="0"/>
        <v>http://roarmap.eprints.org/299/</v>
      </c>
      <c r="C394" s="3">
        <v>3</v>
      </c>
      <c r="D394" s="3" t="s">
        <v>98</v>
      </c>
      <c r="E394" s="3">
        <v>1</v>
      </c>
      <c r="F394" s="3" t="s">
        <v>1651</v>
      </c>
      <c r="G394" s="3">
        <v>41988.923680555556</v>
      </c>
      <c r="H394" s="3">
        <v>41988.923680555556</v>
      </c>
      <c r="I394" s="3">
        <v>41988.923680555556</v>
      </c>
      <c r="J394" s="3" t="s">
        <v>103</v>
      </c>
      <c r="K394" s="3" t="s">
        <v>105</v>
      </c>
      <c r="L394" s="3" t="s">
        <v>1652</v>
      </c>
      <c r="M394" s="3" t="s">
        <v>352</v>
      </c>
      <c r="O394" s="3" t="s">
        <v>1653</v>
      </c>
      <c r="P394" s="3" t="s">
        <v>215</v>
      </c>
      <c r="Q394" t="str">
        <f t="shared" si="28"/>
        <v>http://roarmap.eprints.org/view/country/724.html</v>
      </c>
      <c r="R394" s="3">
        <v>724</v>
      </c>
      <c r="S394" s="6" t="s">
        <v>319</v>
      </c>
      <c r="T394" s="9">
        <v>724</v>
      </c>
      <c r="U394" s="7" t="s">
        <v>123</v>
      </c>
      <c r="V394" s="6" t="s">
        <v>76</v>
      </c>
      <c r="W394" s="3" t="s">
        <v>158</v>
      </c>
      <c r="X394" s="3" t="s">
        <v>160</v>
      </c>
      <c r="Y394" s="3" t="s">
        <v>1652</v>
      </c>
      <c r="Z394" s="8" t="str">
        <f>HYPERLINK("http://www.upm.es/institucional","http://www.upm.es/institucional")</f>
        <v>http://www.upm.es/institucional</v>
      </c>
      <c r="AB394" s="8" t="str">
        <f>HYPERLINK("http://oa.upm.es/","http://oa.upm.es/")</f>
        <v>http://oa.upm.es/</v>
      </c>
      <c r="AG394" s="3" t="s">
        <v>333</v>
      </c>
      <c r="AH394" s="3" t="s">
        <v>180</v>
      </c>
      <c r="AI394" s="3" t="s">
        <v>244</v>
      </c>
      <c r="AJ394" s="3" t="s">
        <v>182</v>
      </c>
      <c r="AK394" s="3" t="s">
        <v>244</v>
      </c>
      <c r="AL394" s="3" t="s">
        <v>288</v>
      </c>
      <c r="AM394" s="3" t="s">
        <v>479</v>
      </c>
      <c r="AN394" s="3" t="s">
        <v>189</v>
      </c>
      <c r="AO394" s="3" t="s">
        <v>247</v>
      </c>
      <c r="AP394" s="3" t="s">
        <v>244</v>
      </c>
      <c r="AQ394" s="3" t="s">
        <v>247</v>
      </c>
      <c r="AR394" s="3" t="s">
        <v>288</v>
      </c>
      <c r="AS394" s="3" t="s">
        <v>244</v>
      </c>
      <c r="AT394" s="3" t="s">
        <v>244</v>
      </c>
      <c r="AU394" s="3" t="s">
        <v>244</v>
      </c>
      <c r="AV394" s="3" t="s">
        <v>288</v>
      </c>
      <c r="AW394" s="3" t="s">
        <v>195</v>
      </c>
      <c r="AX394" s="3" t="s">
        <v>244</v>
      </c>
      <c r="AY394" s="3" t="s">
        <v>247</v>
      </c>
    </row>
    <row r="395" spans="1:51" ht="15.75" customHeight="1">
      <c r="A395" s="3">
        <v>300</v>
      </c>
      <c r="B395" s="5" t="str">
        <f t="shared" si="0"/>
        <v>http://roarmap.eprints.org/300/</v>
      </c>
      <c r="C395" s="3">
        <v>3</v>
      </c>
      <c r="D395" s="3" t="s">
        <v>98</v>
      </c>
      <c r="E395" s="3">
        <v>1</v>
      </c>
      <c r="F395" s="3" t="s">
        <v>1654</v>
      </c>
      <c r="G395" s="3">
        <v>41988.923680555556</v>
      </c>
      <c r="H395" s="3">
        <v>41988.923680555556</v>
      </c>
      <c r="I395" s="3">
        <v>41988.923680555556</v>
      </c>
      <c r="J395" s="3" t="s">
        <v>103</v>
      </c>
      <c r="K395" s="3" t="s">
        <v>105</v>
      </c>
      <c r="L395" s="3" t="s">
        <v>1655</v>
      </c>
      <c r="M395" s="3" t="s">
        <v>532</v>
      </c>
      <c r="N395" s="3" t="s">
        <v>1656</v>
      </c>
      <c r="P395" s="3" t="s">
        <v>215</v>
      </c>
      <c r="Q395" t="str">
        <f t="shared" si="28"/>
        <v>http://roarmap.eprints.org/view/country/724.html</v>
      </c>
      <c r="R395" s="3">
        <v>724</v>
      </c>
      <c r="S395" s="6" t="s">
        <v>319</v>
      </c>
      <c r="T395" s="9">
        <v>724</v>
      </c>
      <c r="U395" s="7" t="s">
        <v>123</v>
      </c>
      <c r="V395" s="6" t="s">
        <v>76</v>
      </c>
      <c r="W395" s="3" t="s">
        <v>158</v>
      </c>
      <c r="X395" s="3" t="s">
        <v>160</v>
      </c>
      <c r="Y395" s="3" t="s">
        <v>1655</v>
      </c>
      <c r="Z395" s="8" t="str">
        <f>HYPERLINK("http://www.urjc.es/","http://www.urjc.es/")</f>
        <v>http://www.urjc.es/</v>
      </c>
      <c r="AA395" s="8" t="str">
        <f>HYPERLINK("http://roarmap.eprints.org/704/1/ESFmandateRec.pdf","http://roarmap.eprints.org/704/1/ESFmandateRec.pdf")</f>
        <v>http://roarmap.eprints.org/704/1/ESFmandateRec.pdf</v>
      </c>
      <c r="AB395" s="8" t="str">
        <f>HYPERLINK("http://eciencia.urjc.es/dspace/","http://eciencia.urjc.es/dspace/")</f>
        <v>http://eciencia.urjc.es/dspace/</v>
      </c>
      <c r="AG395" s="3" t="s">
        <v>178</v>
      </c>
      <c r="AH395" s="3" t="s">
        <v>180</v>
      </c>
      <c r="AI395" s="3" t="s">
        <v>244</v>
      </c>
      <c r="AJ395" s="3" t="s">
        <v>182</v>
      </c>
      <c r="AK395" s="3" t="s">
        <v>393</v>
      </c>
      <c r="AL395" s="3" t="s">
        <v>244</v>
      </c>
      <c r="AM395" s="3" t="s">
        <v>479</v>
      </c>
      <c r="AN395" s="3" t="s">
        <v>189</v>
      </c>
      <c r="AO395" s="3" t="s">
        <v>187</v>
      </c>
      <c r="AP395" s="3" t="s">
        <v>185</v>
      </c>
      <c r="AQ395" s="3" t="s">
        <v>394</v>
      </c>
      <c r="AR395" s="3" t="s">
        <v>288</v>
      </c>
      <c r="AS395" s="3" t="s">
        <v>189</v>
      </c>
      <c r="AT395" s="3" t="s">
        <v>379</v>
      </c>
      <c r="AU395" s="3" t="s">
        <v>379</v>
      </c>
      <c r="AV395" s="3" t="s">
        <v>288</v>
      </c>
      <c r="AW395" s="3" t="s">
        <v>195</v>
      </c>
      <c r="AX395" s="3" t="s">
        <v>341</v>
      </c>
      <c r="AY395" s="3" t="s">
        <v>247</v>
      </c>
    </row>
    <row r="396" spans="1:51" ht="15.75" customHeight="1">
      <c r="A396" s="3">
        <v>292</v>
      </c>
      <c r="B396" s="5" t="str">
        <f t="shared" si="0"/>
        <v>http://roarmap.eprints.org/292/</v>
      </c>
      <c r="C396" s="3">
        <v>3</v>
      </c>
      <c r="D396" s="3" t="s">
        <v>98</v>
      </c>
      <c r="E396" s="3">
        <v>1</v>
      </c>
      <c r="F396" s="3" t="s">
        <v>1657</v>
      </c>
      <c r="G396" s="3">
        <v>41988.923668981479</v>
      </c>
      <c r="H396" s="3">
        <v>41988.923668981479</v>
      </c>
      <c r="I396" s="3">
        <v>41988.923668981479</v>
      </c>
      <c r="J396" s="3" t="s">
        <v>103</v>
      </c>
      <c r="K396" s="3" t="s">
        <v>105</v>
      </c>
      <c r="L396" s="3" t="s">
        <v>1658</v>
      </c>
      <c r="M396" s="3" t="s">
        <v>374</v>
      </c>
      <c r="P396" s="3" t="s">
        <v>595</v>
      </c>
      <c r="Q396" t="str">
        <f t="shared" si="28"/>
        <v>http://roarmap.eprints.org/view/country/724.html</v>
      </c>
      <c r="R396" s="3">
        <v>724</v>
      </c>
      <c r="S396" s="6" t="s">
        <v>319</v>
      </c>
      <c r="T396" s="9">
        <v>724</v>
      </c>
      <c r="U396" s="7" t="s">
        <v>123</v>
      </c>
      <c r="V396" s="6" t="s">
        <v>76</v>
      </c>
      <c r="W396" s="3" t="s">
        <v>158</v>
      </c>
      <c r="X396" s="3" t="s">
        <v>160</v>
      </c>
      <c r="Y396" s="3" t="s">
        <v>1658</v>
      </c>
      <c r="Z396" s="8" t="str">
        <f>HYPERLINK("http://www.uah.es","http://www.uah.es")</f>
        <v>http://www.uah.es</v>
      </c>
      <c r="AA396" s="8" t="str">
        <f>HYPERLINK("http://www.uah.es/biblioteca/documentos/Politica_institucional_acceso_abierto_UAH.pdf","http://www.uah.es/biblioteca/documentos/Politica_institucional_acceso_abierto_UAH.pdf")</f>
        <v>http://www.uah.es/biblioteca/documentos/Politica_institucional_acceso_abierto_UAH.pdf</v>
      </c>
      <c r="AB396" s="8" t="str">
        <f>HYPERLINK("http://dspace.uah.es/dspace","http://dspace.uah.es/dspace")</f>
        <v>http://dspace.uah.es/dspace</v>
      </c>
      <c r="AD396" s="3">
        <v>41354</v>
      </c>
      <c r="AF396" s="3" t="s">
        <v>177</v>
      </c>
      <c r="AG396" s="3" t="s">
        <v>333</v>
      </c>
      <c r="AH396" s="3" t="s">
        <v>180</v>
      </c>
      <c r="AI396" s="3" t="s">
        <v>377</v>
      </c>
      <c r="AJ396" s="3" t="s">
        <v>371</v>
      </c>
      <c r="AK396" s="3" t="s">
        <v>393</v>
      </c>
      <c r="AL396" s="3" t="s">
        <v>288</v>
      </c>
      <c r="AM396" s="3" t="s">
        <v>479</v>
      </c>
      <c r="AN396" s="3" t="s">
        <v>244</v>
      </c>
      <c r="AO396" s="3" t="s">
        <v>378</v>
      </c>
      <c r="AP396" s="3" t="s">
        <v>244</v>
      </c>
      <c r="AQ396" s="3" t="s">
        <v>394</v>
      </c>
      <c r="AR396" s="3" t="s">
        <v>288</v>
      </c>
      <c r="AS396" s="3" t="s">
        <v>288</v>
      </c>
      <c r="AT396" s="3" t="s">
        <v>379</v>
      </c>
      <c r="AU396" s="3" t="s">
        <v>395</v>
      </c>
      <c r="AV396" s="3" t="s">
        <v>288</v>
      </c>
      <c r="AW396" s="3" t="s">
        <v>195</v>
      </c>
      <c r="AX396" s="3" t="s">
        <v>244</v>
      </c>
      <c r="AY396" s="3" t="s">
        <v>247</v>
      </c>
    </row>
    <row r="397" spans="1:51" ht="15.75" customHeight="1">
      <c r="A397" s="3">
        <v>294</v>
      </c>
      <c r="B397" s="5" t="str">
        <f t="shared" si="0"/>
        <v>http://roarmap.eprints.org/294/</v>
      </c>
      <c r="C397" s="3">
        <v>3</v>
      </c>
      <c r="D397" s="3" t="s">
        <v>98</v>
      </c>
      <c r="E397" s="3">
        <v>1</v>
      </c>
      <c r="F397" s="3" t="s">
        <v>1659</v>
      </c>
      <c r="G397" s="3">
        <v>41988.923680555556</v>
      </c>
      <c r="H397" s="3">
        <v>41988.923680555556</v>
      </c>
      <c r="I397" s="3">
        <v>41988.923680555556</v>
      </c>
      <c r="J397" s="3" t="s">
        <v>103</v>
      </c>
      <c r="K397" s="3" t="s">
        <v>105</v>
      </c>
      <c r="L397" s="3" t="s">
        <v>1660</v>
      </c>
      <c r="M397" s="3" t="s">
        <v>374</v>
      </c>
      <c r="P397" s="3" t="s">
        <v>595</v>
      </c>
      <c r="Q397" t="str">
        <f t="shared" si="28"/>
        <v>http://roarmap.eprints.org/view/country/724.html</v>
      </c>
      <c r="R397" s="3">
        <v>724</v>
      </c>
      <c r="S397" s="6" t="s">
        <v>319</v>
      </c>
      <c r="T397" s="9">
        <v>724</v>
      </c>
      <c r="U397" s="7" t="s">
        <v>123</v>
      </c>
      <c r="V397" s="6" t="s">
        <v>76</v>
      </c>
      <c r="W397" s="3" t="s">
        <v>158</v>
      </c>
      <c r="X397" s="3" t="s">
        <v>160</v>
      </c>
      <c r="Y397" s="3" t="s">
        <v>1660</v>
      </c>
      <c r="Z397" s="8" t="str">
        <f>HYPERLINK("http://www.unican.es","http://www.unican.es")</f>
        <v>http://www.unican.es</v>
      </c>
      <c r="AA397" s="8" t="str">
        <f>HYPERLINK("http://repositorio.unican.es/xmlui/themes/unican/lib/Politica_Repositorio_Ucrea.pdf","http://repositorio.unican.es/xmlui/themes/unican/lib/Politica_Repositorio_Ucrea.pdf")</f>
        <v>http://repositorio.unican.es/xmlui/themes/unican/lib/Politica_Repositorio_Ucrea.pdf</v>
      </c>
      <c r="AB397" s="8" t="str">
        <f>HYPERLINK("http://repositorio.unican.es","http://repositorio.unican.es")</f>
        <v>http://repositorio.unican.es</v>
      </c>
      <c r="AD397" s="3">
        <v>41114</v>
      </c>
      <c r="AF397" s="3" t="s">
        <v>177</v>
      </c>
      <c r="AG397" s="3" t="s">
        <v>244</v>
      </c>
      <c r="AH397" s="3" t="s">
        <v>244</v>
      </c>
      <c r="AI397" s="3" t="s">
        <v>244</v>
      </c>
      <c r="AJ397" s="3" t="s">
        <v>371</v>
      </c>
      <c r="AK397" s="3" t="s">
        <v>371</v>
      </c>
      <c r="AL397" s="3" t="s">
        <v>244</v>
      </c>
      <c r="AM397" s="3" t="s">
        <v>247</v>
      </c>
      <c r="AN397" s="3" t="s">
        <v>244</v>
      </c>
      <c r="AO397" s="3" t="s">
        <v>247</v>
      </c>
      <c r="AP397" s="3" t="s">
        <v>244</v>
      </c>
      <c r="AQ397" s="3" t="s">
        <v>247</v>
      </c>
      <c r="AR397" s="3" t="s">
        <v>288</v>
      </c>
      <c r="AS397" s="3" t="s">
        <v>244</v>
      </c>
      <c r="AT397" s="3" t="s">
        <v>244</v>
      </c>
      <c r="AU397" s="3" t="s">
        <v>244</v>
      </c>
      <c r="AV397" s="3" t="s">
        <v>288</v>
      </c>
      <c r="AW397" s="3" t="s">
        <v>244</v>
      </c>
      <c r="AX397" s="3" t="s">
        <v>244</v>
      </c>
      <c r="AY397" s="3" t="s">
        <v>247</v>
      </c>
    </row>
    <row r="398" spans="1:51" ht="15.75" customHeight="1">
      <c r="A398" s="3">
        <v>295</v>
      </c>
      <c r="B398" s="5" t="str">
        <f t="shared" si="0"/>
        <v>http://roarmap.eprints.org/295/</v>
      </c>
      <c r="C398" s="3">
        <v>3</v>
      </c>
      <c r="D398" s="3" t="s">
        <v>98</v>
      </c>
      <c r="E398" s="3">
        <v>1</v>
      </c>
      <c r="F398" s="3" t="s">
        <v>1661</v>
      </c>
      <c r="G398" s="3">
        <v>41988.923680555556</v>
      </c>
      <c r="H398" s="3">
        <v>41988.923680555556</v>
      </c>
      <c r="I398" s="3">
        <v>41988.923680555556</v>
      </c>
      <c r="J398" s="3" t="s">
        <v>103</v>
      </c>
      <c r="K398" s="3" t="s">
        <v>105</v>
      </c>
      <c r="L398" s="3" t="s">
        <v>1662</v>
      </c>
      <c r="M398" s="3" t="s">
        <v>374</v>
      </c>
      <c r="P398" s="3" t="s">
        <v>595</v>
      </c>
      <c r="Q398" t="str">
        <f t="shared" si="28"/>
        <v>http://roarmap.eprints.org/view/country/724.html</v>
      </c>
      <c r="R398" s="3">
        <v>724</v>
      </c>
      <c r="S398" s="6" t="s">
        <v>319</v>
      </c>
      <c r="T398" s="9">
        <v>724</v>
      </c>
      <c r="U398" s="7" t="s">
        <v>123</v>
      </c>
      <c r="V398" s="6" t="s">
        <v>76</v>
      </c>
      <c r="W398" s="3" t="s">
        <v>158</v>
      </c>
      <c r="X398" s="3" t="s">
        <v>160</v>
      </c>
      <c r="Y398" s="3" t="s">
        <v>1662</v>
      </c>
      <c r="Z398" s="8" t="str">
        <f>HYPERLINK("http://www.unex.es","http://www.unex.es")</f>
        <v>http://www.unex.es</v>
      </c>
      <c r="AA398" s="8" t="str">
        <f>HYPERLINK("http://dehesa.unex.es:8080/static/ourcontent/repositorio_uex.pdf","http://dehesa.unex.es:8080/static/ourcontent/repositorio_uex.pdf")</f>
        <v>http://dehesa.unex.es:8080/static/ourcontent/repositorio_uex.pdf</v>
      </c>
      <c r="AB398" s="8" t="str">
        <f>HYPERLINK("http://dehesa.unex.es","http://dehesa.unex.es")</f>
        <v>http://dehesa.unex.es</v>
      </c>
      <c r="AD398" s="3">
        <v>41395</v>
      </c>
      <c r="AF398" s="3" t="s">
        <v>177</v>
      </c>
      <c r="AG398" s="3" t="s">
        <v>333</v>
      </c>
      <c r="AH398" s="3" t="s">
        <v>180</v>
      </c>
      <c r="AI398" s="3" t="s">
        <v>244</v>
      </c>
      <c r="AJ398" s="3" t="s">
        <v>182</v>
      </c>
      <c r="AK398" s="3" t="s">
        <v>244</v>
      </c>
      <c r="AL398" s="3" t="s">
        <v>288</v>
      </c>
      <c r="AM398" s="3" t="s">
        <v>479</v>
      </c>
      <c r="AN398" s="3" t="s">
        <v>189</v>
      </c>
      <c r="AO398" s="3" t="s">
        <v>247</v>
      </c>
      <c r="AP398" s="3" t="s">
        <v>185</v>
      </c>
      <c r="AQ398" s="3" t="s">
        <v>247</v>
      </c>
      <c r="AR398" s="3" t="s">
        <v>288</v>
      </c>
      <c r="AS398" s="3" t="s">
        <v>189</v>
      </c>
      <c r="AT398" s="3" t="s">
        <v>244</v>
      </c>
      <c r="AU398" s="3" t="s">
        <v>244</v>
      </c>
      <c r="AV398" s="3" t="s">
        <v>288</v>
      </c>
      <c r="AW398" s="3" t="s">
        <v>244</v>
      </c>
      <c r="AX398" s="3" t="s">
        <v>244</v>
      </c>
      <c r="AY398" s="3" t="s">
        <v>247</v>
      </c>
    </row>
    <row r="399" spans="1:51" ht="15.75" customHeight="1">
      <c r="A399" s="3">
        <v>686</v>
      </c>
      <c r="B399" s="5" t="str">
        <f t="shared" si="0"/>
        <v>http://roarmap.eprints.org/686/</v>
      </c>
      <c r="C399" s="3">
        <v>7</v>
      </c>
      <c r="D399" s="3" t="s">
        <v>98</v>
      </c>
      <c r="E399" s="3">
        <v>425</v>
      </c>
      <c r="F399" s="3" t="s">
        <v>1663</v>
      </c>
      <c r="G399" s="3">
        <v>42076.568298611113</v>
      </c>
      <c r="H399" s="3">
        <v>42088.341851851852</v>
      </c>
      <c r="I399" s="3">
        <v>42076.568298611113</v>
      </c>
      <c r="J399" s="3" t="s">
        <v>103</v>
      </c>
      <c r="K399" s="3" t="s">
        <v>105</v>
      </c>
      <c r="L399" s="3" t="s">
        <v>1664</v>
      </c>
      <c r="P399" s="3" t="s">
        <v>1664</v>
      </c>
      <c r="Q399" t="str">
        <f t="shared" si="28"/>
        <v>http://roarmap.eprints.org/view/country/724.html</v>
      </c>
      <c r="R399" s="3">
        <v>724</v>
      </c>
      <c r="S399" s="6" t="s">
        <v>319</v>
      </c>
      <c r="T399" s="9">
        <v>724</v>
      </c>
      <c r="U399" s="7" t="s">
        <v>123</v>
      </c>
      <c r="V399" s="6" t="s">
        <v>76</v>
      </c>
      <c r="W399" s="3" t="s">
        <v>158</v>
      </c>
      <c r="X399" s="3" t="s">
        <v>160</v>
      </c>
      <c r="Y399" s="3" t="s">
        <v>1664</v>
      </c>
      <c r="Z399" s="8" t="str">
        <f>HYPERLINK("http://www.uhu.es/index.php","http://www.uhu.es/index.php")</f>
        <v>http://www.uhu.es/index.php</v>
      </c>
      <c r="AA399" s="8" t="str">
        <f>HYPERLINK("http://hdl.handle.net/10272/10023","http://hdl.handle.net/10272/10023")</f>
        <v>http://hdl.handle.net/10272/10023</v>
      </c>
      <c r="AB399" s="8" t="str">
        <f>HYPERLINK("http://rabida.uhu.es/dspace/","http://rabida.uhu.es/dspace/")</f>
        <v>http://rabida.uhu.es/dspace/</v>
      </c>
      <c r="AC399" s="3">
        <v>42062</v>
      </c>
      <c r="AD399" s="3">
        <v>42062</v>
      </c>
      <c r="AF399" s="3" t="s">
        <v>177</v>
      </c>
      <c r="AG399" s="3" t="s">
        <v>178</v>
      </c>
      <c r="AH399" s="3" t="s">
        <v>180</v>
      </c>
      <c r="AI399" s="3" t="s">
        <v>181</v>
      </c>
      <c r="AJ399" s="3" t="s">
        <v>385</v>
      </c>
      <c r="AK399" s="3" t="s">
        <v>244</v>
      </c>
      <c r="AL399" s="3" t="s">
        <v>288</v>
      </c>
      <c r="AM399" s="3" t="s">
        <v>479</v>
      </c>
      <c r="AN399" s="3" t="s">
        <v>288</v>
      </c>
      <c r="AO399" s="3" t="s">
        <v>247</v>
      </c>
      <c r="AP399" s="3" t="s">
        <v>244</v>
      </c>
      <c r="AQ399" s="3" t="s">
        <v>394</v>
      </c>
      <c r="AR399" s="3" t="s">
        <v>244</v>
      </c>
      <c r="AS399" s="3" t="s">
        <v>244</v>
      </c>
      <c r="AT399" s="3" t="s">
        <v>395</v>
      </c>
      <c r="AU399" s="3" t="s">
        <v>395</v>
      </c>
      <c r="AV399" s="3" t="s">
        <v>244</v>
      </c>
      <c r="AW399" s="3" t="s">
        <v>520</v>
      </c>
      <c r="AX399" s="3" t="s">
        <v>244</v>
      </c>
      <c r="AY399" s="3" t="s">
        <v>247</v>
      </c>
    </row>
    <row r="400" spans="1:51" ht="15.75" customHeight="1">
      <c r="A400" s="3">
        <v>296</v>
      </c>
      <c r="B400" s="5" t="str">
        <f t="shared" si="0"/>
        <v>http://roarmap.eprints.org/296/</v>
      </c>
      <c r="C400" s="3">
        <v>3</v>
      </c>
      <c r="D400" s="3" t="s">
        <v>98</v>
      </c>
      <c r="E400" s="3">
        <v>1</v>
      </c>
      <c r="F400" s="3" t="s">
        <v>1665</v>
      </c>
      <c r="G400" s="3">
        <v>41988.923680555556</v>
      </c>
      <c r="H400" s="3">
        <v>41988.923680555556</v>
      </c>
      <c r="I400" s="3">
        <v>41988.923680555556</v>
      </c>
      <c r="J400" s="3" t="s">
        <v>103</v>
      </c>
      <c r="K400" s="3" t="s">
        <v>105</v>
      </c>
      <c r="L400" s="3" t="s">
        <v>1666</v>
      </c>
      <c r="M400" s="3" t="s">
        <v>374</v>
      </c>
      <c r="P400" s="3" t="s">
        <v>595</v>
      </c>
      <c r="Q400" t="str">
        <f t="shared" si="28"/>
        <v>http://roarmap.eprints.org/view/country/724.html</v>
      </c>
      <c r="R400" s="3">
        <v>724</v>
      </c>
      <c r="S400" s="6" t="s">
        <v>319</v>
      </c>
      <c r="T400" s="9">
        <v>724</v>
      </c>
      <c r="U400" s="7" t="s">
        <v>123</v>
      </c>
      <c r="V400" s="6" t="s">
        <v>76</v>
      </c>
      <c r="W400" s="3" t="s">
        <v>158</v>
      </c>
      <c r="X400" s="3" t="s">
        <v>160</v>
      </c>
      <c r="Y400" s="3" t="s">
        <v>1666</v>
      </c>
      <c r="Z400" s="8" t="str">
        <f>HYPERLINK("http://www.unileon.es","http://www.unileon.es")</f>
        <v>http://www.unileon.es</v>
      </c>
      <c r="AA400" s="8" t="str">
        <f>HYPERLINK("https://buleria.unileon.es/handle/10612/1850","https://buleria.unileon.es/handle/10612/1850")</f>
        <v>https://buleria.unileon.es/handle/10612/1850</v>
      </c>
      <c r="AB400" s="8" t="str">
        <f>HYPERLINK("https://buleria.unileon.es/","https://buleria.unileon.es/")</f>
        <v>https://buleria.unileon.es/</v>
      </c>
      <c r="AD400" s="3">
        <v>40738</v>
      </c>
      <c r="AF400" s="3" t="s">
        <v>177</v>
      </c>
      <c r="AG400" s="3" t="s">
        <v>178</v>
      </c>
      <c r="AH400" s="3" t="s">
        <v>180</v>
      </c>
      <c r="AI400" s="3" t="s">
        <v>244</v>
      </c>
      <c r="AJ400" s="3" t="s">
        <v>182</v>
      </c>
      <c r="AK400" s="3" t="s">
        <v>244</v>
      </c>
      <c r="AL400" s="3" t="s">
        <v>244</v>
      </c>
      <c r="AM400" s="3" t="s">
        <v>479</v>
      </c>
      <c r="AN400" s="3" t="s">
        <v>189</v>
      </c>
      <c r="AO400" s="3" t="s">
        <v>247</v>
      </c>
      <c r="AP400" s="3" t="s">
        <v>185</v>
      </c>
      <c r="AQ400" s="3" t="s">
        <v>247</v>
      </c>
      <c r="AR400" s="3" t="s">
        <v>288</v>
      </c>
      <c r="AS400" s="3" t="s">
        <v>189</v>
      </c>
      <c r="AT400" s="3" t="s">
        <v>244</v>
      </c>
      <c r="AU400" s="3" t="s">
        <v>244</v>
      </c>
      <c r="AV400" s="3" t="s">
        <v>288</v>
      </c>
      <c r="AW400" s="3" t="s">
        <v>244</v>
      </c>
      <c r="AX400" s="3" t="s">
        <v>244</v>
      </c>
      <c r="AY400" s="3" t="s">
        <v>247</v>
      </c>
    </row>
    <row r="401" spans="1:51" ht="15.75" customHeight="1">
      <c r="A401" s="3">
        <v>302</v>
      </c>
      <c r="B401" s="5" t="str">
        <f t="shared" si="0"/>
        <v>http://roarmap.eprints.org/302/</v>
      </c>
      <c r="C401" s="3">
        <v>4</v>
      </c>
      <c r="D401" s="3" t="s">
        <v>98</v>
      </c>
      <c r="E401" s="3">
        <v>281</v>
      </c>
      <c r="F401" s="3" t="s">
        <v>1667</v>
      </c>
      <c r="G401" s="3">
        <v>41988.923692129632</v>
      </c>
      <c r="H401" s="3">
        <v>42046.981689814813</v>
      </c>
      <c r="I401" s="3">
        <v>41988.923692129632</v>
      </c>
      <c r="J401" s="3" t="s">
        <v>103</v>
      </c>
      <c r="K401" s="3" t="s">
        <v>105</v>
      </c>
      <c r="L401" s="3" t="s">
        <v>1668</v>
      </c>
      <c r="M401" s="3" t="s">
        <v>374</v>
      </c>
      <c r="P401" s="3" t="s">
        <v>215</v>
      </c>
      <c r="Q401" t="str">
        <f t="shared" si="28"/>
        <v>http://roarmap.eprints.org/view/country/724.html</v>
      </c>
      <c r="R401" s="3">
        <v>724</v>
      </c>
      <c r="S401" s="6" t="s">
        <v>319</v>
      </c>
      <c r="T401" s="9">
        <v>724</v>
      </c>
      <c r="U401" s="7" t="s">
        <v>123</v>
      </c>
      <c r="V401" s="6" t="s">
        <v>76</v>
      </c>
      <c r="W401" s="3" t="s">
        <v>158</v>
      </c>
      <c r="X401" s="3" t="s">
        <v>160</v>
      </c>
      <c r="Y401" s="3" t="s">
        <v>1668</v>
      </c>
      <c r="Z401" s="8" t="str">
        <f>HYPERLINK("http://www.uma.es/","http://www.uma.es/")</f>
        <v>http://www.uma.es/</v>
      </c>
      <c r="AA401" s="8" t="str">
        <f>HYPERLINK("http://www.uma.es/publicadores/biblioteca/wwwuma/PoliticaAccesoAbiertoUMA.pdf","http://www.uma.es/publicadores/biblioteca/wwwuma/PoliticaAccesoAbiertoUMA.pdf")</f>
        <v>http://www.uma.es/publicadores/biblioteca/wwwuma/PoliticaAccesoAbiertoUMA.pdf</v>
      </c>
      <c r="AB401" s="8" t="str">
        <f>HYPERLINK("http://riuma.uma.es/xmlui","http://riuma.uma.es/xmlui")</f>
        <v>http://riuma.uma.es/xmlui</v>
      </c>
      <c r="AE401" s="3">
        <v>41395</v>
      </c>
      <c r="AF401" s="3" t="s">
        <v>177</v>
      </c>
      <c r="AG401" s="3" t="s">
        <v>333</v>
      </c>
      <c r="AH401" s="3" t="s">
        <v>180</v>
      </c>
      <c r="AI401" s="3" t="s">
        <v>187</v>
      </c>
      <c r="AJ401" s="3" t="s">
        <v>182</v>
      </c>
      <c r="AK401" s="3" t="s">
        <v>393</v>
      </c>
      <c r="AL401" s="3" t="s">
        <v>288</v>
      </c>
      <c r="AM401" s="3" t="s">
        <v>479</v>
      </c>
      <c r="AN401" s="3" t="s">
        <v>189</v>
      </c>
      <c r="AO401" s="3" t="s">
        <v>247</v>
      </c>
      <c r="AP401" s="3" t="s">
        <v>185</v>
      </c>
      <c r="AQ401" s="3" t="s">
        <v>394</v>
      </c>
      <c r="AR401" s="3" t="s">
        <v>288</v>
      </c>
      <c r="AS401" s="3" t="s">
        <v>189</v>
      </c>
      <c r="AT401" s="3" t="s">
        <v>244</v>
      </c>
      <c r="AU401" s="3" t="s">
        <v>244</v>
      </c>
      <c r="AV401" s="3" t="s">
        <v>288</v>
      </c>
      <c r="AW401" s="3" t="s">
        <v>520</v>
      </c>
      <c r="AX401" s="3" t="s">
        <v>244</v>
      </c>
      <c r="AY401" s="3" t="s">
        <v>247</v>
      </c>
    </row>
    <row r="402" spans="1:51" ht="15.75" customHeight="1">
      <c r="A402" s="3">
        <v>301</v>
      </c>
      <c r="B402" s="5" t="str">
        <f t="shared" si="0"/>
        <v>http://roarmap.eprints.org/301/</v>
      </c>
      <c r="C402" s="3">
        <v>3</v>
      </c>
      <c r="D402" s="3" t="s">
        <v>98</v>
      </c>
      <c r="E402" s="3">
        <v>1</v>
      </c>
      <c r="F402" s="3" t="s">
        <v>1669</v>
      </c>
      <c r="G402" s="3">
        <v>41988.923692129632</v>
      </c>
      <c r="H402" s="3">
        <v>41988.923692129632</v>
      </c>
      <c r="I402" s="3">
        <v>41988.923692129632</v>
      </c>
      <c r="J402" s="3" t="s">
        <v>103</v>
      </c>
      <c r="K402" s="3" t="s">
        <v>105</v>
      </c>
      <c r="L402" s="3" t="s">
        <v>1670</v>
      </c>
      <c r="M402" s="3" t="s">
        <v>532</v>
      </c>
      <c r="P402" s="3" t="s">
        <v>595</v>
      </c>
      <c r="Q402" t="str">
        <f t="shared" si="28"/>
        <v>http://roarmap.eprints.org/view/country/724.html</v>
      </c>
      <c r="R402" s="3">
        <v>724</v>
      </c>
      <c r="S402" s="6" t="s">
        <v>319</v>
      </c>
      <c r="T402" s="9">
        <v>724</v>
      </c>
      <c r="U402" s="7" t="s">
        <v>123</v>
      </c>
      <c r="V402" s="6" t="s">
        <v>76</v>
      </c>
      <c r="W402" s="3" t="s">
        <v>158</v>
      </c>
      <c r="X402" s="3" t="s">
        <v>160</v>
      </c>
      <c r="Y402" s="3" t="s">
        <v>1670</v>
      </c>
      <c r="Z402" s="8" t="str">
        <f>HYPERLINK("http://www.usal.es","http://www.usal.es")</f>
        <v>http://www.usal.es</v>
      </c>
      <c r="AA402" s="8" t="str">
        <f>HYPERLINK("http://www.agenciasinc.es/Noticias/Tesis-Proyectos-Fin-de-Masters-y-Proyectos-de-Investigacion-en-Open-Access","http://www.agenciasinc.es/Noticias/Tesis-Proyectos-Fin-de-Masters-y-Proyectos-de-Investigacion-en-Open-Access")</f>
        <v>http://www.agenciasinc.es/Noticias/Tesis-Proyectos-Fin-de-Masters-y-Proyectos-de-Investigacion-en-Open-Access</v>
      </c>
      <c r="AB402" s="8" t="str">
        <f>HYPERLINK("http://gredos.usal.es","http://gredos.usal.es")</f>
        <v>http://gredos.usal.es</v>
      </c>
      <c r="AD402" s="3">
        <v>39995</v>
      </c>
      <c r="AF402" s="3" t="s">
        <v>177</v>
      </c>
      <c r="AG402" s="3" t="s">
        <v>178</v>
      </c>
      <c r="AH402" s="3" t="s">
        <v>180</v>
      </c>
      <c r="AI402" s="3" t="s">
        <v>244</v>
      </c>
      <c r="AJ402" s="3" t="s">
        <v>385</v>
      </c>
      <c r="AK402" s="3" t="s">
        <v>244</v>
      </c>
      <c r="AL402" s="3" t="s">
        <v>244</v>
      </c>
      <c r="AM402" s="3" t="s">
        <v>479</v>
      </c>
      <c r="AN402" s="3" t="s">
        <v>244</v>
      </c>
      <c r="AO402" s="3" t="s">
        <v>247</v>
      </c>
      <c r="AP402" s="3" t="s">
        <v>244</v>
      </c>
      <c r="AQ402" s="3" t="s">
        <v>394</v>
      </c>
      <c r="AR402" s="3" t="s">
        <v>288</v>
      </c>
      <c r="AS402" s="3" t="s">
        <v>288</v>
      </c>
      <c r="AT402" s="3" t="s">
        <v>244</v>
      </c>
      <c r="AU402" s="3" t="s">
        <v>244</v>
      </c>
      <c r="AV402" s="3" t="s">
        <v>288</v>
      </c>
      <c r="AW402" s="3" t="s">
        <v>371</v>
      </c>
      <c r="AX402" s="3" t="s">
        <v>244</v>
      </c>
      <c r="AY402" s="3" t="s">
        <v>247</v>
      </c>
    </row>
    <row r="403" spans="1:51" ht="15.75" customHeight="1">
      <c r="A403" s="3">
        <v>750</v>
      </c>
      <c r="B403" s="5" t="str">
        <f t="shared" si="0"/>
        <v>http://roarmap.eprints.org/750/</v>
      </c>
      <c r="C403" s="3">
        <v>5</v>
      </c>
      <c r="D403" s="3" t="s">
        <v>98</v>
      </c>
      <c r="E403" s="3">
        <v>643</v>
      </c>
      <c r="F403" s="3" t="s">
        <v>1671</v>
      </c>
      <c r="G403" s="3">
        <v>42121.430289351854</v>
      </c>
      <c r="H403" s="3">
        <v>42121.430289351854</v>
      </c>
      <c r="I403" s="3">
        <v>42121.430289351854</v>
      </c>
      <c r="J403" s="3" t="s">
        <v>103</v>
      </c>
      <c r="K403" s="3" t="s">
        <v>105</v>
      </c>
      <c r="L403" s="3" t="s">
        <v>1672</v>
      </c>
      <c r="Q403" t="str">
        <f t="shared" si="28"/>
        <v>http://roarmap.eprints.org/view/country/724.html</v>
      </c>
      <c r="R403" s="3">
        <v>724</v>
      </c>
      <c r="S403" s="6" t="s">
        <v>319</v>
      </c>
      <c r="T403" s="9">
        <v>724</v>
      </c>
      <c r="U403" s="7" t="s">
        <v>123</v>
      </c>
      <c r="V403" s="6" t="s">
        <v>76</v>
      </c>
      <c r="W403" s="3" t="s">
        <v>158</v>
      </c>
      <c r="X403" s="3" t="s">
        <v>160</v>
      </c>
      <c r="Y403" s="3" t="s">
        <v>1672</v>
      </c>
      <c r="Z403" s="8" t="str">
        <f>HYPERLINK("http://www.us.es/","http://www.us.es/")</f>
        <v>http://www.us.es/</v>
      </c>
      <c r="AA403" s="8" t="str">
        <f>HYPERLINK("http://bous.us.es/2014/BOUS-04-2014/numero%204/10","http://bous.us.es/2014/BOUS-04-2014/numero%204/10")</f>
        <v>http://bous.us.es/2014/BOUS-04-2014/numero%204/10</v>
      </c>
      <c r="AB403" s="8" t="str">
        <f>HYPERLINK("https://idus.us.es/xmlui/","https://idus.us.es/xmlui/")</f>
        <v>https://idus.us.es/xmlui/</v>
      </c>
      <c r="AC403" s="3">
        <v>41838</v>
      </c>
      <c r="AD403" s="3">
        <v>41838</v>
      </c>
      <c r="AF403" s="3" t="s">
        <v>177</v>
      </c>
      <c r="AG403" s="3" t="s">
        <v>178</v>
      </c>
      <c r="AH403" s="3" t="s">
        <v>180</v>
      </c>
      <c r="AI403" s="3" t="s">
        <v>181</v>
      </c>
      <c r="AJ403" s="3" t="s">
        <v>182</v>
      </c>
      <c r="AK403" s="3" t="s">
        <v>244</v>
      </c>
      <c r="AL403" s="3" t="s">
        <v>244</v>
      </c>
      <c r="AM403" s="3" t="s">
        <v>479</v>
      </c>
      <c r="AN403" s="3" t="s">
        <v>244</v>
      </c>
      <c r="AO403" s="3" t="s">
        <v>181</v>
      </c>
      <c r="AP403" s="3" t="s">
        <v>244</v>
      </c>
      <c r="AQ403" s="3" t="s">
        <v>394</v>
      </c>
      <c r="AR403" s="3" t="s">
        <v>244</v>
      </c>
      <c r="AS403" s="3" t="s">
        <v>244</v>
      </c>
      <c r="AT403" s="3" t="s">
        <v>244</v>
      </c>
      <c r="AU403" s="3" t="s">
        <v>244</v>
      </c>
      <c r="AV403" s="3" t="s">
        <v>244</v>
      </c>
      <c r="AW403" s="3" t="s">
        <v>244</v>
      </c>
      <c r="AX403" s="3" t="s">
        <v>244</v>
      </c>
      <c r="AY403" s="3" t="s">
        <v>247</v>
      </c>
    </row>
    <row r="404" spans="1:51" ht="15.75" customHeight="1">
      <c r="A404" s="3">
        <v>310</v>
      </c>
      <c r="B404" s="5" t="str">
        <f t="shared" si="0"/>
        <v>http://roarmap.eprints.org/310/</v>
      </c>
      <c r="C404" s="3">
        <v>3</v>
      </c>
      <c r="D404" s="3" t="s">
        <v>98</v>
      </c>
      <c r="E404" s="3">
        <v>1</v>
      </c>
      <c r="F404" s="3" t="s">
        <v>1673</v>
      </c>
      <c r="G404" s="3">
        <v>41988.923726851855</v>
      </c>
      <c r="H404" s="3">
        <v>41988.923738425925</v>
      </c>
      <c r="I404" s="3">
        <v>41988.923726851855</v>
      </c>
      <c r="J404" s="3" t="s">
        <v>103</v>
      </c>
      <c r="K404" s="3" t="s">
        <v>105</v>
      </c>
      <c r="L404" s="3" t="s">
        <v>1674</v>
      </c>
      <c r="M404" s="3" t="s">
        <v>352</v>
      </c>
      <c r="P404" s="3" t="s">
        <v>595</v>
      </c>
      <c r="Q404" t="str">
        <f t="shared" si="28"/>
        <v>http://roarmap.eprints.org/view/country/724.html</v>
      </c>
      <c r="R404" s="3">
        <v>724</v>
      </c>
      <c r="S404" s="6" t="s">
        <v>319</v>
      </c>
      <c r="T404" s="9">
        <v>724</v>
      </c>
      <c r="U404" s="7" t="s">
        <v>123</v>
      </c>
      <c r="V404" s="6" t="s">
        <v>76</v>
      </c>
      <c r="W404" s="3" t="s">
        <v>158</v>
      </c>
      <c r="X404" s="3" t="s">
        <v>160</v>
      </c>
      <c r="Y404" s="3" t="s">
        <v>1674</v>
      </c>
      <c r="Z404" s="8" t="str">
        <f>HYPERLINK("http://www.uva.es","http://www.uva.es")</f>
        <v>http://www.uva.es</v>
      </c>
      <c r="AA404" s="8" t="str">
        <f>HYPERLINK("http://bocyl.jcyl.es/boletines/2012/12/19/pdf/BOCYL-D-19122012-18.pdf","http://bocyl.jcyl.es/boletines/2012/12/19/pdf/BOCYL-D-19122012-18.pdf")</f>
        <v>http://bocyl.jcyl.es/boletines/2012/12/19/pdf/BOCYL-D-19122012-18.pdf</v>
      </c>
      <c r="AB404" s="8" t="str">
        <f>HYPERLINK("http://uvadoc.uva.es","http://uvadoc.uva.es")</f>
        <v>http://uvadoc.uva.es</v>
      </c>
      <c r="AC404" s="3">
        <v>41246</v>
      </c>
      <c r="AD404" s="3">
        <v>41262</v>
      </c>
      <c r="AF404" s="3" t="s">
        <v>177</v>
      </c>
      <c r="AG404" s="3" t="s">
        <v>178</v>
      </c>
      <c r="AH404" s="3" t="s">
        <v>180</v>
      </c>
      <c r="AI404" s="3" t="s">
        <v>244</v>
      </c>
      <c r="AJ404" s="3" t="s">
        <v>385</v>
      </c>
      <c r="AK404" s="3" t="s">
        <v>244</v>
      </c>
      <c r="AL404" s="3" t="s">
        <v>244</v>
      </c>
      <c r="AM404" s="3" t="s">
        <v>247</v>
      </c>
      <c r="AN404" s="3" t="s">
        <v>244</v>
      </c>
      <c r="AO404" s="3" t="s">
        <v>247</v>
      </c>
      <c r="AP404" s="3" t="s">
        <v>244</v>
      </c>
      <c r="AQ404" s="3" t="s">
        <v>247</v>
      </c>
      <c r="AR404" s="3" t="s">
        <v>288</v>
      </c>
      <c r="AS404" s="3" t="s">
        <v>288</v>
      </c>
      <c r="AT404" s="3" t="s">
        <v>244</v>
      </c>
      <c r="AU404" s="3" t="s">
        <v>244</v>
      </c>
      <c r="AV404" s="3" t="s">
        <v>288</v>
      </c>
      <c r="AW404" s="3" t="s">
        <v>371</v>
      </c>
      <c r="AX404" s="3" t="s">
        <v>244</v>
      </c>
      <c r="AY404" s="3" t="s">
        <v>247</v>
      </c>
    </row>
    <row r="405" spans="1:51" ht="15.75" customHeight="1">
      <c r="A405" s="3">
        <v>303</v>
      </c>
      <c r="B405" s="5" t="str">
        <f t="shared" si="0"/>
        <v>http://roarmap.eprints.org/303/</v>
      </c>
      <c r="C405" s="3">
        <v>6</v>
      </c>
      <c r="D405" s="3" t="s">
        <v>98</v>
      </c>
      <c r="E405" s="3">
        <v>282</v>
      </c>
      <c r="F405" s="3" t="s">
        <v>1675</v>
      </c>
      <c r="G405" s="3">
        <v>41988.923692129632</v>
      </c>
      <c r="H405" s="3">
        <v>42046.981689814813</v>
      </c>
      <c r="I405" s="3">
        <v>41988.923692129632</v>
      </c>
      <c r="J405" s="3" t="s">
        <v>103</v>
      </c>
      <c r="K405" s="3" t="s">
        <v>105</v>
      </c>
      <c r="L405" s="3" t="s">
        <v>1676</v>
      </c>
      <c r="M405" s="3" t="s">
        <v>374</v>
      </c>
      <c r="O405" s="3" t="s">
        <v>1677</v>
      </c>
      <c r="P405" s="3" t="s">
        <v>215</v>
      </c>
      <c r="Q405" t="str">
        <f t="shared" si="28"/>
        <v>http://roarmap.eprints.org/view/country/724.html</v>
      </c>
      <c r="R405" s="3">
        <v>724</v>
      </c>
      <c r="S405" s="6" t="s">
        <v>319</v>
      </c>
      <c r="T405" s="9">
        <v>724</v>
      </c>
      <c r="U405" s="7" t="s">
        <v>123</v>
      </c>
      <c r="V405" s="6" t="s">
        <v>76</v>
      </c>
      <c r="W405" s="3" t="s">
        <v>158</v>
      </c>
      <c r="X405" s="3" t="s">
        <v>160</v>
      </c>
      <c r="Y405" s="3" t="s">
        <v>1676</v>
      </c>
      <c r="Z405" s="8" t="str">
        <f>HYPERLINK("http://www.uab.cat/","http://www.uab.cat/")</f>
        <v>http://www.uab.cat/</v>
      </c>
      <c r="AA405" s="8" t="str">
        <f>HYPERLINK("http://ddd.uab.cat/record/89641","http://ddd.uab.cat/record/89641")</f>
        <v>http://ddd.uab.cat/record/89641</v>
      </c>
      <c r="AB405" s="8" t="str">
        <f>HYPERLINK("http://ddd.uab.cat","http://ddd.uab.cat")</f>
        <v>http://ddd.uab.cat</v>
      </c>
      <c r="AC405" s="3">
        <v>41754</v>
      </c>
      <c r="AD405" s="3">
        <v>41754</v>
      </c>
      <c r="AF405" s="3" t="s">
        <v>177</v>
      </c>
      <c r="AG405" s="3" t="s">
        <v>178</v>
      </c>
      <c r="AH405" s="3" t="s">
        <v>180</v>
      </c>
      <c r="AI405" s="3" t="s">
        <v>181</v>
      </c>
      <c r="AJ405" s="3" t="s">
        <v>371</v>
      </c>
      <c r="AK405" s="3" t="s">
        <v>371</v>
      </c>
      <c r="AL405" s="3" t="s">
        <v>189</v>
      </c>
      <c r="AM405" s="3" t="s">
        <v>479</v>
      </c>
      <c r="AN405" s="3" t="s">
        <v>244</v>
      </c>
      <c r="AO405" s="3" t="s">
        <v>181</v>
      </c>
      <c r="AP405" s="3" t="s">
        <v>185</v>
      </c>
      <c r="AQ405" s="3" t="s">
        <v>247</v>
      </c>
      <c r="AR405" s="3" t="s">
        <v>244</v>
      </c>
      <c r="AS405" s="3" t="s">
        <v>244</v>
      </c>
      <c r="AT405" s="3" t="s">
        <v>244</v>
      </c>
      <c r="AU405" s="3" t="s">
        <v>244</v>
      </c>
      <c r="AV405" s="3" t="s">
        <v>244</v>
      </c>
      <c r="AW405" s="3" t="s">
        <v>244</v>
      </c>
      <c r="AX405" s="3" t="s">
        <v>244</v>
      </c>
      <c r="AY405" s="3" t="s">
        <v>247</v>
      </c>
    </row>
    <row r="406" spans="1:51" ht="15.75" customHeight="1">
      <c r="A406" s="3">
        <v>304</v>
      </c>
      <c r="B406" s="5" t="str">
        <f t="shared" si="0"/>
        <v>http://roarmap.eprints.org/304/</v>
      </c>
      <c r="C406" s="3">
        <v>4</v>
      </c>
      <c r="D406" s="3" t="s">
        <v>98</v>
      </c>
      <c r="E406" s="3">
        <v>1</v>
      </c>
      <c r="F406" s="3" t="s">
        <v>1678</v>
      </c>
      <c r="G406" s="3">
        <v>41988.923703703702</v>
      </c>
      <c r="H406" s="3">
        <v>42046.498981481483</v>
      </c>
      <c r="I406" s="3">
        <v>41988.923703703702</v>
      </c>
      <c r="J406" s="3" t="s">
        <v>103</v>
      </c>
      <c r="K406" s="3" t="s">
        <v>105</v>
      </c>
      <c r="L406" s="3" t="s">
        <v>1679</v>
      </c>
      <c r="M406" s="3" t="s">
        <v>374</v>
      </c>
      <c r="P406" s="3" t="s">
        <v>215</v>
      </c>
      <c r="Q406" t="str">
        <f t="shared" si="28"/>
        <v>http://roarmap.eprints.org/view/country/724.html</v>
      </c>
      <c r="R406" s="3">
        <v>724</v>
      </c>
      <c r="S406" s="6" t="s">
        <v>319</v>
      </c>
      <c r="T406" s="9">
        <v>724</v>
      </c>
      <c r="U406" s="7" t="s">
        <v>123</v>
      </c>
      <c r="V406" s="6" t="s">
        <v>76</v>
      </c>
      <c r="W406" s="3" t="s">
        <v>158</v>
      </c>
      <c r="X406" s="3" t="s">
        <v>160</v>
      </c>
      <c r="Y406" s="3" t="s">
        <v>1679</v>
      </c>
      <c r="Z406" s="8" t="str">
        <f>HYPERLINK("http://www.uoc.edu/portal/en/index.html","http://www.uoc.edu/portal/en/index.html")</f>
        <v>http://www.uoc.edu/portal/en/index.html</v>
      </c>
      <c r="AA406" s="8" t="str">
        <f>HYPERLINK("http://openaccess.uoc.edu/webapps/o2/bitstream/10609/4966/8/InstitucionalMandateUOC_eng.pdf","http://openaccess.uoc.edu/webapps/o2/bitstream/10609/4966/8/InstitucionalMandateUOC_eng.pdf")</f>
        <v>http://openaccess.uoc.edu/webapps/o2/bitstream/10609/4966/8/InstitucionalMandateUOC_eng.pdf</v>
      </c>
      <c r="AB406" s="8" t="str">
        <f>HYPERLINK("http://openaccess.uoc.edu/webapps/o2/","http://openaccess.uoc.edu/webapps/o2/")</f>
        <v>http://openaccess.uoc.edu/webapps/o2/</v>
      </c>
      <c r="AE406" s="3">
        <v>40457</v>
      </c>
      <c r="AF406" s="3" t="s">
        <v>177</v>
      </c>
      <c r="AG406" s="3" t="s">
        <v>178</v>
      </c>
      <c r="AH406" s="3" t="s">
        <v>180</v>
      </c>
      <c r="AI406" s="3" t="s">
        <v>377</v>
      </c>
      <c r="AJ406" s="3" t="s">
        <v>182</v>
      </c>
      <c r="AK406" s="3" t="s">
        <v>393</v>
      </c>
      <c r="AL406" s="3" t="s">
        <v>288</v>
      </c>
      <c r="AM406" s="3" t="s">
        <v>479</v>
      </c>
      <c r="AN406" s="3" t="s">
        <v>185</v>
      </c>
      <c r="AO406" s="3" t="s">
        <v>247</v>
      </c>
      <c r="AP406" s="3" t="s">
        <v>244</v>
      </c>
      <c r="AQ406" s="3" t="s">
        <v>247</v>
      </c>
      <c r="AR406" s="3" t="s">
        <v>288</v>
      </c>
      <c r="AS406" s="3" t="s">
        <v>288</v>
      </c>
      <c r="AT406" s="3" t="s">
        <v>395</v>
      </c>
      <c r="AU406" s="3" t="s">
        <v>395</v>
      </c>
      <c r="AV406" s="3" t="s">
        <v>288</v>
      </c>
      <c r="AW406" s="3" t="s">
        <v>371</v>
      </c>
      <c r="AX406" s="3" t="s">
        <v>244</v>
      </c>
      <c r="AY406" s="3" t="s">
        <v>247</v>
      </c>
    </row>
    <row r="407" spans="1:51" ht="15.75" customHeight="1">
      <c r="A407" s="3">
        <v>306</v>
      </c>
      <c r="B407" s="5" t="str">
        <f t="shared" si="0"/>
        <v>http://roarmap.eprints.org/306/</v>
      </c>
      <c r="C407" s="3">
        <v>3</v>
      </c>
      <c r="D407" s="3" t="s">
        <v>98</v>
      </c>
      <c r="E407" s="3">
        <v>1</v>
      </c>
      <c r="F407" s="3" t="s">
        <v>1680</v>
      </c>
      <c r="G407" s="3">
        <v>41988.923715277779</v>
      </c>
      <c r="H407" s="3">
        <v>41988.923726851855</v>
      </c>
      <c r="I407" s="3">
        <v>41988.923715277779</v>
      </c>
      <c r="J407" s="3" t="s">
        <v>103</v>
      </c>
      <c r="K407" s="3" t="s">
        <v>105</v>
      </c>
      <c r="L407" s="3" t="s">
        <v>1681</v>
      </c>
      <c r="M407" s="3" t="s">
        <v>374</v>
      </c>
      <c r="O407" s="3" t="s">
        <v>1682</v>
      </c>
      <c r="P407" s="3" t="s">
        <v>215</v>
      </c>
      <c r="Q407" t="str">
        <f t="shared" si="28"/>
        <v>http://roarmap.eprints.org/view/country/724.html</v>
      </c>
      <c r="R407" s="3">
        <v>724</v>
      </c>
      <c r="S407" s="6" t="s">
        <v>319</v>
      </c>
      <c r="T407" s="9">
        <v>724</v>
      </c>
      <c r="U407" s="7" t="s">
        <v>123</v>
      </c>
      <c r="V407" s="6" t="s">
        <v>76</v>
      </c>
      <c r="W407" s="3" t="s">
        <v>158</v>
      </c>
      <c r="X407" s="3" t="s">
        <v>160</v>
      </c>
      <c r="Y407" s="3" t="s">
        <v>1681</v>
      </c>
      <c r="Z407" s="8" t="str">
        <f>HYPERLINK("http://www.upc.edu/","http://www.upc.edu/")</f>
        <v>http://www.upc.edu/</v>
      </c>
      <c r="AA407" s="8" t="str">
        <f>HYPERLINK("http://bibliotecnica.upc.edu/sites/bibliotecnica.upc.edu/files/arxius_site/file/open_acces/mandateng.pdf","http://bibliotecnica.upc.edu/sites/bibliotecnica.upc.edu/files/arxius_site/file/open_acces/mandateng.pdf")</f>
        <v>http://bibliotecnica.upc.edu/sites/bibliotecnica.upc.edu/files/arxius_site/file/open_acces/mandateng.pdf</v>
      </c>
      <c r="AB407" s="8" t="str">
        <f>HYPERLINK("http://upcommons.upc.edu/","http://upcommons.upc.edu/")</f>
        <v>http://upcommons.upc.edu/</v>
      </c>
      <c r="AF407" s="3" t="s">
        <v>244</v>
      </c>
      <c r="AG407" s="3" t="s">
        <v>333</v>
      </c>
      <c r="AH407" s="3" t="s">
        <v>180</v>
      </c>
      <c r="AI407" s="3" t="s">
        <v>377</v>
      </c>
      <c r="AJ407" s="3" t="s">
        <v>371</v>
      </c>
      <c r="AK407" s="3" t="s">
        <v>371</v>
      </c>
      <c r="AL407" s="3" t="s">
        <v>288</v>
      </c>
      <c r="AM407" s="3" t="s">
        <v>479</v>
      </c>
      <c r="AN407" s="3" t="s">
        <v>244</v>
      </c>
      <c r="AO407" s="3" t="s">
        <v>378</v>
      </c>
      <c r="AP407" s="3" t="s">
        <v>244</v>
      </c>
      <c r="AQ407" s="3" t="s">
        <v>394</v>
      </c>
      <c r="AR407" s="3" t="s">
        <v>288</v>
      </c>
      <c r="AS407" s="3" t="s">
        <v>288</v>
      </c>
      <c r="AT407" s="3" t="s">
        <v>244</v>
      </c>
      <c r="AU407" s="3" t="s">
        <v>244</v>
      </c>
      <c r="AV407" s="3" t="s">
        <v>288</v>
      </c>
      <c r="AW407" s="3" t="s">
        <v>195</v>
      </c>
      <c r="AX407" s="3" t="s">
        <v>244</v>
      </c>
      <c r="AY407" s="3" t="s">
        <v>247</v>
      </c>
    </row>
    <row r="408" spans="1:51" ht="15.75" customHeight="1">
      <c r="A408" s="3">
        <v>305</v>
      </c>
      <c r="B408" s="5" t="str">
        <f t="shared" si="0"/>
        <v>http://roarmap.eprints.org/305/</v>
      </c>
      <c r="C408" s="3">
        <v>5</v>
      </c>
      <c r="D408" s="3" t="s">
        <v>98</v>
      </c>
      <c r="E408" s="3">
        <v>283</v>
      </c>
      <c r="F408" s="3" t="s">
        <v>1683</v>
      </c>
      <c r="G408" s="3">
        <v>41988.923715277779</v>
      </c>
      <c r="H408" s="3">
        <v>42046.981689814813</v>
      </c>
      <c r="I408" s="3">
        <v>41988.923715277779</v>
      </c>
      <c r="J408" s="3" t="s">
        <v>103</v>
      </c>
      <c r="K408" s="3" t="s">
        <v>105</v>
      </c>
      <c r="L408" s="3" t="s">
        <v>1684</v>
      </c>
      <c r="M408" s="3" t="s">
        <v>374</v>
      </c>
      <c r="O408" s="3" t="s">
        <v>1685</v>
      </c>
      <c r="P408" s="3" t="s">
        <v>215</v>
      </c>
      <c r="Q408" t="str">
        <f t="shared" si="28"/>
        <v>http://roarmap.eprints.org/view/country/724.html</v>
      </c>
      <c r="R408" s="3">
        <v>724</v>
      </c>
      <c r="S408" s="6" t="s">
        <v>319</v>
      </c>
      <c r="T408" s="9">
        <v>724</v>
      </c>
      <c r="U408" s="7" t="s">
        <v>123</v>
      </c>
      <c r="V408" s="6" t="s">
        <v>76</v>
      </c>
      <c r="W408" s="3" t="s">
        <v>158</v>
      </c>
      <c r="X408" s="3" t="s">
        <v>160</v>
      </c>
      <c r="Y408" s="3" t="s">
        <v>1684</v>
      </c>
      <c r="Z408" s="8" t="str">
        <f>HYPERLINK("http://www.upv.es/","http://www.upv.es/")</f>
        <v>http://www.upv.es/</v>
      </c>
      <c r="AA408" s="8" t="str">
        <f>HYPERLINK("http://riunet.upv.es/bitstream/handle/10251/11342/Politica%20acceso%20abierto_UPV.pdf?sequence=1","http://riunet.upv.es/bitstream/handle/10251/11342/Politica%20acceso%20abierto_UPV.pdf?sequence=1")</f>
        <v>http://riunet.upv.es/bitstream/handle/10251/11342/Politica%20acceso%20abierto_UPV.pdf?sequence=1</v>
      </c>
      <c r="AB408" s="8" t="str">
        <f>HYPERLINK("http://riunet.upv.es/","http://riunet.upv.es/")</f>
        <v>http://riunet.upv.es/</v>
      </c>
      <c r="AC408" s="3">
        <v>40745</v>
      </c>
      <c r="AD408" s="3">
        <v>40745</v>
      </c>
      <c r="AE408" s="3">
        <v>40745</v>
      </c>
      <c r="AF408" s="3" t="s">
        <v>177</v>
      </c>
      <c r="AG408" s="3" t="s">
        <v>333</v>
      </c>
      <c r="AH408" s="3" t="s">
        <v>180</v>
      </c>
      <c r="AI408" s="3" t="s">
        <v>392</v>
      </c>
      <c r="AJ408" s="3" t="s">
        <v>182</v>
      </c>
      <c r="AK408" s="3" t="s">
        <v>183</v>
      </c>
      <c r="AL408" s="3" t="s">
        <v>288</v>
      </c>
      <c r="AM408" s="3" t="s">
        <v>479</v>
      </c>
      <c r="AN408" s="3" t="s">
        <v>288</v>
      </c>
      <c r="AO408" s="3" t="s">
        <v>378</v>
      </c>
      <c r="AP408" s="3" t="s">
        <v>244</v>
      </c>
      <c r="AQ408" s="3" t="s">
        <v>394</v>
      </c>
      <c r="AR408" s="3" t="s">
        <v>244</v>
      </c>
      <c r="AS408" s="3" t="s">
        <v>244</v>
      </c>
      <c r="AT408" s="3" t="s">
        <v>244</v>
      </c>
      <c r="AU408" s="3" t="s">
        <v>244</v>
      </c>
      <c r="AV408" s="3" t="s">
        <v>244</v>
      </c>
      <c r="AW408" s="3" t="s">
        <v>244</v>
      </c>
      <c r="AX408" s="3" t="s">
        <v>442</v>
      </c>
      <c r="AY408" s="3" t="s">
        <v>247</v>
      </c>
    </row>
    <row r="409" spans="1:51" ht="15.75" customHeight="1">
      <c r="A409" s="3">
        <v>308</v>
      </c>
      <c r="B409" s="5" t="str">
        <f t="shared" si="0"/>
        <v>http://roarmap.eprints.org/308/</v>
      </c>
      <c r="C409" s="3">
        <v>4</v>
      </c>
      <c r="D409" s="3" t="s">
        <v>98</v>
      </c>
      <c r="E409" s="3">
        <v>285</v>
      </c>
      <c r="F409" s="3" t="s">
        <v>1686</v>
      </c>
      <c r="G409" s="3">
        <v>41988.923726851855</v>
      </c>
      <c r="H409" s="3">
        <v>42046.98170138889</v>
      </c>
      <c r="I409" s="3">
        <v>41988.923726851855</v>
      </c>
      <c r="J409" s="3" t="s">
        <v>103</v>
      </c>
      <c r="K409" s="3" t="s">
        <v>105</v>
      </c>
      <c r="L409" s="3" t="s">
        <v>1687</v>
      </c>
      <c r="M409" s="3" t="s">
        <v>374</v>
      </c>
      <c r="P409" s="3" t="s">
        <v>215</v>
      </c>
      <c r="Q409" t="str">
        <f t="shared" si="28"/>
        <v>http://roarmap.eprints.org/view/country/724.html</v>
      </c>
      <c r="R409" s="3">
        <v>724</v>
      </c>
      <c r="S409" s="6" t="s">
        <v>319</v>
      </c>
      <c r="T409" s="9">
        <v>724</v>
      </c>
      <c r="U409" s="7" t="s">
        <v>123</v>
      </c>
      <c r="V409" s="6" t="s">
        <v>76</v>
      </c>
      <c r="W409" s="3" t="s">
        <v>158</v>
      </c>
      <c r="X409" s="3" t="s">
        <v>160</v>
      </c>
      <c r="Y409" s="3" t="s">
        <v>1687</v>
      </c>
      <c r="Z409" s="8" t="str">
        <f>HYPERLINK("http://www.upf.edu/","http://www.upf.edu/")</f>
        <v>http://www.upf.edu/</v>
      </c>
      <c r="AA409" s="8" t="str">
        <f>HYPERLINK("http://roarmap.eprints.org/428/1/politica_AO_UPF.pdf","http://roarmap.eprints.org/428/1/politica_AO_UPF.pdf")</f>
        <v>http://roarmap.eprints.org/428/1/politica_AO_UPF.pdf</v>
      </c>
      <c r="AB409" s="8" t="str">
        <f>HYPERLINK("http://repositori.upf.edu/","http://repositori.upf.edu/")</f>
        <v>http://repositori.upf.edu/</v>
      </c>
      <c r="AF409" s="3" t="s">
        <v>244</v>
      </c>
      <c r="AG409" s="3" t="s">
        <v>178</v>
      </c>
      <c r="AH409" s="3" t="s">
        <v>180</v>
      </c>
      <c r="AI409" s="3" t="s">
        <v>244</v>
      </c>
      <c r="AJ409" s="3" t="s">
        <v>244</v>
      </c>
      <c r="AK409" s="3" t="s">
        <v>244</v>
      </c>
      <c r="AL409" s="3" t="s">
        <v>244</v>
      </c>
      <c r="AM409" s="3" t="s">
        <v>178</v>
      </c>
      <c r="AN409" s="3" t="s">
        <v>185</v>
      </c>
      <c r="AO409" s="3" t="s">
        <v>247</v>
      </c>
      <c r="AP409" s="3" t="s">
        <v>244</v>
      </c>
      <c r="AQ409" s="3" t="s">
        <v>247</v>
      </c>
      <c r="AR409" s="3" t="s">
        <v>288</v>
      </c>
      <c r="AS409" s="3" t="s">
        <v>288</v>
      </c>
      <c r="AT409" s="3" t="s">
        <v>244</v>
      </c>
      <c r="AU409" s="3" t="s">
        <v>244</v>
      </c>
      <c r="AV409" s="3" t="s">
        <v>288</v>
      </c>
      <c r="AW409" s="3" t="s">
        <v>195</v>
      </c>
      <c r="AX409" s="3" t="s">
        <v>244</v>
      </c>
      <c r="AY409" s="3" t="s">
        <v>247</v>
      </c>
    </row>
    <row r="410" spans="1:51" ht="15.75" customHeight="1">
      <c r="A410" s="3">
        <v>307</v>
      </c>
      <c r="B410" s="5" t="str">
        <f t="shared" si="0"/>
        <v>http://roarmap.eprints.org/307/</v>
      </c>
      <c r="C410" s="3">
        <v>4</v>
      </c>
      <c r="D410" s="3" t="s">
        <v>98</v>
      </c>
      <c r="E410" s="3">
        <v>284</v>
      </c>
      <c r="F410" s="3" t="s">
        <v>1688</v>
      </c>
      <c r="G410" s="3">
        <v>41988.923726851855</v>
      </c>
      <c r="H410" s="3">
        <v>42046.981689814813</v>
      </c>
      <c r="I410" s="3">
        <v>41988.923726851855</v>
      </c>
      <c r="J410" s="3" t="s">
        <v>103</v>
      </c>
      <c r="K410" s="3" t="s">
        <v>105</v>
      </c>
      <c r="L410" s="3" t="s">
        <v>1689</v>
      </c>
      <c r="M410" s="3" t="s">
        <v>374</v>
      </c>
      <c r="P410" s="3" t="s">
        <v>215</v>
      </c>
      <c r="Q410" t="str">
        <f t="shared" si="28"/>
        <v>http://roarmap.eprints.org/view/country/724.html</v>
      </c>
      <c r="R410" s="3">
        <v>724</v>
      </c>
      <c r="S410" s="6" t="s">
        <v>319</v>
      </c>
      <c r="T410" s="9">
        <v>724</v>
      </c>
      <c r="U410" s="7" t="s">
        <v>123</v>
      </c>
      <c r="V410" s="6" t="s">
        <v>76</v>
      </c>
      <c r="W410" s="3" t="s">
        <v>158</v>
      </c>
      <c r="X410" s="3" t="s">
        <v>160</v>
      </c>
      <c r="Y410" s="3" t="s">
        <v>1689</v>
      </c>
      <c r="Z410" s="8" t="str">
        <f>HYPERLINK("http://www.ub.edu/web/ub/ca/","http://www.ub.edu/web/ub/ca/")</f>
        <v>http://www.ub.edu/web/ub/ca/</v>
      </c>
      <c r="AA410" s="8" t="str">
        <f>HYPERLINK("http://roarmap.eprints.org/475/1/2011_06_Politica_acces_obert_UB.pdf","http://roarmap.eprints.org/475/1/2011_06_Politica_acces_obert_UB.pdf")</f>
        <v>http://roarmap.eprints.org/475/1/2011_06_Politica_acces_obert_UB.pdf</v>
      </c>
      <c r="AB410" s="8" t="str">
        <f>HYPERLINK("http://diposit.ub.edu/dspace/","http://diposit.ub.edu/dspace/")</f>
        <v>http://diposit.ub.edu/dspace/</v>
      </c>
      <c r="AC410" s="3">
        <v>39496</v>
      </c>
      <c r="AF410" s="3" t="s">
        <v>244</v>
      </c>
      <c r="AG410" s="3" t="s">
        <v>333</v>
      </c>
      <c r="AH410" s="3" t="s">
        <v>180</v>
      </c>
      <c r="AI410" s="3" t="s">
        <v>244</v>
      </c>
      <c r="AJ410" s="3" t="s">
        <v>244</v>
      </c>
      <c r="AK410" s="3" t="s">
        <v>244</v>
      </c>
      <c r="AL410" s="3" t="s">
        <v>288</v>
      </c>
      <c r="AM410" s="3" t="s">
        <v>479</v>
      </c>
      <c r="AN410" s="3" t="s">
        <v>244</v>
      </c>
      <c r="AO410" s="3" t="s">
        <v>247</v>
      </c>
      <c r="AP410" s="3" t="s">
        <v>244</v>
      </c>
      <c r="AQ410" s="3" t="s">
        <v>247</v>
      </c>
      <c r="AR410" s="3" t="s">
        <v>288</v>
      </c>
      <c r="AS410" s="3" t="s">
        <v>288</v>
      </c>
      <c r="AT410" s="3" t="s">
        <v>244</v>
      </c>
      <c r="AU410" s="3" t="s">
        <v>244</v>
      </c>
      <c r="AV410" s="3" t="s">
        <v>288</v>
      </c>
      <c r="AW410" s="3" t="s">
        <v>371</v>
      </c>
      <c r="AX410" s="3" t="s">
        <v>244</v>
      </c>
      <c r="AY410" s="3" t="s">
        <v>247</v>
      </c>
    </row>
    <row r="411" spans="1:51" ht="15.75" customHeight="1">
      <c r="A411" s="3">
        <v>309</v>
      </c>
      <c r="B411" s="5" t="str">
        <f t="shared" si="0"/>
        <v>http://roarmap.eprints.org/309/</v>
      </c>
      <c r="C411" s="3">
        <v>4</v>
      </c>
      <c r="D411" s="3" t="s">
        <v>98</v>
      </c>
      <c r="E411" s="3">
        <v>286</v>
      </c>
      <c r="F411" s="3" t="s">
        <v>1690</v>
      </c>
      <c r="G411" s="3">
        <v>41988.923726851855</v>
      </c>
      <c r="H411" s="3">
        <v>42046.98170138889</v>
      </c>
      <c r="I411" s="3">
        <v>41988.923726851855</v>
      </c>
      <c r="J411" s="3" t="s">
        <v>103</v>
      </c>
      <c r="K411" s="3" t="s">
        <v>105</v>
      </c>
      <c r="L411" s="3" t="s">
        <v>1691</v>
      </c>
      <c r="M411" s="3" t="s">
        <v>374</v>
      </c>
      <c r="P411" s="3" t="s">
        <v>215</v>
      </c>
      <c r="Q411" t="str">
        <f t="shared" si="28"/>
        <v>http://roarmap.eprints.org/view/country/724.html</v>
      </c>
      <c r="R411" s="3">
        <v>724</v>
      </c>
      <c r="S411" s="6" t="s">
        <v>319</v>
      </c>
      <c r="T411" s="9">
        <v>724</v>
      </c>
      <c r="U411" s="7" t="s">
        <v>123</v>
      </c>
      <c r="V411" s="6" t="s">
        <v>76</v>
      </c>
      <c r="W411" s="3" t="s">
        <v>158</v>
      </c>
      <c r="X411" s="3" t="s">
        <v>160</v>
      </c>
      <c r="Y411" s="3" t="s">
        <v>1691</v>
      </c>
      <c r="Z411" s="8" t="str">
        <f>HYPERLINK("http://www.udg.edu/","http://www.udg.edu/")</f>
        <v>http://www.udg.edu/</v>
      </c>
      <c r="AA411" s="8" t="str">
        <f>HYPERLINK("http://dugi-doc.udg.edu/bitstream/handle/10256/3894/UdG-politica-acces-obert.pdf?sequence=1","http://dugi-doc.udg.edu/bitstream/handle/10256/3894/UdG-politica-acces-obert.pdf?sequence=1")</f>
        <v>http://dugi-doc.udg.edu/bitstream/handle/10256/3894/UdG-politica-acces-obert.pdf?sequence=1</v>
      </c>
      <c r="AB411" s="8" t="str">
        <f>HYPERLINK("http://dugi.udg.edu/","http://dugi.udg.edu/")</f>
        <v>http://dugi.udg.edu/</v>
      </c>
      <c r="AF411" s="3" t="s">
        <v>244</v>
      </c>
      <c r="AG411" s="3" t="s">
        <v>333</v>
      </c>
      <c r="AH411" s="3" t="s">
        <v>180</v>
      </c>
      <c r="AI411" s="3" t="s">
        <v>244</v>
      </c>
      <c r="AJ411" s="3" t="s">
        <v>244</v>
      </c>
      <c r="AK411" s="3" t="s">
        <v>244</v>
      </c>
      <c r="AL411" s="3" t="s">
        <v>288</v>
      </c>
      <c r="AM411" s="3" t="s">
        <v>479</v>
      </c>
      <c r="AN411" s="3" t="s">
        <v>244</v>
      </c>
      <c r="AO411" s="3" t="s">
        <v>247</v>
      </c>
      <c r="AP411" s="3" t="s">
        <v>244</v>
      </c>
      <c r="AQ411" s="3" t="s">
        <v>247</v>
      </c>
      <c r="AR411" s="3" t="s">
        <v>288</v>
      </c>
      <c r="AS411" s="3" t="s">
        <v>288</v>
      </c>
      <c r="AT411" s="3" t="s">
        <v>244</v>
      </c>
      <c r="AU411" s="3" t="s">
        <v>244</v>
      </c>
      <c r="AV411" s="3" t="s">
        <v>288</v>
      </c>
      <c r="AW411" s="3" t="s">
        <v>195</v>
      </c>
      <c r="AX411" s="3" t="s">
        <v>244</v>
      </c>
      <c r="AY411" s="3" t="s">
        <v>247</v>
      </c>
    </row>
    <row r="412" spans="1:51" ht="15.75" customHeight="1">
      <c r="A412" s="3">
        <v>297</v>
      </c>
      <c r="B412" s="5" t="str">
        <f t="shared" si="0"/>
        <v>http://roarmap.eprints.org/297/</v>
      </c>
      <c r="C412" s="3">
        <v>3</v>
      </c>
      <c r="D412" s="3" t="s">
        <v>98</v>
      </c>
      <c r="E412" s="3">
        <v>1</v>
      </c>
      <c r="F412" s="3" t="s">
        <v>1692</v>
      </c>
      <c r="G412" s="3">
        <v>41988.923680555556</v>
      </c>
      <c r="H412" s="3">
        <v>41988.923680555556</v>
      </c>
      <c r="I412" s="3">
        <v>41988.923680555556</v>
      </c>
      <c r="J412" s="3" t="s">
        <v>103</v>
      </c>
      <c r="K412" s="3" t="s">
        <v>105</v>
      </c>
      <c r="L412" s="3" t="s">
        <v>1693</v>
      </c>
      <c r="M412" s="3" t="s">
        <v>374</v>
      </c>
      <c r="P412" s="3" t="s">
        <v>595</v>
      </c>
      <c r="Q412" t="str">
        <f t="shared" si="28"/>
        <v>http://roarmap.eprints.org/view/country/724.html</v>
      </c>
      <c r="R412" s="3">
        <v>724</v>
      </c>
      <c r="S412" s="6" t="s">
        <v>319</v>
      </c>
      <c r="T412" s="9">
        <v>724</v>
      </c>
      <c r="U412" s="7" t="s">
        <v>123</v>
      </c>
      <c r="V412" s="6" t="s">
        <v>76</v>
      </c>
      <c r="W412" s="3" t="s">
        <v>158</v>
      </c>
      <c r="X412" s="3" t="s">
        <v>160</v>
      </c>
      <c r="Y412" s="3" t="s">
        <v>1693</v>
      </c>
      <c r="Z412" s="8" t="str">
        <f>HYPERLINK("http://www.udl.es","http://www.udl.es")</f>
        <v>http://www.udl.es</v>
      </c>
      <c r="AA412" s="8" t="str">
        <f>HYPERLINK("http://repositori.udl.cat/handle/10459.1/45590","http://repositori.udl.cat/handle/10459.1/45590")</f>
        <v>http://repositori.udl.cat/handle/10459.1/45590</v>
      </c>
      <c r="AB412" s="8" t="str">
        <f>HYPERLINK("http://repositori.udl.cat","http://repositori.udl.cat")</f>
        <v>http://repositori.udl.cat</v>
      </c>
      <c r="AD412" s="3">
        <v>41059</v>
      </c>
      <c r="AF412" s="3" t="s">
        <v>177</v>
      </c>
      <c r="AG412" s="3" t="s">
        <v>333</v>
      </c>
      <c r="AH412" s="3" t="s">
        <v>180</v>
      </c>
      <c r="AI412" s="3" t="s">
        <v>392</v>
      </c>
      <c r="AJ412" s="3" t="s">
        <v>182</v>
      </c>
      <c r="AK412" s="3" t="s">
        <v>371</v>
      </c>
      <c r="AL412" s="3" t="s">
        <v>288</v>
      </c>
      <c r="AM412" s="3" t="s">
        <v>247</v>
      </c>
      <c r="AN412" s="3" t="s">
        <v>244</v>
      </c>
      <c r="AO412" s="3" t="s">
        <v>247</v>
      </c>
      <c r="AP412" s="3" t="s">
        <v>244</v>
      </c>
      <c r="AQ412" s="3" t="s">
        <v>247</v>
      </c>
      <c r="AR412" s="3" t="s">
        <v>288</v>
      </c>
      <c r="AS412" s="3" t="s">
        <v>244</v>
      </c>
      <c r="AT412" s="3" t="s">
        <v>395</v>
      </c>
      <c r="AU412" s="3" t="s">
        <v>395</v>
      </c>
      <c r="AV412" s="3" t="s">
        <v>288</v>
      </c>
      <c r="AW412" s="3" t="s">
        <v>244</v>
      </c>
      <c r="AX412" s="3" t="s">
        <v>244</v>
      </c>
      <c r="AY412" s="3" t="s">
        <v>247</v>
      </c>
    </row>
    <row r="413" spans="1:51" ht="15.75" customHeight="1">
      <c r="A413" s="3">
        <v>311</v>
      </c>
      <c r="B413" s="5" t="str">
        <f t="shared" si="0"/>
        <v>http://roarmap.eprints.org/311/</v>
      </c>
      <c r="C413" s="3">
        <v>3</v>
      </c>
      <c r="D413" s="3" t="s">
        <v>98</v>
      </c>
      <c r="E413" s="3">
        <v>1</v>
      </c>
      <c r="F413" s="3" t="s">
        <v>1694</v>
      </c>
      <c r="G413" s="3">
        <v>41988.923738425925</v>
      </c>
      <c r="H413" s="3">
        <v>41988.923738425925</v>
      </c>
      <c r="I413" s="3">
        <v>41988.923738425925</v>
      </c>
      <c r="J413" s="3" t="s">
        <v>103</v>
      </c>
      <c r="K413" s="3" t="s">
        <v>105</v>
      </c>
      <c r="L413" s="3" t="s">
        <v>1695</v>
      </c>
      <c r="M413" s="3" t="s">
        <v>352</v>
      </c>
      <c r="N413" s="3" t="s">
        <v>1696</v>
      </c>
      <c r="P413" s="3" t="s">
        <v>595</v>
      </c>
      <c r="Q413" t="str">
        <f t="shared" si="28"/>
        <v>http://roarmap.eprints.org/view/country/724.html</v>
      </c>
      <c r="R413" s="3">
        <v>724</v>
      </c>
      <c r="S413" s="6" t="s">
        <v>319</v>
      </c>
      <c r="T413" s="9">
        <v>724</v>
      </c>
      <c r="U413" s="7" t="s">
        <v>123</v>
      </c>
      <c r="V413" s="6" t="s">
        <v>76</v>
      </c>
      <c r="W413" s="3" t="s">
        <v>158</v>
      </c>
      <c r="X413" s="3" t="s">
        <v>160</v>
      </c>
      <c r="Y413" s="3" t="s">
        <v>1695</v>
      </c>
      <c r="Z413" s="8" t="str">
        <f>HYPERLINK("http://www.uvic.es","http://www.uvic.es")</f>
        <v>http://www.uvic.es</v>
      </c>
      <c r="AA413" s="8" t="str">
        <f>HYPERLINK("http://repositori.uvic.cat/handle/10854/1934","http://repositori.uvic.cat/handle/10854/1934")</f>
        <v>http://repositori.uvic.cat/handle/10854/1934</v>
      </c>
      <c r="AB413" s="8" t="str">
        <f>HYPERLINK("http://repositori.uvic.cat","http://repositori.uvic.cat")</f>
        <v>http://repositori.uvic.cat</v>
      </c>
      <c r="AD413" s="3">
        <v>41198</v>
      </c>
      <c r="AF413" s="3" t="s">
        <v>177</v>
      </c>
      <c r="AG413" s="3" t="s">
        <v>333</v>
      </c>
      <c r="AH413" s="3" t="s">
        <v>180</v>
      </c>
      <c r="AI413" s="3" t="s">
        <v>187</v>
      </c>
      <c r="AJ413" s="3" t="s">
        <v>182</v>
      </c>
      <c r="AK413" s="3" t="s">
        <v>244</v>
      </c>
      <c r="AL413" s="3" t="s">
        <v>288</v>
      </c>
      <c r="AM413" s="3" t="s">
        <v>247</v>
      </c>
      <c r="AN413" s="3" t="s">
        <v>244</v>
      </c>
      <c r="AO413" s="3" t="s">
        <v>247</v>
      </c>
      <c r="AP413" s="3" t="s">
        <v>244</v>
      </c>
      <c r="AQ413" s="3" t="s">
        <v>247</v>
      </c>
      <c r="AR413" s="3" t="s">
        <v>288</v>
      </c>
      <c r="AS413" s="3" t="s">
        <v>288</v>
      </c>
      <c r="AT413" s="3" t="s">
        <v>379</v>
      </c>
      <c r="AU413" s="3" t="s">
        <v>379</v>
      </c>
      <c r="AV413" s="3" t="s">
        <v>244</v>
      </c>
      <c r="AW413" s="3" t="s">
        <v>195</v>
      </c>
      <c r="AX413" s="3" t="s">
        <v>244</v>
      </c>
      <c r="AY413" s="3" t="s">
        <v>247</v>
      </c>
    </row>
    <row r="414" spans="1:51" ht="15.75" customHeight="1">
      <c r="A414" s="3">
        <v>312</v>
      </c>
      <c r="B414" s="5" t="str">
        <f t="shared" si="0"/>
        <v>http://roarmap.eprints.org/312/</v>
      </c>
      <c r="C414" s="3">
        <v>7</v>
      </c>
      <c r="D414" s="3" t="s">
        <v>98</v>
      </c>
      <c r="E414" s="3">
        <v>1</v>
      </c>
      <c r="F414" s="3" t="s">
        <v>1697</v>
      </c>
      <c r="G414" s="3">
        <v>41988.923738425925</v>
      </c>
      <c r="H414" s="3">
        <v>41988.923738425925</v>
      </c>
      <c r="I414" s="3">
        <v>41988.923738425925</v>
      </c>
      <c r="J414" s="3" t="s">
        <v>103</v>
      </c>
      <c r="K414" s="3" t="s">
        <v>105</v>
      </c>
      <c r="L414" s="3" t="s">
        <v>1698</v>
      </c>
      <c r="M414" s="3" t="s">
        <v>374</v>
      </c>
      <c r="N414" s="3" t="s">
        <v>1699</v>
      </c>
      <c r="O414" s="3" t="s">
        <v>1700</v>
      </c>
      <c r="P414" s="3" t="s">
        <v>215</v>
      </c>
      <c r="Q414" t="str">
        <f t="shared" si="28"/>
        <v>http://roarmap.eprints.org/view/country/752.html</v>
      </c>
      <c r="R414" s="3">
        <v>752</v>
      </c>
      <c r="S414" s="6" t="s">
        <v>326</v>
      </c>
      <c r="T414" s="9">
        <v>752</v>
      </c>
      <c r="U414" s="7" t="s">
        <v>123</v>
      </c>
      <c r="V414" s="6" t="s">
        <v>125</v>
      </c>
      <c r="W414" s="3" t="s">
        <v>158</v>
      </c>
      <c r="X414" s="3" t="s">
        <v>160</v>
      </c>
      <c r="Y414" s="3" t="s">
        <v>1698</v>
      </c>
      <c r="Z414" s="8" t="str">
        <f>HYPERLINK("http://www.bth.se/eng","http://www.bth.se/eng")</f>
        <v>http://www.bth.se/eng</v>
      </c>
      <c r="AA414" s="8" t="str">
        <f>HYPERLINK("http://www.bth.se/fou/forskinfo.nsf/textpages/bth-oa-policy","http://www.bth.se/fou/forskinfo.nsf/textpages/bth-oa-policy")</f>
        <v>http://www.bth.se/fou/forskinfo.nsf/textpages/bth-oa-policy</v>
      </c>
      <c r="AB414" s="8" t="str">
        <f>HYPERLINK("http://www.bth.se/fou","http://www.bth.se/fou")</f>
        <v>http://www.bth.se/fou</v>
      </c>
      <c r="AC414" s="3">
        <v>39244</v>
      </c>
      <c r="AD414" s="3">
        <v>39244</v>
      </c>
      <c r="AF414" s="3" t="s">
        <v>177</v>
      </c>
      <c r="AG414" s="3" t="s">
        <v>178</v>
      </c>
      <c r="AH414" s="3" t="s">
        <v>180</v>
      </c>
      <c r="AI414" s="3" t="s">
        <v>244</v>
      </c>
      <c r="AJ414" s="3" t="s">
        <v>182</v>
      </c>
      <c r="AK414" s="3" t="s">
        <v>393</v>
      </c>
      <c r="AL414" s="3" t="s">
        <v>189</v>
      </c>
      <c r="AM414" s="3" t="s">
        <v>178</v>
      </c>
      <c r="AN414" s="3" t="s">
        <v>189</v>
      </c>
      <c r="AO414" s="3" t="s">
        <v>247</v>
      </c>
      <c r="AP414" s="3" t="s">
        <v>185</v>
      </c>
      <c r="AQ414" s="3" t="s">
        <v>394</v>
      </c>
      <c r="AR414" s="3" t="s">
        <v>288</v>
      </c>
      <c r="AS414" s="3" t="s">
        <v>288</v>
      </c>
      <c r="AT414" s="3" t="s">
        <v>244</v>
      </c>
      <c r="AU414" s="3" t="s">
        <v>244</v>
      </c>
      <c r="AV414" s="3" t="s">
        <v>288</v>
      </c>
      <c r="AW414" s="3" t="s">
        <v>244</v>
      </c>
      <c r="AX414" s="3" t="s">
        <v>442</v>
      </c>
      <c r="AY414" s="3" t="s">
        <v>247</v>
      </c>
    </row>
    <row r="415" spans="1:51" ht="15.75" customHeight="1">
      <c r="A415" s="3">
        <v>313</v>
      </c>
      <c r="B415" s="5" t="str">
        <f t="shared" si="0"/>
        <v>http://roarmap.eprints.org/313/</v>
      </c>
      <c r="C415" s="3">
        <v>4</v>
      </c>
      <c r="D415" s="3" t="s">
        <v>98</v>
      </c>
      <c r="E415" s="3">
        <v>1</v>
      </c>
      <c r="F415" s="3" t="s">
        <v>1701</v>
      </c>
      <c r="G415" s="3">
        <v>41988.923738425925</v>
      </c>
      <c r="H415" s="3">
        <v>42026.541805555556</v>
      </c>
      <c r="I415" s="3">
        <v>41988.923738425925</v>
      </c>
      <c r="J415" s="3" t="s">
        <v>103</v>
      </c>
      <c r="K415" s="3" t="s">
        <v>105</v>
      </c>
      <c r="L415" s="3" t="s">
        <v>1702</v>
      </c>
      <c r="M415" s="3" t="s">
        <v>374</v>
      </c>
      <c r="O415" s="3" t="s">
        <v>1703</v>
      </c>
      <c r="P415" s="3" t="s">
        <v>215</v>
      </c>
      <c r="Q415" t="str">
        <f t="shared" si="28"/>
        <v>http://roarmap.eprints.org/view/country/752.html</v>
      </c>
      <c r="R415" s="3">
        <v>752</v>
      </c>
      <c r="S415" s="6" t="s">
        <v>326</v>
      </c>
      <c r="T415" s="9">
        <v>752</v>
      </c>
      <c r="U415" s="7" t="s">
        <v>123</v>
      </c>
      <c r="V415" s="6" t="s">
        <v>125</v>
      </c>
      <c r="W415" s="3" t="s">
        <v>158</v>
      </c>
      <c r="X415" s="3" t="s">
        <v>160</v>
      </c>
      <c r="Y415" s="3" t="s">
        <v>1702</v>
      </c>
      <c r="Z415" s="8" t="str">
        <f>HYPERLINK("http://www.chalmers.se/en/Pages/default.aspx","http://www.chalmers.se/en/Pages/default.aspx")</f>
        <v>http://www.chalmers.se/en/Pages/default.aspx</v>
      </c>
      <c r="AA415" s="8" t="str">
        <f>HYPERLINK("http://www.chalmers.se/en/about-chalmers/policies-and-rules/Pages/open-access-policy.aspx","http://www.chalmers.se/en/about-chalmers/policies-and-rules/Pages/open-access-policy.aspx")</f>
        <v>http://www.chalmers.se/en/about-chalmers/policies-and-rules/Pages/open-access-policy.aspx</v>
      </c>
      <c r="AB415" s="8" t="str">
        <f>HYPERLINK("http://publications.lib.chalmers.se/","http://publications.lib.chalmers.se/")</f>
        <v>http://publications.lib.chalmers.se/</v>
      </c>
      <c r="AC415" s="3">
        <v>40179</v>
      </c>
      <c r="AD415" s="3">
        <v>40179</v>
      </c>
      <c r="AF415" s="3" t="s">
        <v>177</v>
      </c>
      <c r="AG415" s="3" t="s">
        <v>178</v>
      </c>
      <c r="AH415" s="3" t="s">
        <v>180</v>
      </c>
      <c r="AI415" s="3" t="s">
        <v>377</v>
      </c>
      <c r="AJ415" s="3" t="s">
        <v>182</v>
      </c>
      <c r="AK415" s="3" t="s">
        <v>183</v>
      </c>
      <c r="AL415" s="3" t="s">
        <v>189</v>
      </c>
      <c r="AM415" s="3" t="s">
        <v>178</v>
      </c>
      <c r="AN415" s="3" t="s">
        <v>185</v>
      </c>
      <c r="AO415" s="3" t="s">
        <v>378</v>
      </c>
      <c r="AP415" s="3" t="s">
        <v>244</v>
      </c>
      <c r="AQ415" s="3" t="s">
        <v>394</v>
      </c>
      <c r="AR415" s="3" t="s">
        <v>288</v>
      </c>
      <c r="AS415" s="3" t="s">
        <v>185</v>
      </c>
      <c r="AT415" s="3" t="s">
        <v>395</v>
      </c>
      <c r="AU415" s="3" t="s">
        <v>395</v>
      </c>
      <c r="AV415" s="3" t="s">
        <v>288</v>
      </c>
      <c r="AW415" s="3" t="s">
        <v>520</v>
      </c>
      <c r="AX415" s="3" t="s">
        <v>244</v>
      </c>
      <c r="AY415" s="3" t="s">
        <v>247</v>
      </c>
    </row>
    <row r="416" spans="1:51" ht="15.75" customHeight="1">
      <c r="A416" s="3">
        <v>314</v>
      </c>
      <c r="B416" s="5" t="str">
        <f t="shared" si="0"/>
        <v>http://roarmap.eprints.org/314/</v>
      </c>
      <c r="C416" s="3">
        <v>4</v>
      </c>
      <c r="D416" s="3" t="s">
        <v>98</v>
      </c>
      <c r="E416" s="3">
        <v>287</v>
      </c>
      <c r="F416" s="3" t="s">
        <v>1704</v>
      </c>
      <c r="G416" s="3">
        <v>41988.923738425925</v>
      </c>
      <c r="H416" s="3">
        <v>42046.98170138889</v>
      </c>
      <c r="I416" s="3">
        <v>41988.923738425925</v>
      </c>
      <c r="J416" s="3" t="s">
        <v>103</v>
      </c>
      <c r="K416" s="3" t="s">
        <v>105</v>
      </c>
      <c r="L416" s="3" t="s">
        <v>1705</v>
      </c>
      <c r="M416" s="3" t="s">
        <v>374</v>
      </c>
      <c r="P416" s="3" t="s">
        <v>215</v>
      </c>
      <c r="Q416" t="str">
        <f t="shared" si="28"/>
        <v>http://roarmap.eprints.org/view/country/752.html</v>
      </c>
      <c r="R416" s="3">
        <v>752</v>
      </c>
      <c r="S416" s="6" t="s">
        <v>326</v>
      </c>
      <c r="T416" s="9">
        <v>752</v>
      </c>
      <c r="U416" s="7" t="s">
        <v>123</v>
      </c>
      <c r="V416" s="6" t="s">
        <v>125</v>
      </c>
      <c r="W416" s="3" t="s">
        <v>158</v>
      </c>
      <c r="X416" s="3" t="s">
        <v>160</v>
      </c>
      <c r="Y416" s="3" t="s">
        <v>1705</v>
      </c>
      <c r="Z416" s="8" t="str">
        <f>HYPERLINK("http://ki.se/start","http://ki.se/start")</f>
        <v>http://ki.se/start</v>
      </c>
      <c r="AA416" s="8" t="str">
        <f>HYPERLINK("http://roarmap.eprints.org/467/1/OpenAccessPolicy_KI.pdf","http://roarmap.eprints.org/467/1/OpenAccessPolicy_KI.pdf")</f>
        <v>http://roarmap.eprints.org/467/1/OpenAccessPolicy_KI.pdf</v>
      </c>
      <c r="AB416" s="8" t="str">
        <f>HYPERLINK("http://publications.ki.se/xmlui/","http://publications.ki.se/xmlui/")</f>
        <v>http://publications.ki.se/xmlui/</v>
      </c>
      <c r="AF416" s="3" t="s">
        <v>244</v>
      </c>
      <c r="AG416" s="3" t="s">
        <v>333</v>
      </c>
      <c r="AH416" s="3" t="s">
        <v>180</v>
      </c>
      <c r="AI416" s="3" t="s">
        <v>244</v>
      </c>
      <c r="AJ416" s="3" t="s">
        <v>244</v>
      </c>
      <c r="AK416" s="3" t="s">
        <v>244</v>
      </c>
      <c r="AL416" s="3" t="s">
        <v>288</v>
      </c>
      <c r="AM416" s="3" t="s">
        <v>479</v>
      </c>
      <c r="AN416" s="3" t="s">
        <v>244</v>
      </c>
      <c r="AO416" s="3" t="s">
        <v>247</v>
      </c>
      <c r="AP416" s="3" t="s">
        <v>244</v>
      </c>
      <c r="AQ416" s="3" t="s">
        <v>247</v>
      </c>
      <c r="AR416" s="3" t="s">
        <v>288</v>
      </c>
      <c r="AS416" s="3" t="s">
        <v>288</v>
      </c>
      <c r="AT416" s="3" t="s">
        <v>244</v>
      </c>
      <c r="AU416" s="3" t="s">
        <v>244</v>
      </c>
      <c r="AV416" s="3" t="s">
        <v>288</v>
      </c>
      <c r="AW416" s="3" t="s">
        <v>195</v>
      </c>
      <c r="AX416" s="3" t="s">
        <v>244</v>
      </c>
      <c r="AY416" s="3" t="s">
        <v>247</v>
      </c>
    </row>
    <row r="417" spans="1:52" ht="15.75" customHeight="1">
      <c r="A417" s="3">
        <v>315</v>
      </c>
      <c r="B417" s="5" t="str">
        <f t="shared" si="0"/>
        <v>http://roarmap.eprints.org/315/</v>
      </c>
      <c r="C417" s="3">
        <v>3</v>
      </c>
      <c r="D417" s="3" t="s">
        <v>98</v>
      </c>
      <c r="E417" s="3">
        <v>1</v>
      </c>
      <c r="F417" s="3" t="s">
        <v>1706</v>
      </c>
      <c r="G417" s="3">
        <v>41988.923738425925</v>
      </c>
      <c r="H417" s="3">
        <v>41988.923738425925</v>
      </c>
      <c r="I417" s="3">
        <v>41988.923738425925</v>
      </c>
      <c r="J417" s="3" t="s">
        <v>103</v>
      </c>
      <c r="K417" s="3" t="s">
        <v>105</v>
      </c>
      <c r="L417" s="3" t="s">
        <v>1707</v>
      </c>
      <c r="M417" s="3" t="s">
        <v>374</v>
      </c>
      <c r="O417" s="3" t="s">
        <v>1708</v>
      </c>
      <c r="P417" s="3" t="s">
        <v>215</v>
      </c>
      <c r="Q417" t="str">
        <f t="shared" si="28"/>
        <v>http://roarmap.eprints.org/view/country/752.html</v>
      </c>
      <c r="R417" s="3">
        <v>752</v>
      </c>
      <c r="S417" s="6" t="s">
        <v>326</v>
      </c>
      <c r="T417" s="9">
        <v>752</v>
      </c>
      <c r="U417" s="7" t="s">
        <v>123</v>
      </c>
      <c r="V417" s="6" t="s">
        <v>125</v>
      </c>
      <c r="W417" s="3" t="s">
        <v>158</v>
      </c>
      <c r="X417" s="3" t="s">
        <v>160</v>
      </c>
      <c r="Y417" s="3" t="s">
        <v>1707</v>
      </c>
      <c r="Z417" s="8" t="str">
        <f>HYPERLINK("http://www.lub.lu.se/","http://www.lub.lu.se/")</f>
        <v>http://www.lub.lu.se/</v>
      </c>
      <c r="AA417" s="8" t="str">
        <f>HYPERLINK("http://www.med.lu.se/intramed/nyhetsarkiv/131203_open_access","http://www.med.lu.se/intramed/nyhetsarkiv/131203_open_access")</f>
        <v>http://www.med.lu.se/intramed/nyhetsarkiv/131203_open_access</v>
      </c>
      <c r="AB417" s="8" t="str">
        <f>HYPERLINK("http://www.lunduniversity.lu.se/research-and-innovation/find-publications","http://www.lunduniversity.lu.se/research-and-innovation/find-publications")</f>
        <v>http://www.lunduniversity.lu.se/research-and-innovation/find-publications</v>
      </c>
      <c r="AC417" s="3">
        <v>41568</v>
      </c>
      <c r="AF417" s="3" t="s">
        <v>177</v>
      </c>
      <c r="AG417" s="3" t="s">
        <v>333</v>
      </c>
      <c r="AH417" s="3" t="s">
        <v>180</v>
      </c>
      <c r="AI417" s="3" t="s">
        <v>244</v>
      </c>
      <c r="AJ417" s="3" t="s">
        <v>182</v>
      </c>
      <c r="AK417" s="3" t="s">
        <v>244</v>
      </c>
      <c r="AL417" s="3" t="s">
        <v>288</v>
      </c>
      <c r="AM417" s="3" t="s">
        <v>178</v>
      </c>
      <c r="AN417" s="3" t="s">
        <v>185</v>
      </c>
      <c r="AO417" s="3" t="s">
        <v>247</v>
      </c>
      <c r="AP417" s="3" t="s">
        <v>244</v>
      </c>
      <c r="AQ417" s="3" t="s">
        <v>247</v>
      </c>
      <c r="AR417" s="3" t="s">
        <v>288</v>
      </c>
      <c r="AS417" s="3" t="s">
        <v>288</v>
      </c>
      <c r="AT417" s="3" t="s">
        <v>244</v>
      </c>
      <c r="AU417" s="3" t="s">
        <v>244</v>
      </c>
      <c r="AV417" s="3" t="s">
        <v>288</v>
      </c>
      <c r="AW417" s="3" t="s">
        <v>371</v>
      </c>
      <c r="AX417" s="3" t="s">
        <v>244</v>
      </c>
      <c r="AY417" s="3" t="s">
        <v>247</v>
      </c>
    </row>
    <row r="418" spans="1:52" ht="15.75" customHeight="1">
      <c r="A418" s="3">
        <v>316</v>
      </c>
      <c r="B418" s="5" t="str">
        <f t="shared" si="0"/>
        <v>http://roarmap.eprints.org/316/</v>
      </c>
      <c r="C418" s="3">
        <v>3</v>
      </c>
      <c r="D418" s="3" t="s">
        <v>98</v>
      </c>
      <c r="E418" s="3">
        <v>1</v>
      </c>
      <c r="F418" s="3" t="s">
        <v>1709</v>
      </c>
      <c r="G418" s="3">
        <v>41988.923738425925</v>
      </c>
      <c r="H418" s="3">
        <v>41988.923738425925</v>
      </c>
      <c r="I418" s="3">
        <v>41988.923738425925</v>
      </c>
      <c r="J418" s="3" t="s">
        <v>103</v>
      </c>
      <c r="K418" s="3" t="s">
        <v>105</v>
      </c>
      <c r="L418" s="3" t="s">
        <v>1710</v>
      </c>
      <c r="M418" s="3" t="s">
        <v>374</v>
      </c>
      <c r="O418" s="3" t="s">
        <v>1711</v>
      </c>
      <c r="P418" s="3" t="s">
        <v>215</v>
      </c>
      <c r="Q418" t="str">
        <f t="shared" si="28"/>
        <v>http://roarmap.eprints.org/view/country/752.html</v>
      </c>
      <c r="R418" s="3">
        <v>752</v>
      </c>
      <c r="S418" s="6" t="s">
        <v>326</v>
      </c>
      <c r="T418" s="9">
        <v>752</v>
      </c>
      <c r="U418" s="7" t="s">
        <v>123</v>
      </c>
      <c r="V418" s="6" t="s">
        <v>125</v>
      </c>
      <c r="W418" s="3" t="s">
        <v>158</v>
      </c>
      <c r="X418" s="3" t="s">
        <v>160</v>
      </c>
      <c r="Y418" s="3" t="s">
        <v>1710</v>
      </c>
      <c r="Z418" s="8" t="str">
        <f>HYPERLINK("http://www.mah.se/english","http://www.mah.se/english")</f>
        <v>http://www.mah.se/english</v>
      </c>
      <c r="AA418" s="8" t="str">
        <f>HYPERLINK("http://www.mah.se/bit/press/openaccess_eng","http://www.mah.se/bit/press/openaccess_eng")</f>
        <v>http://www.mah.se/bit/press/openaccess_eng</v>
      </c>
      <c r="AB418" s="8" t="str">
        <f>HYPERLINK("http://dspace.mah.se/","http://dspace.mah.se/")</f>
        <v>http://dspace.mah.se/</v>
      </c>
      <c r="AD418" s="3">
        <v>40603</v>
      </c>
      <c r="AF418" s="3" t="s">
        <v>244</v>
      </c>
      <c r="AG418" s="3" t="s">
        <v>178</v>
      </c>
      <c r="AH418" s="3" t="s">
        <v>180</v>
      </c>
      <c r="AI418" s="3" t="s">
        <v>244</v>
      </c>
      <c r="AJ418" s="3" t="s">
        <v>182</v>
      </c>
      <c r="AK418" s="3" t="s">
        <v>244</v>
      </c>
      <c r="AL418" s="3" t="s">
        <v>189</v>
      </c>
      <c r="AM418" s="3" t="s">
        <v>178</v>
      </c>
      <c r="AN418" s="3" t="s">
        <v>185</v>
      </c>
      <c r="AO418" s="3" t="s">
        <v>247</v>
      </c>
      <c r="AP418" s="3" t="s">
        <v>244</v>
      </c>
      <c r="AQ418" s="3" t="s">
        <v>394</v>
      </c>
      <c r="AR418" s="3" t="s">
        <v>288</v>
      </c>
      <c r="AS418" s="3" t="s">
        <v>288</v>
      </c>
      <c r="AT418" s="3" t="s">
        <v>244</v>
      </c>
      <c r="AU418" s="3" t="s">
        <v>244</v>
      </c>
      <c r="AV418" s="3" t="s">
        <v>288</v>
      </c>
      <c r="AW418" s="3" t="s">
        <v>371</v>
      </c>
      <c r="AX418" s="3" t="s">
        <v>244</v>
      </c>
      <c r="AY418" s="3" t="s">
        <v>247</v>
      </c>
    </row>
    <row r="419" spans="1:52" ht="15.75" customHeight="1">
      <c r="A419" s="3">
        <v>317</v>
      </c>
      <c r="B419" s="5" t="str">
        <f t="shared" si="0"/>
        <v>http://roarmap.eprints.org/317/</v>
      </c>
      <c r="C419" s="3">
        <v>4</v>
      </c>
      <c r="D419" s="3" t="s">
        <v>98</v>
      </c>
      <c r="E419" s="3">
        <v>1</v>
      </c>
      <c r="F419" s="3" t="s">
        <v>1712</v>
      </c>
      <c r="G419" s="3">
        <v>41988.923738425925</v>
      </c>
      <c r="H419" s="3">
        <v>42032.744664351849</v>
      </c>
      <c r="I419" s="3">
        <v>41988.923738425925</v>
      </c>
      <c r="J419" s="3" t="s">
        <v>103</v>
      </c>
      <c r="K419" s="3" t="s">
        <v>105</v>
      </c>
      <c r="L419" s="3" t="s">
        <v>1713</v>
      </c>
      <c r="M419" s="3" t="s">
        <v>374</v>
      </c>
      <c r="O419" s="3" t="s">
        <v>1714</v>
      </c>
      <c r="P419" s="3" t="s">
        <v>215</v>
      </c>
      <c r="Q419" t="str">
        <f t="shared" si="28"/>
        <v>http://roarmap.eprints.org/view/country/752.html</v>
      </c>
      <c r="R419" s="3">
        <v>752</v>
      </c>
      <c r="S419" s="6" t="s">
        <v>326</v>
      </c>
      <c r="T419" s="9">
        <v>752</v>
      </c>
      <c r="U419" s="7" t="s">
        <v>123</v>
      </c>
      <c r="V419" s="6" t="s">
        <v>125</v>
      </c>
      <c r="W419" s="3" t="s">
        <v>158</v>
      </c>
      <c r="X419" s="3" t="s">
        <v>160</v>
      </c>
      <c r="Y419" s="3" t="s">
        <v>1713</v>
      </c>
      <c r="Z419" s="8" t="str">
        <f>HYPERLINK("http://www.su.se/","http://www.su.se/")</f>
        <v>http://www.su.se/</v>
      </c>
      <c r="AA419" s="8" t="str">
        <f>HYPERLINK("http://www.sub.su.se/home/publish/open-access.aspx","http://www.sub.su.se/home/publish/open-access.aspx")</f>
        <v>http://www.sub.su.se/home/publish/open-access.aspx</v>
      </c>
      <c r="AB419" s="8" t="str">
        <f>HYPERLINK("http://su.diva-portal.org/smash/search.jsf","http://su.diva-portal.org/smash/search.jsf")</f>
        <v>http://su.diva-portal.org/smash/search.jsf</v>
      </c>
      <c r="AC419" s="3">
        <v>38897</v>
      </c>
      <c r="AF419" s="3" t="s">
        <v>177</v>
      </c>
      <c r="AG419" s="3" t="s">
        <v>178</v>
      </c>
      <c r="AH419" s="3" t="s">
        <v>180</v>
      </c>
      <c r="AI419" s="3" t="s">
        <v>244</v>
      </c>
      <c r="AJ419" s="3" t="s">
        <v>182</v>
      </c>
      <c r="AK419" s="3" t="s">
        <v>244</v>
      </c>
      <c r="AL419" s="3" t="s">
        <v>244</v>
      </c>
      <c r="AM419" s="3" t="s">
        <v>178</v>
      </c>
      <c r="AN419" s="3" t="s">
        <v>185</v>
      </c>
      <c r="AO419" s="3" t="s">
        <v>378</v>
      </c>
      <c r="AP419" s="3" t="s">
        <v>244</v>
      </c>
      <c r="AQ419" s="3" t="s">
        <v>247</v>
      </c>
      <c r="AR419" s="3" t="s">
        <v>288</v>
      </c>
      <c r="AS419" s="3" t="s">
        <v>185</v>
      </c>
      <c r="AT419" s="3" t="s">
        <v>244</v>
      </c>
      <c r="AU419" s="3" t="s">
        <v>244</v>
      </c>
      <c r="AV419" s="3" t="s">
        <v>288</v>
      </c>
      <c r="AW419" s="3" t="s">
        <v>195</v>
      </c>
      <c r="AX419" s="3" t="s">
        <v>341</v>
      </c>
      <c r="AY419" s="3" t="s">
        <v>428</v>
      </c>
    </row>
    <row r="420" spans="1:52" ht="15.75" customHeight="1">
      <c r="A420" s="3">
        <v>318</v>
      </c>
      <c r="B420" s="5" t="str">
        <f t="shared" si="0"/>
        <v>http://roarmap.eprints.org/318/</v>
      </c>
      <c r="C420" s="3">
        <v>5</v>
      </c>
      <c r="D420" s="3" t="s">
        <v>98</v>
      </c>
      <c r="E420" s="3">
        <v>1</v>
      </c>
      <c r="F420" s="3" t="s">
        <v>1715</v>
      </c>
      <c r="G420" s="3">
        <v>41988.923750000002</v>
      </c>
      <c r="H420" s="3">
        <v>42032.752071759256</v>
      </c>
      <c r="I420" s="3">
        <v>41988.923750000002</v>
      </c>
      <c r="J420" s="3" t="s">
        <v>103</v>
      </c>
      <c r="K420" s="3" t="s">
        <v>105</v>
      </c>
      <c r="L420" s="3" t="s">
        <v>1716</v>
      </c>
      <c r="M420" s="3" t="s">
        <v>374</v>
      </c>
      <c r="N420" s="3" t="s">
        <v>1717</v>
      </c>
      <c r="O420" s="3" t="s">
        <v>1718</v>
      </c>
      <c r="P420" s="3" t="s">
        <v>215</v>
      </c>
      <c r="Q420" t="str">
        <f t="shared" si="28"/>
        <v>http://roarmap.eprints.org/view/country/752.html</v>
      </c>
      <c r="R420" s="3">
        <v>752</v>
      </c>
      <c r="S420" s="6" t="s">
        <v>326</v>
      </c>
      <c r="T420" s="9">
        <v>752</v>
      </c>
      <c r="U420" s="7" t="s">
        <v>123</v>
      </c>
      <c r="V420" s="6" t="s">
        <v>125</v>
      </c>
      <c r="W420" s="3" t="s">
        <v>158</v>
      </c>
      <c r="X420" s="3" t="s">
        <v>160</v>
      </c>
      <c r="Y420" s="3" t="s">
        <v>1716</v>
      </c>
      <c r="Z420" s="8" t="str">
        <f>HYPERLINK("http://www.kb.se/hjalp/english/","http://www.kb.se/hjalp/english/")</f>
        <v>http://www.kb.se/hjalp/english/</v>
      </c>
      <c r="AA420" s="8" t="str">
        <f>HYPERLINK("http://www.kb.se/OpenAccess_english/OA-News/Open-Access-policy-for-the-National-Library-of-Sweden/","http://www.kb.se/OpenAccess_english/OA-News/Open-Access-policy-for-the-National-Library-of-Sweden/")</f>
        <v>http://www.kb.se/OpenAccess_english/OA-News/Open-Access-policy-for-the-National-Library-of-Sweden/</v>
      </c>
      <c r="AB420" s="8" t="str">
        <f>HYPERLINK("http://www.kb.se/","http://www.kb.se/")</f>
        <v>http://www.kb.se/</v>
      </c>
      <c r="AC420" s="3">
        <v>40358</v>
      </c>
      <c r="AF420" s="3" t="s">
        <v>177</v>
      </c>
      <c r="AG420" s="3" t="s">
        <v>178</v>
      </c>
      <c r="AH420" s="3" t="s">
        <v>180</v>
      </c>
      <c r="AI420" s="3" t="s">
        <v>244</v>
      </c>
      <c r="AJ420" s="3" t="s">
        <v>182</v>
      </c>
      <c r="AK420" s="3" t="s">
        <v>244</v>
      </c>
      <c r="AL420" s="3" t="s">
        <v>244</v>
      </c>
      <c r="AM420" s="3" t="s">
        <v>178</v>
      </c>
      <c r="AN420" s="3" t="s">
        <v>244</v>
      </c>
      <c r="AO420" s="3" t="s">
        <v>247</v>
      </c>
      <c r="AP420" s="3" t="s">
        <v>244</v>
      </c>
      <c r="AQ420" s="3" t="s">
        <v>394</v>
      </c>
      <c r="AR420" s="3" t="s">
        <v>288</v>
      </c>
      <c r="AS420" s="3" t="s">
        <v>244</v>
      </c>
      <c r="AT420" s="3" t="s">
        <v>244</v>
      </c>
      <c r="AU420" s="3" t="s">
        <v>244</v>
      </c>
      <c r="AV420" s="3" t="s">
        <v>288</v>
      </c>
      <c r="AW420" s="3" t="s">
        <v>195</v>
      </c>
      <c r="AX420" s="3" t="s">
        <v>244</v>
      </c>
      <c r="AY420" s="3" t="s">
        <v>247</v>
      </c>
    </row>
    <row r="421" spans="1:52" ht="15.75" customHeight="1">
      <c r="A421" s="3">
        <v>319</v>
      </c>
      <c r="B421" s="5" t="str">
        <f t="shared" si="0"/>
        <v>http://roarmap.eprints.org/319/</v>
      </c>
      <c r="C421" s="3">
        <v>3</v>
      </c>
      <c r="D421" s="3" t="s">
        <v>98</v>
      </c>
      <c r="E421" s="3">
        <v>1</v>
      </c>
      <c r="F421" s="3" t="s">
        <v>1719</v>
      </c>
      <c r="G421" s="3">
        <v>41988.923750000002</v>
      </c>
      <c r="H421" s="3">
        <v>41988.923750000002</v>
      </c>
      <c r="I421" s="3">
        <v>41988.923750000002</v>
      </c>
      <c r="J421" s="3" t="s">
        <v>103</v>
      </c>
      <c r="K421" s="3" t="s">
        <v>105</v>
      </c>
      <c r="L421" s="3" t="s">
        <v>1720</v>
      </c>
      <c r="M421" s="3" t="s">
        <v>374</v>
      </c>
      <c r="N421" s="3" t="s">
        <v>1721</v>
      </c>
      <c r="O421" s="3" t="s">
        <v>1722</v>
      </c>
      <c r="P421" s="3" t="s">
        <v>215</v>
      </c>
      <c r="Q421" t="str">
        <f t="shared" si="28"/>
        <v>http://roarmap.eprints.org/view/country/752.html</v>
      </c>
      <c r="R421" s="3">
        <v>752</v>
      </c>
      <c r="S421" s="6" t="s">
        <v>326</v>
      </c>
      <c r="T421" s="9">
        <v>752</v>
      </c>
      <c r="U421" s="7" t="s">
        <v>123</v>
      </c>
      <c r="V421" s="6" t="s">
        <v>125</v>
      </c>
      <c r="W421" s="3" t="s">
        <v>158</v>
      </c>
      <c r="X421" s="3" t="s">
        <v>364</v>
      </c>
      <c r="Y421" s="3" t="s">
        <v>1720</v>
      </c>
      <c r="Z421" s="8" t="str">
        <f>HYPERLINK("http://www.formas.se/en/","http://www.formas.se/en/")</f>
        <v>http://www.formas.se/en/</v>
      </c>
      <c r="AA421" s="8" t="str">
        <f>HYPERLINK("http://www.formas.se/Global/Handbook%20english/140306_Formas_Handbook_2014.pdf","http://www.formas.se/Global/Handbook%20english/140306_Formas_Handbook_2014.pdf")</f>
        <v>http://www.formas.se/Global/Handbook%20english/140306_Formas_Handbook_2014.pdf</v>
      </c>
      <c r="AB421" s="8" t="str">
        <f>HYPERLINK("http://www.formas.se/en/","http://www.formas.se/en/")</f>
        <v>http://www.formas.se/en/</v>
      </c>
      <c r="AF421" s="3" t="s">
        <v>177</v>
      </c>
      <c r="AG421" s="3" t="s">
        <v>178</v>
      </c>
      <c r="AH421" s="3" t="s">
        <v>180</v>
      </c>
      <c r="AI421" s="3" t="s">
        <v>244</v>
      </c>
      <c r="AJ421" s="3" t="s">
        <v>182</v>
      </c>
      <c r="AK421" s="3" t="s">
        <v>244</v>
      </c>
      <c r="AL421" s="3" t="s">
        <v>244</v>
      </c>
      <c r="AM421" s="3" t="s">
        <v>178</v>
      </c>
      <c r="AN421" s="3" t="s">
        <v>244</v>
      </c>
      <c r="AO421" s="3" t="s">
        <v>187</v>
      </c>
      <c r="AP421" s="3" t="s">
        <v>244</v>
      </c>
      <c r="AQ421" s="3" t="s">
        <v>247</v>
      </c>
      <c r="AR421" s="3" t="s">
        <v>288</v>
      </c>
      <c r="AS421" s="3" t="s">
        <v>288</v>
      </c>
      <c r="AT421" s="3" t="s">
        <v>379</v>
      </c>
      <c r="AU421" s="3" t="s">
        <v>395</v>
      </c>
      <c r="AV421" s="3" t="s">
        <v>244</v>
      </c>
      <c r="AW421" s="3" t="s">
        <v>195</v>
      </c>
      <c r="AX421" s="3" t="s">
        <v>244</v>
      </c>
      <c r="AY421" s="3" t="s">
        <v>247</v>
      </c>
    </row>
    <row r="422" spans="1:52" ht="15.75" customHeight="1">
      <c r="A422" s="3">
        <v>320</v>
      </c>
      <c r="B422" s="5" t="str">
        <f t="shared" si="0"/>
        <v>http://roarmap.eprints.org/320/</v>
      </c>
      <c r="C422" s="3">
        <v>4</v>
      </c>
      <c r="D422" s="3" t="s">
        <v>98</v>
      </c>
      <c r="E422" s="3">
        <v>1</v>
      </c>
      <c r="F422" s="3" t="s">
        <v>1723</v>
      </c>
      <c r="G422" s="3">
        <v>41988.923761574071</v>
      </c>
      <c r="H422" s="3">
        <v>42030.615960648145</v>
      </c>
      <c r="I422" s="3">
        <v>41988.923761574071</v>
      </c>
      <c r="J422" s="3" t="s">
        <v>103</v>
      </c>
      <c r="K422" s="3" t="s">
        <v>105</v>
      </c>
      <c r="L422" s="3" t="s">
        <v>1724</v>
      </c>
      <c r="M422" s="3" t="s">
        <v>374</v>
      </c>
      <c r="P422" s="3" t="s">
        <v>215</v>
      </c>
      <c r="Q422" t="str">
        <f t="shared" si="28"/>
        <v>http://roarmap.eprints.org/view/country/752.html</v>
      </c>
      <c r="R422" s="3">
        <v>752</v>
      </c>
      <c r="S422" s="6" t="s">
        <v>326</v>
      </c>
      <c r="T422" s="9">
        <v>752</v>
      </c>
      <c r="U422" s="7" t="s">
        <v>123</v>
      </c>
      <c r="V422" s="6" t="s">
        <v>125</v>
      </c>
      <c r="W422" s="3" t="s">
        <v>158</v>
      </c>
      <c r="X422" s="3" t="s">
        <v>364</v>
      </c>
      <c r="Y422" s="3" t="s">
        <v>1724</v>
      </c>
      <c r="Z422" s="8" t="str">
        <f>HYPERLINK("http://www.vr.se/","http://www.vr.se/")</f>
        <v>http://www.vr.se/</v>
      </c>
      <c r="AA422" s="8" t="str">
        <f>HYPERLINK("http://bit.ly/cbc8r6","http://bit.ly/cbc8r6")</f>
        <v>http://bit.ly/cbc8r6</v>
      </c>
      <c r="AC422" s="3">
        <v>40179</v>
      </c>
      <c r="AD422" s="3">
        <v>40179</v>
      </c>
      <c r="AF422" s="3" t="s">
        <v>177</v>
      </c>
      <c r="AG422" s="3" t="s">
        <v>178</v>
      </c>
      <c r="AH422" s="3" t="s">
        <v>370</v>
      </c>
      <c r="AI422" s="3" t="s">
        <v>244</v>
      </c>
      <c r="AJ422" s="3" t="s">
        <v>182</v>
      </c>
      <c r="AK422" s="3" t="s">
        <v>244</v>
      </c>
      <c r="AL422" s="3" t="s">
        <v>185</v>
      </c>
      <c r="AM422" s="3" t="s">
        <v>178</v>
      </c>
      <c r="AN422" s="3" t="s">
        <v>185</v>
      </c>
      <c r="AO422" s="3" t="s">
        <v>378</v>
      </c>
      <c r="AP422" s="3" t="s">
        <v>244</v>
      </c>
      <c r="AQ422" s="3" t="s">
        <v>394</v>
      </c>
      <c r="AR422" s="3" t="s">
        <v>288</v>
      </c>
      <c r="AS422" s="3" t="s">
        <v>288</v>
      </c>
      <c r="AT422" s="3" t="s">
        <v>379</v>
      </c>
      <c r="AU422" s="3" t="s">
        <v>395</v>
      </c>
      <c r="AV422" s="3" t="s">
        <v>189</v>
      </c>
      <c r="AW422" s="3" t="s">
        <v>520</v>
      </c>
      <c r="AX422" s="3" t="s">
        <v>442</v>
      </c>
      <c r="AY422" s="3" t="s">
        <v>198</v>
      </c>
    </row>
    <row r="423" spans="1:52" ht="15.75" customHeight="1">
      <c r="A423" s="3">
        <v>321</v>
      </c>
      <c r="B423" s="5" t="str">
        <f t="shared" si="0"/>
        <v>http://roarmap.eprints.org/321/</v>
      </c>
      <c r="C423" s="3">
        <v>4</v>
      </c>
      <c r="D423" s="3" t="s">
        <v>98</v>
      </c>
      <c r="E423" s="3">
        <v>288</v>
      </c>
      <c r="F423" s="3" t="s">
        <v>1725</v>
      </c>
      <c r="G423" s="3">
        <v>41988.923761574071</v>
      </c>
      <c r="H423" s="3">
        <v>42046.98170138889</v>
      </c>
      <c r="I423" s="3">
        <v>41988.923761574071</v>
      </c>
      <c r="J423" s="3" t="s">
        <v>103</v>
      </c>
      <c r="K423" s="3" t="s">
        <v>105</v>
      </c>
      <c r="L423" s="3" t="s">
        <v>1726</v>
      </c>
      <c r="M423" s="3" t="s">
        <v>374</v>
      </c>
      <c r="N423" s="3" t="s">
        <v>1727</v>
      </c>
      <c r="P423" s="3" t="s">
        <v>215</v>
      </c>
      <c r="Q423" t="str">
        <f t="shared" si="28"/>
        <v>http://roarmap.eprints.org/view/country/752.html</v>
      </c>
      <c r="R423" s="3">
        <v>752</v>
      </c>
      <c r="S423" s="6" t="s">
        <v>326</v>
      </c>
      <c r="T423" s="9">
        <v>752</v>
      </c>
      <c r="U423" s="7" t="s">
        <v>123</v>
      </c>
      <c r="V423" s="6" t="s">
        <v>125</v>
      </c>
      <c r="W423" s="3" t="s">
        <v>158</v>
      </c>
      <c r="X423" s="3" t="s">
        <v>160</v>
      </c>
      <c r="Y423" s="3" t="s">
        <v>1726</v>
      </c>
      <c r="Z423" s="8" t="str">
        <f>HYPERLINK("http://www.umu.se/","http://www.umu.se/")</f>
        <v>http://www.umu.se/</v>
      </c>
      <c r="AA423" s="8" t="str">
        <f>HYPERLINK("http://www.ub.umu.se/en/about/news/open-access-policy-umea-university","http://www.ub.umu.se/en/about/news/open-access-policy-umea-university")</f>
        <v>http://www.ub.umu.se/en/about/news/open-access-policy-umea-university</v>
      </c>
      <c r="AB423" s="8" t="str">
        <f>HYPERLINK("http://umu.diva-portal.org/smash/search.jsf","http://umu.diva-portal.org/smash/search.jsf")</f>
        <v>http://umu.diva-portal.org/smash/search.jsf</v>
      </c>
      <c r="AF423" s="3" t="s">
        <v>177</v>
      </c>
      <c r="AG423" s="3" t="s">
        <v>178</v>
      </c>
      <c r="AH423" s="3" t="s">
        <v>180</v>
      </c>
      <c r="AI423" s="3" t="s">
        <v>244</v>
      </c>
      <c r="AJ423" s="3" t="s">
        <v>182</v>
      </c>
      <c r="AK423" s="3" t="s">
        <v>244</v>
      </c>
      <c r="AL423" s="3" t="s">
        <v>244</v>
      </c>
      <c r="AM423" s="3" t="s">
        <v>178</v>
      </c>
      <c r="AN423" s="3" t="s">
        <v>244</v>
      </c>
      <c r="AO423" s="3" t="s">
        <v>247</v>
      </c>
      <c r="AP423" s="3" t="s">
        <v>244</v>
      </c>
      <c r="AQ423" s="3" t="s">
        <v>190</v>
      </c>
      <c r="AR423" s="3" t="s">
        <v>288</v>
      </c>
      <c r="AS423" s="3" t="s">
        <v>288</v>
      </c>
      <c r="AT423" s="3" t="s">
        <v>244</v>
      </c>
      <c r="AU423" s="3" t="s">
        <v>244</v>
      </c>
      <c r="AV423" s="3" t="s">
        <v>288</v>
      </c>
      <c r="AW423" s="3" t="s">
        <v>195</v>
      </c>
      <c r="AX423" s="3" t="s">
        <v>244</v>
      </c>
      <c r="AY423" s="3" t="s">
        <v>247</v>
      </c>
    </row>
    <row r="424" spans="1:52" ht="15.75" customHeight="1">
      <c r="A424" s="3">
        <v>322</v>
      </c>
      <c r="B424" s="5" t="str">
        <f t="shared" si="0"/>
        <v>http://roarmap.eprints.org/322/</v>
      </c>
      <c r="C424" s="3">
        <v>3</v>
      </c>
      <c r="D424" s="3" t="s">
        <v>98</v>
      </c>
      <c r="E424" s="3">
        <v>1</v>
      </c>
      <c r="F424" s="3" t="s">
        <v>1728</v>
      </c>
      <c r="G424" s="3">
        <v>41988.923773148148</v>
      </c>
      <c r="H424" s="3">
        <v>41988.923773148148</v>
      </c>
      <c r="I424" s="3">
        <v>41988.923773148148</v>
      </c>
      <c r="J424" s="3" t="s">
        <v>103</v>
      </c>
      <c r="K424" s="3" t="s">
        <v>105</v>
      </c>
      <c r="L424" s="3" t="s">
        <v>1729</v>
      </c>
      <c r="M424" s="3" t="s">
        <v>374</v>
      </c>
      <c r="N424" s="3" t="s">
        <v>1730</v>
      </c>
      <c r="P424" s="3" t="s">
        <v>215</v>
      </c>
      <c r="Q424" t="str">
        <f t="shared" si="28"/>
        <v>http://roarmap.eprints.org/view/country/752.html</v>
      </c>
      <c r="R424" s="3">
        <v>752</v>
      </c>
      <c r="S424" s="6" t="s">
        <v>326</v>
      </c>
      <c r="T424" s="9">
        <v>752</v>
      </c>
      <c r="U424" s="7" t="s">
        <v>123</v>
      </c>
      <c r="V424" s="6" t="s">
        <v>125</v>
      </c>
      <c r="W424" s="3" t="s">
        <v>158</v>
      </c>
      <c r="X424" s="3" t="s">
        <v>160</v>
      </c>
      <c r="Y424" s="3" t="s">
        <v>1729</v>
      </c>
      <c r="Z424" s="8" t="str">
        <f>HYPERLINK("http://www.hb.se/en/","http://www.hb.se/en/")</f>
        <v>http://www.hb.se/en/</v>
      </c>
      <c r="AA424" s="8" t="str">
        <f>HYPERLINK("http://www.hb.se/en/Library/Research-support/Publish/Rectors-resolution-on-publishing/","http://www.hb.se/en/Library/Research-support/Publish/Rectors-resolution-on-publishing/")</f>
        <v>http://www.hb.se/en/Library/Research-support/Publish/Rectors-resolution-on-publishing/</v>
      </c>
      <c r="AB424" s="8" t="str">
        <f>HYPERLINK("http://bada.hb.se/","http://bada.hb.se/")</f>
        <v>http://bada.hb.se/</v>
      </c>
      <c r="AC424" s="3">
        <v>40575</v>
      </c>
      <c r="AF424" s="3" t="s">
        <v>177</v>
      </c>
      <c r="AG424" s="3" t="s">
        <v>178</v>
      </c>
      <c r="AH424" s="3" t="s">
        <v>180</v>
      </c>
      <c r="AI424" s="3" t="s">
        <v>244</v>
      </c>
      <c r="AJ424" s="3" t="s">
        <v>182</v>
      </c>
      <c r="AK424" s="3" t="s">
        <v>244</v>
      </c>
      <c r="AL424" s="3" t="s">
        <v>244</v>
      </c>
      <c r="AM424" s="3" t="s">
        <v>178</v>
      </c>
      <c r="AN424" s="3" t="s">
        <v>244</v>
      </c>
      <c r="AO424" s="3" t="s">
        <v>247</v>
      </c>
      <c r="AP424" s="3" t="s">
        <v>244</v>
      </c>
      <c r="AQ424" s="3" t="s">
        <v>394</v>
      </c>
      <c r="AR424" s="3" t="s">
        <v>288</v>
      </c>
      <c r="AS424" s="3" t="s">
        <v>288</v>
      </c>
      <c r="AT424" s="3" t="s">
        <v>244</v>
      </c>
      <c r="AU424" s="3" t="s">
        <v>244</v>
      </c>
      <c r="AV424" s="3" t="s">
        <v>288</v>
      </c>
      <c r="AW424" s="3" t="s">
        <v>195</v>
      </c>
      <c r="AX424" s="3" t="s">
        <v>244</v>
      </c>
      <c r="AY424" s="3" t="s">
        <v>247</v>
      </c>
    </row>
    <row r="425" spans="1:52" ht="15.75" customHeight="1">
      <c r="A425" s="3">
        <v>633</v>
      </c>
      <c r="B425" s="5" t="str">
        <f t="shared" si="0"/>
        <v>http://roarmap.eprints.org/633/</v>
      </c>
      <c r="C425" s="3">
        <v>3</v>
      </c>
      <c r="D425" s="3" t="s">
        <v>98</v>
      </c>
      <c r="E425" s="3">
        <v>1</v>
      </c>
      <c r="F425" s="3" t="s">
        <v>1731</v>
      </c>
      <c r="G425" s="3">
        <v>41988.924259259256</v>
      </c>
      <c r="H425" s="3">
        <v>41988.924259259256</v>
      </c>
      <c r="I425" s="3">
        <v>41988.924259259256</v>
      </c>
      <c r="J425" s="3" t="s">
        <v>103</v>
      </c>
      <c r="K425" s="3" t="s">
        <v>105</v>
      </c>
      <c r="L425" s="3" t="s">
        <v>1732</v>
      </c>
      <c r="M425" s="3" t="s">
        <v>374</v>
      </c>
      <c r="N425" s="3" t="s">
        <v>1733</v>
      </c>
      <c r="P425" s="3" t="s">
        <v>215</v>
      </c>
      <c r="Q425" t="str">
        <f t="shared" si="28"/>
        <v>http://roarmap.eprints.org/view/country/756.html</v>
      </c>
      <c r="R425" s="3">
        <v>756</v>
      </c>
      <c r="S425" s="6" t="s">
        <v>327</v>
      </c>
      <c r="T425" s="9">
        <v>756</v>
      </c>
      <c r="U425" s="7" t="s">
        <v>123</v>
      </c>
      <c r="V425" s="6" t="s">
        <v>108</v>
      </c>
      <c r="W425" s="3" t="s">
        <v>158</v>
      </c>
      <c r="X425" s="3" t="s">
        <v>160</v>
      </c>
      <c r="Y425" s="3" t="s">
        <v>1732</v>
      </c>
      <c r="Z425" s="8" t="str">
        <f>HYPERLINK("http://home.web.cern.ch/","http://home.web.cern.ch/")</f>
        <v>http://home.web.cern.ch/</v>
      </c>
      <c r="AA425" s="8" t="str">
        <f>HYPERLINK("http://cdsweb.cern.ch/search.py?sc=1&amp;ln=en&amp;p=cern-open-2005-006&amp;f=reportnumber","http://cdsweb.cern.ch/search.py?sc=1&amp;ln=en&amp;p=cern-open-2005-006&amp;f=reportnumber")</f>
        <v>http://cdsweb.cern.ch/search.py?sc=1&amp;ln=en&amp;p=cern-open-2005-006&amp;f=reportnumber</v>
      </c>
      <c r="AB425" s="8" t="str">
        <f>HYPERLINK("http://cds.cern.ch/","http://cds.cern.ch/")</f>
        <v>http://cds.cern.ch/</v>
      </c>
      <c r="AC425" s="3">
        <v>37942</v>
      </c>
      <c r="AF425" s="3" t="s">
        <v>177</v>
      </c>
      <c r="AG425" s="3" t="s">
        <v>333</v>
      </c>
      <c r="AH425" s="3" t="s">
        <v>370</v>
      </c>
      <c r="AI425" s="3" t="s">
        <v>244</v>
      </c>
      <c r="AJ425" s="3" t="s">
        <v>371</v>
      </c>
      <c r="AK425" s="3" t="s">
        <v>244</v>
      </c>
      <c r="AL425" s="3" t="s">
        <v>288</v>
      </c>
      <c r="AM425" s="3" t="s">
        <v>247</v>
      </c>
      <c r="AN425" s="3" t="s">
        <v>244</v>
      </c>
      <c r="AO425" s="3" t="s">
        <v>247</v>
      </c>
      <c r="AP425" s="3" t="s">
        <v>244</v>
      </c>
      <c r="AQ425" s="3" t="s">
        <v>247</v>
      </c>
      <c r="AR425" s="3" t="s">
        <v>288</v>
      </c>
      <c r="AS425" s="3" t="s">
        <v>288</v>
      </c>
      <c r="AT425" s="3" t="s">
        <v>244</v>
      </c>
      <c r="AU425" s="3" t="s">
        <v>244</v>
      </c>
      <c r="AV425" s="3" t="s">
        <v>288</v>
      </c>
      <c r="AW425" s="3" t="s">
        <v>339</v>
      </c>
      <c r="AX425" s="3" t="s">
        <v>244</v>
      </c>
      <c r="AY425" s="3" t="s">
        <v>247</v>
      </c>
    </row>
    <row r="426" spans="1:52" ht="15.75" customHeight="1">
      <c r="A426" s="3">
        <v>323</v>
      </c>
      <c r="B426" s="5" t="str">
        <f t="shared" si="0"/>
        <v>http://roarmap.eprints.org/323/</v>
      </c>
      <c r="C426" s="3">
        <v>5</v>
      </c>
      <c r="D426" s="3" t="s">
        <v>98</v>
      </c>
      <c r="E426" s="3">
        <v>1</v>
      </c>
      <c r="F426" s="3" t="s">
        <v>1734</v>
      </c>
      <c r="G426" s="3">
        <v>41988.923773148148</v>
      </c>
      <c r="H426" s="3">
        <v>41988.923773148148</v>
      </c>
      <c r="I426" s="3">
        <v>41988.923773148148</v>
      </c>
      <c r="J426" s="3" t="s">
        <v>103</v>
      </c>
      <c r="K426" s="3" t="s">
        <v>105</v>
      </c>
      <c r="L426" s="3" t="s">
        <v>1735</v>
      </c>
      <c r="M426" s="3" t="s">
        <v>374</v>
      </c>
      <c r="O426" s="3" t="s">
        <v>1736</v>
      </c>
      <c r="P426" s="3" t="s">
        <v>215</v>
      </c>
      <c r="Q426" t="str">
        <f t="shared" si="28"/>
        <v>http://roarmap.eprints.org/view/country/756.html</v>
      </c>
      <c r="R426" s="3">
        <v>756</v>
      </c>
      <c r="S426" s="6" t="s">
        <v>327</v>
      </c>
      <c r="T426" s="9">
        <v>756</v>
      </c>
      <c r="U426" s="7" t="s">
        <v>123</v>
      </c>
      <c r="V426" s="6" t="s">
        <v>108</v>
      </c>
      <c r="W426" s="3" t="s">
        <v>158</v>
      </c>
      <c r="X426" s="3" t="s">
        <v>160</v>
      </c>
      <c r="Y426" s="3" t="s">
        <v>1735</v>
      </c>
      <c r="Z426" s="8" t="str">
        <f>HYPERLINK("https://www.ethz.ch/de.html","https://www.ethz.ch/de.html")</f>
        <v>https://www.ethz.ch/de.html</v>
      </c>
      <c r="AA426" s="8" t="str">
        <f>HYPERLINK("http://www.open-access.ethz.ch/oazurich/policy_EN","http://www.open-access.ethz.ch/oazurich/policy_EN")</f>
        <v>http://www.open-access.ethz.ch/oazurich/policy_EN</v>
      </c>
      <c r="AB426" s="8" t="str">
        <f>HYPERLINK("http://e-collection.library.ethz.ch/","http://e-collection.library.ethz.ch/")</f>
        <v>http://e-collection.library.ethz.ch/</v>
      </c>
      <c r="AC426" s="3">
        <v>38554</v>
      </c>
      <c r="AD426" s="3">
        <v>39630</v>
      </c>
      <c r="AF426" s="3" t="s">
        <v>177</v>
      </c>
      <c r="AG426" s="3" t="s">
        <v>178</v>
      </c>
      <c r="AH426" s="3" t="s">
        <v>180</v>
      </c>
      <c r="AI426" s="3" t="s">
        <v>244</v>
      </c>
      <c r="AJ426" s="3" t="s">
        <v>182</v>
      </c>
      <c r="AK426" s="3" t="s">
        <v>244</v>
      </c>
      <c r="AL426" s="3" t="s">
        <v>244</v>
      </c>
      <c r="AM426" s="3" t="s">
        <v>247</v>
      </c>
      <c r="AN426" s="3" t="s">
        <v>185</v>
      </c>
      <c r="AO426" s="3" t="s">
        <v>247</v>
      </c>
      <c r="AP426" s="3" t="s">
        <v>185</v>
      </c>
      <c r="AQ426" s="3" t="s">
        <v>394</v>
      </c>
      <c r="AR426" s="3" t="s">
        <v>288</v>
      </c>
      <c r="AS426" s="3" t="s">
        <v>189</v>
      </c>
      <c r="AT426" s="3" t="s">
        <v>244</v>
      </c>
      <c r="AU426" s="3" t="s">
        <v>244</v>
      </c>
      <c r="AV426" s="3" t="s">
        <v>288</v>
      </c>
      <c r="AW426" s="3" t="s">
        <v>244</v>
      </c>
      <c r="AX426" s="3" t="s">
        <v>341</v>
      </c>
      <c r="AY426" s="3" t="s">
        <v>247</v>
      </c>
    </row>
    <row r="427" spans="1:52" ht="15.75" customHeight="1">
      <c r="A427" s="3">
        <v>324</v>
      </c>
      <c r="B427" s="5" t="str">
        <f t="shared" si="0"/>
        <v>http://roarmap.eprints.org/324/</v>
      </c>
      <c r="C427" s="3">
        <v>3</v>
      </c>
      <c r="D427" s="3" t="s">
        <v>98</v>
      </c>
      <c r="E427" s="3">
        <v>1</v>
      </c>
      <c r="F427" s="3" t="s">
        <v>1737</v>
      </c>
      <c r="G427" s="3">
        <v>41988.923784722225</v>
      </c>
      <c r="H427" s="3">
        <v>41988.923784722225</v>
      </c>
      <c r="I427" s="3">
        <v>41988.923784722225</v>
      </c>
      <c r="J427" s="3" t="s">
        <v>103</v>
      </c>
      <c r="K427" s="3" t="s">
        <v>105</v>
      </c>
      <c r="L427" s="3" t="s">
        <v>1738</v>
      </c>
      <c r="M427" s="3" t="s">
        <v>374</v>
      </c>
      <c r="N427" s="3" t="s">
        <v>1739</v>
      </c>
      <c r="P427" s="3" t="s">
        <v>215</v>
      </c>
      <c r="Q427" t="str">
        <f t="shared" si="28"/>
        <v>http://roarmap.eprints.org/view/country/756.html</v>
      </c>
      <c r="R427" s="3">
        <v>756</v>
      </c>
      <c r="S427" s="6" t="s">
        <v>327</v>
      </c>
      <c r="T427" s="9">
        <v>756</v>
      </c>
      <c r="U427" s="7" t="s">
        <v>123</v>
      </c>
      <c r="V427" s="6" t="s">
        <v>108</v>
      </c>
      <c r="W427" s="3" t="s">
        <v>158</v>
      </c>
      <c r="X427" s="3" t="s">
        <v>376</v>
      </c>
      <c r="Y427" s="3" t="s">
        <v>1738</v>
      </c>
      <c r="Z427" s="8" t="str">
        <f>HYPERLINK("http://www.snf.ch/en/Pages/default.aspx","http://www.snf.ch/en/Pages/default.aspx")</f>
        <v>http://www.snf.ch/en/Pages/default.aspx</v>
      </c>
      <c r="AA427" s="8" t="str">
        <f>HYPERLINK("http://www.snf.ch/SiteCollectionDocuments/Dossiers/dos_OA_regelung_auf_einen_blick_e.pdf","http://www.snf.ch/SiteCollectionDocuments/Dossiers/dos_OA_regelung_auf_einen_blick_e.pdf")</f>
        <v>http://www.snf.ch/SiteCollectionDocuments/Dossiers/dos_OA_regelung_auf_einen_blick_e.pdf</v>
      </c>
      <c r="AB427" s="8" t="str">
        <f>HYPERLINK("http://www.snf.ch/en/Search/Pages/default.aspx?k=repository","http://www.snf.ch/en/Search/Pages/default.aspx?k=repository")</f>
        <v>http://www.snf.ch/en/Search/Pages/default.aspx?k=repository</v>
      </c>
      <c r="AE427" s="3">
        <v>41775</v>
      </c>
      <c r="AF427" s="3" t="s">
        <v>177</v>
      </c>
      <c r="AG427" s="3" t="s">
        <v>178</v>
      </c>
      <c r="AH427" s="3" t="s">
        <v>180</v>
      </c>
      <c r="AI427" s="3" t="s">
        <v>244</v>
      </c>
      <c r="AJ427" s="3" t="s">
        <v>244</v>
      </c>
      <c r="AK427" s="3" t="s">
        <v>244</v>
      </c>
      <c r="AL427" s="3" t="s">
        <v>244</v>
      </c>
      <c r="AM427" s="3" t="s">
        <v>178</v>
      </c>
      <c r="AN427" s="3" t="s">
        <v>185</v>
      </c>
      <c r="AO427" s="3" t="s">
        <v>378</v>
      </c>
      <c r="AP427" s="3" t="s">
        <v>185</v>
      </c>
      <c r="AQ427" s="3" t="s">
        <v>247</v>
      </c>
      <c r="AR427" s="3" t="s">
        <v>288</v>
      </c>
      <c r="AS427" s="3" t="s">
        <v>288</v>
      </c>
      <c r="AT427" s="3" t="s">
        <v>244</v>
      </c>
      <c r="AU427" s="3" t="s">
        <v>244</v>
      </c>
      <c r="AV427" s="3" t="s">
        <v>288</v>
      </c>
      <c r="AW427" s="3" t="s">
        <v>371</v>
      </c>
      <c r="AX427" s="3" t="s">
        <v>341</v>
      </c>
      <c r="AY427" s="3" t="s">
        <v>198</v>
      </c>
      <c r="AZ427" s="3" t="s">
        <v>1740</v>
      </c>
    </row>
    <row r="428" spans="1:52" ht="15.75" customHeight="1">
      <c r="A428" s="3">
        <v>325</v>
      </c>
      <c r="B428" s="5" t="str">
        <f t="shared" si="0"/>
        <v>http://roarmap.eprints.org/325/</v>
      </c>
      <c r="C428" s="3">
        <v>6</v>
      </c>
      <c r="D428" s="3" t="s">
        <v>98</v>
      </c>
      <c r="E428" s="3">
        <v>289</v>
      </c>
      <c r="F428" s="3" t="s">
        <v>1741</v>
      </c>
      <c r="G428" s="3">
        <v>41988.923784722225</v>
      </c>
      <c r="H428" s="3">
        <v>42046.98170138889</v>
      </c>
      <c r="I428" s="3">
        <v>41988.923784722225</v>
      </c>
      <c r="J428" s="3" t="s">
        <v>103</v>
      </c>
      <c r="K428" s="3" t="s">
        <v>105</v>
      </c>
      <c r="L428" s="3" t="s">
        <v>1742</v>
      </c>
      <c r="M428" s="3" t="s">
        <v>374</v>
      </c>
      <c r="O428" s="3" t="s">
        <v>1743</v>
      </c>
      <c r="P428" s="3" t="s">
        <v>215</v>
      </c>
      <c r="Q428" t="str">
        <f t="shared" si="28"/>
        <v>http://roarmap.eprints.org/view/country/756.html</v>
      </c>
      <c r="R428" s="3">
        <v>756</v>
      </c>
      <c r="S428" s="6" t="s">
        <v>327</v>
      </c>
      <c r="T428" s="9">
        <v>756</v>
      </c>
      <c r="U428" s="7" t="s">
        <v>123</v>
      </c>
      <c r="V428" s="6" t="s">
        <v>108</v>
      </c>
      <c r="W428" s="3" t="s">
        <v>158</v>
      </c>
      <c r="X428" s="3" t="s">
        <v>160</v>
      </c>
      <c r="Y428" s="3" t="s">
        <v>1742</v>
      </c>
      <c r="Z428" s="8" t="str">
        <f>HYPERLINK("http://www.unibas.ch/","http://www.unibas.ch/")</f>
        <v>http://www.unibas.ch/</v>
      </c>
      <c r="AA428" s="8" t="str">
        <f>HYPERLINK("http://www.ub.unibas.ch/en/ub-hauptbibliothek/dienstleistungen/publizieren/open-access/open-access-policy/","http://www.ub.unibas.ch/en/ub-hauptbibliothek/dienstleistungen/publizieren/open-access/open-access-policy/")</f>
        <v>http://www.ub.unibas.ch/en/ub-hauptbibliothek/dienstleistungen/publizieren/open-access/open-access-policy/</v>
      </c>
      <c r="AB428" s="8" t="str">
        <f>HYPERLINK("http://edoc.unibas.ch/","http://edoc.unibas.ch/")</f>
        <v>http://edoc.unibas.ch/</v>
      </c>
      <c r="AE428" s="3">
        <v>41352</v>
      </c>
      <c r="AF428" s="3" t="s">
        <v>177</v>
      </c>
      <c r="AG428" s="3" t="s">
        <v>178</v>
      </c>
      <c r="AH428" s="3" t="s">
        <v>180</v>
      </c>
      <c r="AI428" s="3" t="s">
        <v>371</v>
      </c>
      <c r="AJ428" s="3" t="s">
        <v>244</v>
      </c>
      <c r="AK428" s="3" t="s">
        <v>244</v>
      </c>
      <c r="AL428" s="3" t="s">
        <v>185</v>
      </c>
      <c r="AM428" s="3" t="s">
        <v>178</v>
      </c>
      <c r="AN428" s="3" t="s">
        <v>185</v>
      </c>
      <c r="AO428" s="3" t="s">
        <v>378</v>
      </c>
      <c r="AP428" s="3" t="s">
        <v>185</v>
      </c>
      <c r="AQ428" s="3" t="s">
        <v>190</v>
      </c>
      <c r="AR428" s="3" t="s">
        <v>288</v>
      </c>
      <c r="AS428" s="3" t="s">
        <v>244</v>
      </c>
      <c r="AT428" s="3" t="s">
        <v>244</v>
      </c>
      <c r="AU428" s="3" t="s">
        <v>244</v>
      </c>
      <c r="AV428" s="3" t="s">
        <v>288</v>
      </c>
      <c r="AW428" s="3" t="s">
        <v>371</v>
      </c>
      <c r="AX428" s="3" t="s">
        <v>244</v>
      </c>
      <c r="AY428" s="3" t="s">
        <v>247</v>
      </c>
    </row>
    <row r="429" spans="1:52" ht="15.75" customHeight="1">
      <c r="A429" s="3">
        <v>326</v>
      </c>
      <c r="B429" s="5" t="str">
        <f t="shared" si="0"/>
        <v>http://roarmap.eprints.org/326/</v>
      </c>
      <c r="C429" s="3">
        <v>4</v>
      </c>
      <c r="D429" s="3" t="s">
        <v>98</v>
      </c>
      <c r="E429" s="3">
        <v>290</v>
      </c>
      <c r="F429" s="3" t="s">
        <v>1744</v>
      </c>
      <c r="G429" s="3">
        <v>41988.923784722225</v>
      </c>
      <c r="H429" s="3">
        <v>42046.98170138889</v>
      </c>
      <c r="I429" s="3">
        <v>41988.923784722225</v>
      </c>
      <c r="J429" s="3" t="s">
        <v>103</v>
      </c>
      <c r="K429" s="3" t="s">
        <v>105</v>
      </c>
      <c r="L429" s="3" t="s">
        <v>1745</v>
      </c>
      <c r="M429" s="3" t="s">
        <v>352</v>
      </c>
      <c r="N429" s="3" t="s">
        <v>1746</v>
      </c>
      <c r="P429" s="3" t="s">
        <v>215</v>
      </c>
      <c r="Q429" t="str">
        <f t="shared" si="28"/>
        <v>http://roarmap.eprints.org/view/country/756.html</v>
      </c>
      <c r="R429" s="3">
        <v>756</v>
      </c>
      <c r="S429" s="6" t="s">
        <v>327</v>
      </c>
      <c r="T429" s="9">
        <v>756</v>
      </c>
      <c r="U429" s="7" t="s">
        <v>123</v>
      </c>
      <c r="V429" s="6" t="s">
        <v>108</v>
      </c>
      <c r="W429" s="3" t="s">
        <v>158</v>
      </c>
      <c r="X429" s="3" t="s">
        <v>160</v>
      </c>
      <c r="Y429" s="3" t="s">
        <v>1745</v>
      </c>
      <c r="Z429" s="8" t="str">
        <f>HYPERLINK("http://www.unibe.ch/","http://www.unibe.ch/")</f>
        <v>http://www.unibe.ch/</v>
      </c>
      <c r="AA429" s="3" t="s">
        <v>1747</v>
      </c>
      <c r="AB429" s="8" t="str">
        <f>HYPERLINK("http://boris.unibe.ch/","http://boris.unibe.ch/")</f>
        <v>http://boris.unibe.ch/</v>
      </c>
      <c r="AE429" s="3">
        <v>41194</v>
      </c>
      <c r="AF429" s="3" t="s">
        <v>177</v>
      </c>
      <c r="AG429" s="3" t="s">
        <v>178</v>
      </c>
      <c r="AH429" s="3" t="s">
        <v>180</v>
      </c>
      <c r="AI429" s="3" t="s">
        <v>377</v>
      </c>
      <c r="AJ429" s="3" t="s">
        <v>182</v>
      </c>
      <c r="AK429" s="3" t="s">
        <v>183</v>
      </c>
      <c r="AL429" s="3" t="s">
        <v>244</v>
      </c>
      <c r="AM429" s="3" t="s">
        <v>178</v>
      </c>
      <c r="AN429" s="3" t="s">
        <v>244</v>
      </c>
      <c r="AO429" s="3" t="s">
        <v>247</v>
      </c>
      <c r="AP429" s="3" t="s">
        <v>185</v>
      </c>
      <c r="AQ429" s="3" t="s">
        <v>394</v>
      </c>
      <c r="AR429" s="3" t="s">
        <v>288</v>
      </c>
      <c r="AS429" s="3" t="s">
        <v>189</v>
      </c>
      <c r="AT429" s="3" t="s">
        <v>244</v>
      </c>
      <c r="AU429" s="3" t="s">
        <v>244</v>
      </c>
      <c r="AV429" s="3" t="s">
        <v>288</v>
      </c>
      <c r="AW429" s="3" t="s">
        <v>195</v>
      </c>
      <c r="AX429" s="3" t="s">
        <v>244</v>
      </c>
      <c r="AY429" s="3" t="s">
        <v>247</v>
      </c>
    </row>
    <row r="430" spans="1:52" ht="15.75" customHeight="1">
      <c r="A430" s="3">
        <v>327</v>
      </c>
      <c r="B430" s="5" t="str">
        <f t="shared" si="0"/>
        <v>http://roarmap.eprints.org/327/</v>
      </c>
      <c r="C430" s="3">
        <v>3</v>
      </c>
      <c r="D430" s="3" t="s">
        <v>98</v>
      </c>
      <c r="E430" s="3">
        <v>1</v>
      </c>
      <c r="F430" s="3" t="s">
        <v>1748</v>
      </c>
      <c r="G430" s="3">
        <v>41988.923784722225</v>
      </c>
      <c r="H430" s="3">
        <v>41988.923796296294</v>
      </c>
      <c r="I430" s="3">
        <v>41988.923784722225</v>
      </c>
      <c r="J430" s="3" t="s">
        <v>103</v>
      </c>
      <c r="K430" s="3" t="s">
        <v>105</v>
      </c>
      <c r="L430" s="3" t="s">
        <v>1749</v>
      </c>
      <c r="M430" s="3" t="s">
        <v>374</v>
      </c>
      <c r="O430" s="3" t="s">
        <v>1750</v>
      </c>
      <c r="P430" s="3" t="s">
        <v>215</v>
      </c>
      <c r="Q430" t="str">
        <f t="shared" si="28"/>
        <v>http://roarmap.eprints.org/view/country/756.html</v>
      </c>
      <c r="R430" s="3">
        <v>756</v>
      </c>
      <c r="S430" s="6" t="s">
        <v>327</v>
      </c>
      <c r="T430" s="9">
        <v>756</v>
      </c>
      <c r="U430" s="7" t="s">
        <v>123</v>
      </c>
      <c r="V430" s="6" t="s">
        <v>108</v>
      </c>
      <c r="W430" s="3" t="s">
        <v>158</v>
      </c>
      <c r="X430" s="3" t="s">
        <v>160</v>
      </c>
      <c r="Y430" s="3" t="s">
        <v>1749</v>
      </c>
      <c r="Z430" s="8" t="str">
        <f>HYPERLINK("http://www.unige.ch/","http://www.unige.ch/")</f>
        <v>http://www.unige.ch/</v>
      </c>
      <c r="AA430" s="8" t="str">
        <f>HYPERLINK("http://archive-ouverte.unige.ch/pages/copyright_open_access","http://archive-ouverte.unige.ch/pages/copyright_open_access")</f>
        <v>http://archive-ouverte.unige.ch/pages/copyright_open_access</v>
      </c>
      <c r="AB430" s="8" t="str">
        <f>HYPERLINK("http://archive-ouverte.unige.ch/","http://archive-ouverte.unige.ch/")</f>
        <v>http://archive-ouverte.unige.ch/</v>
      </c>
      <c r="AF430" s="3" t="s">
        <v>244</v>
      </c>
      <c r="AG430" s="3" t="s">
        <v>333</v>
      </c>
      <c r="AH430" s="3" t="s">
        <v>180</v>
      </c>
      <c r="AI430" s="3" t="s">
        <v>244</v>
      </c>
      <c r="AJ430" s="3" t="s">
        <v>244</v>
      </c>
      <c r="AK430" s="3" t="s">
        <v>244</v>
      </c>
      <c r="AL430" s="3" t="s">
        <v>288</v>
      </c>
      <c r="AM430" s="3" t="s">
        <v>371</v>
      </c>
      <c r="AN430" s="3" t="s">
        <v>244</v>
      </c>
      <c r="AO430" s="3" t="s">
        <v>247</v>
      </c>
      <c r="AP430" s="3" t="s">
        <v>244</v>
      </c>
      <c r="AQ430" s="3" t="s">
        <v>247</v>
      </c>
      <c r="AR430" s="3" t="s">
        <v>288</v>
      </c>
      <c r="AS430" s="3" t="s">
        <v>244</v>
      </c>
      <c r="AT430" s="3" t="s">
        <v>244</v>
      </c>
      <c r="AU430" s="3" t="s">
        <v>244</v>
      </c>
      <c r="AV430" s="3" t="s">
        <v>288</v>
      </c>
      <c r="AW430" s="3" t="s">
        <v>195</v>
      </c>
      <c r="AX430" s="3" t="s">
        <v>442</v>
      </c>
      <c r="AY430" s="3" t="s">
        <v>247</v>
      </c>
    </row>
    <row r="431" spans="1:52" ht="15.75" customHeight="1">
      <c r="A431" s="3">
        <v>328</v>
      </c>
      <c r="B431" s="5" t="str">
        <f t="shared" si="0"/>
        <v>http://roarmap.eprints.org/328/</v>
      </c>
      <c r="C431" s="3">
        <v>3</v>
      </c>
      <c r="D431" s="3" t="s">
        <v>98</v>
      </c>
      <c r="E431" s="3">
        <v>1</v>
      </c>
      <c r="F431" s="3" t="s">
        <v>1751</v>
      </c>
      <c r="G431" s="3">
        <v>41988.923796296294</v>
      </c>
      <c r="H431" s="3">
        <v>41988.923796296294</v>
      </c>
      <c r="I431" s="3">
        <v>41988.923796296294</v>
      </c>
      <c r="J431" s="3" t="s">
        <v>103</v>
      </c>
      <c r="K431" s="3" t="s">
        <v>105</v>
      </c>
      <c r="L431" s="3" t="s">
        <v>1752</v>
      </c>
      <c r="M431" s="3" t="s">
        <v>374</v>
      </c>
      <c r="O431" s="3" t="s">
        <v>1753</v>
      </c>
      <c r="P431" s="3" t="s">
        <v>215</v>
      </c>
      <c r="Q431" t="str">
        <f t="shared" si="28"/>
        <v>http://roarmap.eprints.org/view/country/756.html</v>
      </c>
      <c r="R431" s="3">
        <v>756</v>
      </c>
      <c r="S431" s="6" t="s">
        <v>327</v>
      </c>
      <c r="T431" s="9">
        <v>756</v>
      </c>
      <c r="U431" s="7" t="s">
        <v>123</v>
      </c>
      <c r="V431" s="6" t="s">
        <v>108</v>
      </c>
      <c r="W431" s="3" t="s">
        <v>158</v>
      </c>
      <c r="X431" s="3" t="s">
        <v>160</v>
      </c>
      <c r="Y431" s="3" t="s">
        <v>1752</v>
      </c>
      <c r="Z431" s="8" t="str">
        <f>HYPERLINK("http://www.unisg.ch/","http://www.unisg.ch/")</f>
        <v>http://www.unisg.ch/</v>
      </c>
      <c r="AA431" s="8" t="str">
        <f>HYPERLINK("https://www.alexandria.unisg.ch/Open-Access-at-the-University-of-St-Gallen","https://www.alexandria.unisg.ch/Open-Access-at-the-University-of-St-Gallen")</f>
        <v>https://www.alexandria.unisg.ch/Open-Access-at-the-University-of-St-Gallen</v>
      </c>
      <c r="AB431" s="8" t="str">
        <f>HYPERLINK("http://www.unisg.ch/en/forschung/forschungsplattformalexandria","http://www.unisg.ch/en/forschung/forschungsplattformalexandria")</f>
        <v>http://www.unisg.ch/en/forschung/forschungsplattformalexandria</v>
      </c>
      <c r="AC431" s="3">
        <v>39398</v>
      </c>
      <c r="AE431" s="3">
        <v>39797</v>
      </c>
      <c r="AF431" s="3" t="s">
        <v>177</v>
      </c>
      <c r="AG431" s="3" t="s">
        <v>178</v>
      </c>
      <c r="AH431" s="3" t="s">
        <v>180</v>
      </c>
      <c r="AI431" s="3" t="s">
        <v>377</v>
      </c>
      <c r="AJ431" s="3" t="s">
        <v>182</v>
      </c>
      <c r="AK431" s="3" t="s">
        <v>371</v>
      </c>
      <c r="AL431" s="3" t="s">
        <v>189</v>
      </c>
      <c r="AM431" s="3" t="s">
        <v>178</v>
      </c>
      <c r="AN431" s="3" t="s">
        <v>185</v>
      </c>
      <c r="AO431" s="3" t="s">
        <v>378</v>
      </c>
      <c r="AP431" s="3" t="s">
        <v>244</v>
      </c>
      <c r="AQ431" s="3" t="s">
        <v>394</v>
      </c>
      <c r="AR431" s="3" t="s">
        <v>288</v>
      </c>
      <c r="AS431" s="3" t="s">
        <v>288</v>
      </c>
      <c r="AT431" s="3" t="s">
        <v>244</v>
      </c>
      <c r="AU431" s="3" t="s">
        <v>244</v>
      </c>
      <c r="AV431" s="3" t="s">
        <v>288</v>
      </c>
      <c r="AW431" s="3" t="s">
        <v>195</v>
      </c>
      <c r="AX431" s="3" t="s">
        <v>341</v>
      </c>
      <c r="AY431" s="3" t="s">
        <v>247</v>
      </c>
    </row>
    <row r="432" spans="1:52" ht="15.75" customHeight="1">
      <c r="A432" s="3">
        <v>329</v>
      </c>
      <c r="B432" s="5" t="str">
        <f t="shared" si="0"/>
        <v>http://roarmap.eprints.org/329/</v>
      </c>
      <c r="C432" s="3">
        <v>6</v>
      </c>
      <c r="D432" s="3" t="s">
        <v>98</v>
      </c>
      <c r="E432" s="3">
        <v>1</v>
      </c>
      <c r="F432" s="3" t="s">
        <v>1754</v>
      </c>
      <c r="G432" s="3">
        <v>41988.923796296294</v>
      </c>
      <c r="H432" s="3">
        <v>41988.923796296294</v>
      </c>
      <c r="I432" s="3">
        <v>41988.923796296294</v>
      </c>
      <c r="J432" s="3" t="s">
        <v>103</v>
      </c>
      <c r="K432" s="3" t="s">
        <v>105</v>
      </c>
      <c r="L432" s="3" t="s">
        <v>1755</v>
      </c>
      <c r="M432" s="3" t="s">
        <v>374</v>
      </c>
      <c r="N432" s="3" t="s">
        <v>1756</v>
      </c>
      <c r="O432" s="3" t="s">
        <v>1757</v>
      </c>
      <c r="P432" s="3" t="s">
        <v>215</v>
      </c>
      <c r="Q432" t="str">
        <f t="shared" si="28"/>
        <v>http://roarmap.eprints.org/view/country/756.html</v>
      </c>
      <c r="R432" s="3">
        <v>756</v>
      </c>
      <c r="S432" s="6" t="s">
        <v>327</v>
      </c>
      <c r="T432" s="9">
        <v>756</v>
      </c>
      <c r="U432" s="7" t="s">
        <v>123</v>
      </c>
      <c r="V432" s="6" t="s">
        <v>108</v>
      </c>
      <c r="W432" s="3" t="s">
        <v>158</v>
      </c>
      <c r="X432" s="3" t="s">
        <v>160</v>
      </c>
      <c r="Y432" s="3" t="s">
        <v>1755</v>
      </c>
      <c r="Z432" s="8" t="str">
        <f>HYPERLINK("http://www.uzh.ch/index.html","http://www.uzh.ch/index.html")</f>
        <v>http://www.uzh.ch/index.html</v>
      </c>
      <c r="AA432" s="8" t="str">
        <f>HYPERLINK("http://www.oai.uzh.ch/en/working-with-zora/regulations/guidelines","http://www.oai.uzh.ch/en/working-with-zora/regulations/guidelines")</f>
        <v>http://www.oai.uzh.ch/en/working-with-zora/regulations/guidelines</v>
      </c>
      <c r="AB432" s="8" t="str">
        <f>HYPERLINK("http://www.zora.unizh.ch/","http://www.zora.unizh.ch/")</f>
        <v>http://www.zora.unizh.ch/</v>
      </c>
      <c r="AC432" s="3">
        <v>38554</v>
      </c>
      <c r="AD432" s="3">
        <v>38554</v>
      </c>
      <c r="AE432" s="3">
        <v>39590</v>
      </c>
      <c r="AF432" s="3" t="s">
        <v>177</v>
      </c>
      <c r="AG432" s="3" t="s">
        <v>178</v>
      </c>
      <c r="AH432" s="3" t="s">
        <v>180</v>
      </c>
      <c r="AI432" s="3" t="s">
        <v>392</v>
      </c>
      <c r="AJ432" s="3" t="s">
        <v>182</v>
      </c>
      <c r="AK432" s="3" t="s">
        <v>393</v>
      </c>
      <c r="AL432" s="3" t="s">
        <v>185</v>
      </c>
      <c r="AM432" s="3" t="s">
        <v>178</v>
      </c>
      <c r="AN432" s="3" t="s">
        <v>244</v>
      </c>
      <c r="AO432" s="3" t="s">
        <v>378</v>
      </c>
      <c r="AP432" s="3" t="s">
        <v>185</v>
      </c>
      <c r="AQ432" s="3" t="s">
        <v>386</v>
      </c>
      <c r="AR432" s="3" t="s">
        <v>288</v>
      </c>
      <c r="AS432" s="3" t="s">
        <v>288</v>
      </c>
      <c r="AT432" s="3" t="s">
        <v>244</v>
      </c>
      <c r="AU432" s="3" t="s">
        <v>244</v>
      </c>
      <c r="AV432" s="3" t="s">
        <v>288</v>
      </c>
      <c r="AW432" s="3" t="s">
        <v>371</v>
      </c>
      <c r="AX432" s="3" t="s">
        <v>341</v>
      </c>
      <c r="AY432" s="3" t="s">
        <v>198</v>
      </c>
      <c r="AZ432" s="8" t="str">
        <f>HYPERLINK("http://www.oai.uzh.ch/en/at-the-uzh/funding","http://www.oai.uzh.ch/en/at-the-uzh/funding")</f>
        <v>http://www.oai.uzh.ch/en/at-the-uzh/funding</v>
      </c>
    </row>
    <row r="433" spans="1:51" ht="15.75" customHeight="1">
      <c r="A433" s="3">
        <v>64</v>
      </c>
      <c r="B433" s="5" t="str">
        <f t="shared" si="0"/>
        <v>http://roarmap.eprints.org/64/</v>
      </c>
      <c r="C433" s="3">
        <v>5</v>
      </c>
      <c r="D433" s="3" t="s">
        <v>98</v>
      </c>
      <c r="E433" s="3">
        <v>1</v>
      </c>
      <c r="F433" s="3" t="s">
        <v>1758</v>
      </c>
      <c r="G433" s="3">
        <v>41988.923171296294</v>
      </c>
      <c r="H433" s="3">
        <v>42053.579062500001</v>
      </c>
      <c r="I433" s="3">
        <v>41988.923171296294</v>
      </c>
      <c r="J433" s="3" t="s">
        <v>103</v>
      </c>
      <c r="K433" s="3" t="s">
        <v>105</v>
      </c>
      <c r="L433" s="3" t="s">
        <v>1759</v>
      </c>
      <c r="M433" s="3" t="s">
        <v>352</v>
      </c>
      <c r="N433" s="3" t="s">
        <v>1760</v>
      </c>
      <c r="P433" s="3" t="s">
        <v>1761</v>
      </c>
      <c r="Q433" t="str">
        <f t="shared" si="28"/>
        <v>http://roarmap.eprints.org/view/country/792.html</v>
      </c>
      <c r="R433" s="3">
        <v>792</v>
      </c>
      <c r="S433" s="6" t="s">
        <v>338</v>
      </c>
      <c r="T433" s="9">
        <v>792</v>
      </c>
      <c r="U433" s="7" t="s">
        <v>123</v>
      </c>
      <c r="V433" s="6" t="s">
        <v>76</v>
      </c>
      <c r="W433" s="3" t="s">
        <v>158</v>
      </c>
      <c r="X433" s="3" t="s">
        <v>160</v>
      </c>
      <c r="Y433" s="3" t="s">
        <v>1759</v>
      </c>
      <c r="Z433" s="8" t="str">
        <f>HYPERLINK("http://www.ibu.edu.tr/index.php/en/","http://www.ibu.edu.tr/index.php/en/")</f>
        <v>http://www.ibu.edu.tr/index.php/en/</v>
      </c>
      <c r="AA433" s="3" t="s">
        <v>1762</v>
      </c>
      <c r="AB433" s="3" t="s">
        <v>1762</v>
      </c>
      <c r="AE433" s="3">
        <v>41764</v>
      </c>
      <c r="AF433" s="3" t="s">
        <v>177</v>
      </c>
      <c r="AG433" s="3" t="s">
        <v>333</v>
      </c>
      <c r="AH433" s="3" t="s">
        <v>180</v>
      </c>
      <c r="AI433" s="3" t="s">
        <v>244</v>
      </c>
      <c r="AJ433" s="3" t="s">
        <v>182</v>
      </c>
      <c r="AK433" s="3" t="s">
        <v>393</v>
      </c>
      <c r="AL433" s="3" t="s">
        <v>288</v>
      </c>
      <c r="AM433" s="3" t="s">
        <v>479</v>
      </c>
      <c r="AN433" s="3" t="s">
        <v>244</v>
      </c>
      <c r="AO433" s="3" t="s">
        <v>378</v>
      </c>
      <c r="AP433" s="3" t="s">
        <v>185</v>
      </c>
      <c r="AQ433" s="3" t="s">
        <v>247</v>
      </c>
      <c r="AR433" s="3" t="s">
        <v>288</v>
      </c>
      <c r="AS433" s="3" t="s">
        <v>288</v>
      </c>
      <c r="AT433" s="3" t="s">
        <v>395</v>
      </c>
      <c r="AU433" s="3" t="s">
        <v>395</v>
      </c>
      <c r="AV433" s="3" t="s">
        <v>244</v>
      </c>
      <c r="AW433" s="3" t="s">
        <v>630</v>
      </c>
      <c r="AX433" s="3" t="s">
        <v>371</v>
      </c>
      <c r="AY433" s="3" t="s">
        <v>371</v>
      </c>
    </row>
    <row r="434" spans="1:51" ht="15.75" customHeight="1">
      <c r="A434" s="3">
        <v>63</v>
      </c>
      <c r="B434" s="5" t="str">
        <f t="shared" si="0"/>
        <v>http://roarmap.eprints.org/63/</v>
      </c>
      <c r="C434" s="3">
        <v>4</v>
      </c>
      <c r="D434" s="3" t="s">
        <v>98</v>
      </c>
      <c r="E434" s="3">
        <v>1</v>
      </c>
      <c r="F434" s="3" t="s">
        <v>1763</v>
      </c>
      <c r="G434" s="3">
        <v>41988.923159722224</v>
      </c>
      <c r="H434" s="3">
        <v>41988.923171296294</v>
      </c>
      <c r="I434" s="3">
        <v>41988.923159722224</v>
      </c>
      <c r="J434" s="3" t="s">
        <v>103</v>
      </c>
      <c r="K434" s="3" t="s">
        <v>105</v>
      </c>
      <c r="L434" s="3" t="s">
        <v>1764</v>
      </c>
      <c r="M434" s="3" t="s">
        <v>532</v>
      </c>
      <c r="N434" s="3" t="s">
        <v>1765</v>
      </c>
      <c r="O434" s="3" t="s">
        <v>1766</v>
      </c>
      <c r="P434" s="3" t="s">
        <v>1761</v>
      </c>
      <c r="Q434" t="str">
        <f t="shared" si="28"/>
        <v>http://roarmap.eprints.org/view/country/792.html</v>
      </c>
      <c r="R434" s="3">
        <v>792</v>
      </c>
      <c r="S434" s="6" t="s">
        <v>338</v>
      </c>
      <c r="T434" s="9">
        <v>792</v>
      </c>
      <c r="U434" s="7" t="s">
        <v>123</v>
      </c>
      <c r="V434" s="6" t="s">
        <v>76</v>
      </c>
      <c r="W434" s="3" t="s">
        <v>158</v>
      </c>
      <c r="X434" s="3" t="s">
        <v>160</v>
      </c>
      <c r="Y434" s="3" t="s">
        <v>1764</v>
      </c>
      <c r="Z434" s="8" t="str">
        <f>HYPERLINK("http://en.bingol.edu.tr/","http://en.bingol.edu.tr/")</f>
        <v>http://en.bingol.edu.tr/</v>
      </c>
      <c r="AA434" s="8" t="str">
        <f>HYPERLINK("http://www.bingol.edu.tr/media/163822/BiNGoL-uNiVERSiTESi-AciK-ERisiM-POLiTiKASi.pdf","http://www.bingol.edu.tr/media/163822/BiNGoL-uNiVERSiTESi-AciK-ERisiM-POLiTiKASi.pdf")</f>
        <v>http://www.bingol.edu.tr/media/163822/BiNGoL-uNiVERSiTESi-AciK-ERisiM-POLiTiKASi.pdf</v>
      </c>
      <c r="AB434" s="8" t="str">
        <f>HYPERLINK("http://acikerisim.bingol.edu.tr:8080/xmlui","http://acikerisim.bingol.edu.tr:8080/xmlui")</f>
        <v>http://acikerisim.bingol.edu.tr:8080/xmlui</v>
      </c>
      <c r="AC434" s="3">
        <v>41767</v>
      </c>
      <c r="AD434" s="3">
        <v>41767</v>
      </c>
      <c r="AF434" s="3" t="s">
        <v>177</v>
      </c>
      <c r="AG434" s="3" t="s">
        <v>178</v>
      </c>
      <c r="AH434" s="3" t="s">
        <v>180</v>
      </c>
      <c r="AI434" s="3" t="s">
        <v>371</v>
      </c>
      <c r="AJ434" s="3" t="s">
        <v>182</v>
      </c>
      <c r="AK434" s="3" t="s">
        <v>371</v>
      </c>
      <c r="AL434" s="3" t="s">
        <v>189</v>
      </c>
      <c r="AM434" s="3" t="s">
        <v>178</v>
      </c>
      <c r="AN434" s="3" t="s">
        <v>189</v>
      </c>
      <c r="AO434" s="3" t="s">
        <v>378</v>
      </c>
      <c r="AP434" s="3" t="s">
        <v>189</v>
      </c>
      <c r="AQ434" s="3" t="s">
        <v>394</v>
      </c>
      <c r="AR434" s="3" t="s">
        <v>185</v>
      </c>
      <c r="AS434" s="3" t="s">
        <v>189</v>
      </c>
      <c r="AT434" s="3" t="s">
        <v>379</v>
      </c>
      <c r="AU434" s="3" t="s">
        <v>379</v>
      </c>
      <c r="AV434" s="3" t="s">
        <v>185</v>
      </c>
      <c r="AW434" s="3" t="s">
        <v>244</v>
      </c>
      <c r="AX434" s="3" t="s">
        <v>244</v>
      </c>
      <c r="AY434" s="3" t="s">
        <v>247</v>
      </c>
    </row>
    <row r="435" spans="1:51" ht="15.75" customHeight="1">
      <c r="A435" s="3">
        <v>73</v>
      </c>
      <c r="B435" s="5" t="str">
        <f t="shared" si="0"/>
        <v>http://roarmap.eprints.org/73/</v>
      </c>
      <c r="C435" s="3">
        <v>3</v>
      </c>
      <c r="D435" s="3" t="s">
        <v>98</v>
      </c>
      <c r="E435" s="3">
        <v>1</v>
      </c>
      <c r="F435" s="3" t="s">
        <v>1767</v>
      </c>
      <c r="G435" s="3">
        <v>41988.923194444447</v>
      </c>
      <c r="H435" s="3">
        <v>41988.923206018517</v>
      </c>
      <c r="I435" s="3">
        <v>41988.923194444447</v>
      </c>
      <c r="J435" s="3" t="s">
        <v>103</v>
      </c>
      <c r="K435" s="3" t="s">
        <v>105</v>
      </c>
      <c r="L435" s="3" t="s">
        <v>1768</v>
      </c>
      <c r="M435" s="3" t="s">
        <v>352</v>
      </c>
      <c r="N435" s="3" t="s">
        <v>1760</v>
      </c>
      <c r="P435" s="3" t="s">
        <v>1761</v>
      </c>
      <c r="Q435" t="str">
        <f t="shared" si="28"/>
        <v>http://roarmap.eprints.org/view/country/792.html</v>
      </c>
      <c r="R435" s="3">
        <v>792</v>
      </c>
      <c r="S435" s="6" t="s">
        <v>338</v>
      </c>
      <c r="T435" s="9">
        <v>792</v>
      </c>
      <c r="U435" s="7" t="s">
        <v>123</v>
      </c>
      <c r="V435" s="6" t="s">
        <v>76</v>
      </c>
      <c r="W435" s="3" t="s">
        <v>158</v>
      </c>
      <c r="X435" s="3" t="s">
        <v>160</v>
      </c>
      <c r="Y435" s="3" t="s">
        <v>1768</v>
      </c>
      <c r="Z435" s="8" t="str">
        <f>HYPERLINK("http://www.cbu.edu.tr/eng/","http://www.cbu.edu.tr/eng/")</f>
        <v>http://www.cbu.edu.tr/eng/</v>
      </c>
      <c r="AE435" s="3">
        <v>41764</v>
      </c>
      <c r="AF435" s="3" t="s">
        <v>177</v>
      </c>
      <c r="AG435" s="3" t="s">
        <v>333</v>
      </c>
      <c r="AH435" s="3" t="s">
        <v>180</v>
      </c>
      <c r="AI435" s="3" t="s">
        <v>244</v>
      </c>
      <c r="AJ435" s="3" t="s">
        <v>182</v>
      </c>
      <c r="AK435" s="3" t="s">
        <v>183</v>
      </c>
      <c r="AL435" s="3" t="s">
        <v>288</v>
      </c>
      <c r="AM435" s="3" t="s">
        <v>479</v>
      </c>
      <c r="AN435" s="3" t="s">
        <v>185</v>
      </c>
      <c r="AO435" s="3" t="s">
        <v>378</v>
      </c>
      <c r="AP435" s="3" t="s">
        <v>185</v>
      </c>
      <c r="AQ435" s="3" t="s">
        <v>394</v>
      </c>
      <c r="AR435" s="3" t="s">
        <v>288</v>
      </c>
      <c r="AS435" s="3" t="s">
        <v>185</v>
      </c>
      <c r="AT435" s="3" t="s">
        <v>395</v>
      </c>
      <c r="AU435" s="3" t="s">
        <v>395</v>
      </c>
      <c r="AV435" s="3" t="s">
        <v>288</v>
      </c>
      <c r="AW435" s="3" t="s">
        <v>339</v>
      </c>
      <c r="AX435" s="3" t="s">
        <v>341</v>
      </c>
      <c r="AY435" s="3" t="s">
        <v>247</v>
      </c>
    </row>
    <row r="436" spans="1:51" ht="15.75" customHeight="1">
      <c r="A436" s="3">
        <v>51</v>
      </c>
      <c r="B436" s="5" t="str">
        <f t="shared" si="0"/>
        <v>http://roarmap.eprints.org/51/</v>
      </c>
      <c r="C436" s="3">
        <v>7</v>
      </c>
      <c r="D436" s="3" t="s">
        <v>98</v>
      </c>
      <c r="E436" s="3">
        <v>239</v>
      </c>
      <c r="F436" s="3" t="s">
        <v>1769</v>
      </c>
      <c r="G436" s="3">
        <v>41988.923148148147</v>
      </c>
      <c r="H436" s="3">
        <v>42046.98164351852</v>
      </c>
      <c r="I436" s="3">
        <v>41988.923148148147</v>
      </c>
      <c r="J436" s="3" t="s">
        <v>103</v>
      </c>
      <c r="K436" s="3" t="s">
        <v>105</v>
      </c>
      <c r="L436" s="3" t="s">
        <v>1770</v>
      </c>
      <c r="M436" s="3" t="s">
        <v>637</v>
      </c>
      <c r="N436" s="3" t="s">
        <v>1771</v>
      </c>
      <c r="O436" s="3" t="s">
        <v>1772</v>
      </c>
      <c r="P436" s="3" t="s">
        <v>1761</v>
      </c>
      <c r="Q436" t="str">
        <f t="shared" si="28"/>
        <v>http://roarmap.eprints.org/view/country/792.html</v>
      </c>
      <c r="R436" s="3">
        <v>792</v>
      </c>
      <c r="S436" s="6" t="s">
        <v>338</v>
      </c>
      <c r="T436" s="9">
        <v>792</v>
      </c>
      <c r="U436" s="7" t="s">
        <v>123</v>
      </c>
      <c r="V436" s="6" t="s">
        <v>76</v>
      </c>
      <c r="W436" s="3" t="s">
        <v>158</v>
      </c>
      <c r="X436" s="3" t="s">
        <v>160</v>
      </c>
      <c r="Y436" s="3" t="s">
        <v>1770</v>
      </c>
      <c r="Z436" s="8" t="str">
        <f>HYPERLINK("http://www.dogus.edu.tr/en/","http://www.dogus.edu.tr/en/")</f>
        <v>http://www.dogus.edu.tr/en/</v>
      </c>
      <c r="AA436" s="8" t="str">
        <f>HYPERLINK("http://openaccess.dogus.edu.tr:8080/dokumanlar/oa_politika.html","http://openaccess.dogus.edu.tr:8080/dokumanlar/oa_politika.html")</f>
        <v>http://openaccess.dogus.edu.tr:8080/dokumanlar/oa_politika.html</v>
      </c>
      <c r="AB436" s="8" t="str">
        <f>HYPERLINK("http://openaccess.dogus.edu.tr:8080/xmlui/","http://openaccess.dogus.edu.tr:8080/xmlui/")</f>
        <v>http://openaccess.dogus.edu.tr:8080/xmlui/</v>
      </c>
      <c r="AC436" s="3">
        <v>41837</v>
      </c>
      <c r="AD436" s="3">
        <v>41844</v>
      </c>
      <c r="AE436" s="3">
        <v>41844</v>
      </c>
      <c r="AF436" s="3" t="s">
        <v>177</v>
      </c>
      <c r="AG436" s="3" t="s">
        <v>178</v>
      </c>
      <c r="AH436" s="3" t="s">
        <v>180</v>
      </c>
      <c r="AI436" s="3" t="s">
        <v>392</v>
      </c>
      <c r="AJ436" s="3" t="s">
        <v>182</v>
      </c>
      <c r="AK436" s="3" t="s">
        <v>183</v>
      </c>
      <c r="AL436" s="3" t="s">
        <v>189</v>
      </c>
      <c r="AM436" s="3" t="s">
        <v>178</v>
      </c>
      <c r="AN436" s="3" t="s">
        <v>189</v>
      </c>
      <c r="AO436" s="3" t="s">
        <v>392</v>
      </c>
      <c r="AP436" s="3" t="s">
        <v>189</v>
      </c>
      <c r="AQ436" s="3" t="s">
        <v>394</v>
      </c>
      <c r="AR436" s="3" t="s">
        <v>244</v>
      </c>
      <c r="AS436" s="3" t="s">
        <v>244</v>
      </c>
      <c r="AT436" s="3" t="s">
        <v>395</v>
      </c>
      <c r="AU436" s="3" t="s">
        <v>395</v>
      </c>
      <c r="AV436" s="3" t="s">
        <v>189</v>
      </c>
      <c r="AW436" s="3" t="s">
        <v>520</v>
      </c>
      <c r="AX436" s="3" t="s">
        <v>442</v>
      </c>
      <c r="AY436" s="3" t="s">
        <v>247</v>
      </c>
    </row>
    <row r="437" spans="1:51" ht="15.75" customHeight="1">
      <c r="A437" s="3">
        <v>62</v>
      </c>
      <c r="B437" s="5" t="str">
        <f t="shared" si="0"/>
        <v>http://roarmap.eprints.org/62/</v>
      </c>
      <c r="C437" s="3">
        <v>3</v>
      </c>
      <c r="D437" s="3" t="s">
        <v>98</v>
      </c>
      <c r="E437" s="3">
        <v>1</v>
      </c>
      <c r="F437" s="3" t="s">
        <v>1773</v>
      </c>
      <c r="G437" s="3">
        <v>41988.923159722224</v>
      </c>
      <c r="H437" s="3">
        <v>41988.923159722224</v>
      </c>
      <c r="I437" s="3">
        <v>41988.923159722224</v>
      </c>
      <c r="J437" s="3" t="s">
        <v>103</v>
      </c>
      <c r="K437" s="3" t="s">
        <v>105</v>
      </c>
      <c r="L437" s="3" t="s">
        <v>1774</v>
      </c>
      <c r="M437" s="3" t="s">
        <v>352</v>
      </c>
      <c r="N437" s="3" t="s">
        <v>1760</v>
      </c>
      <c r="P437" s="3" t="s">
        <v>1761</v>
      </c>
      <c r="Q437" t="str">
        <f t="shared" si="28"/>
        <v>http://roarmap.eprints.org/view/country/792.html</v>
      </c>
      <c r="R437" s="3">
        <v>792</v>
      </c>
      <c r="S437" s="6" t="s">
        <v>338</v>
      </c>
      <c r="T437" s="9">
        <v>792</v>
      </c>
      <c r="U437" s="7" t="s">
        <v>123</v>
      </c>
      <c r="V437" s="6" t="s">
        <v>76</v>
      </c>
      <c r="W437" s="3" t="s">
        <v>158</v>
      </c>
      <c r="X437" s="3" t="s">
        <v>160</v>
      </c>
      <c r="Y437" s="3" t="s">
        <v>1774</v>
      </c>
      <c r="Z437" s="8" t="str">
        <f>HYPERLINK("http://www.eng.duzce.edu.tr/","http://www.eng.duzce.edu.tr/")</f>
        <v>http://www.eng.duzce.edu.tr/</v>
      </c>
      <c r="AA437" s="3" t="s">
        <v>1762</v>
      </c>
      <c r="AB437" s="3" t="s">
        <v>1762</v>
      </c>
      <c r="AE437" s="3">
        <v>41764</v>
      </c>
      <c r="AF437" s="3" t="s">
        <v>177</v>
      </c>
      <c r="AG437" s="3" t="s">
        <v>178</v>
      </c>
      <c r="AH437" s="3" t="s">
        <v>180</v>
      </c>
      <c r="AI437" s="3" t="s">
        <v>244</v>
      </c>
      <c r="AJ437" s="3" t="s">
        <v>182</v>
      </c>
      <c r="AK437" s="3" t="s">
        <v>393</v>
      </c>
      <c r="AL437" s="3" t="s">
        <v>244</v>
      </c>
      <c r="AM437" s="3" t="s">
        <v>479</v>
      </c>
      <c r="AN437" s="3" t="s">
        <v>244</v>
      </c>
      <c r="AO437" s="3" t="s">
        <v>378</v>
      </c>
      <c r="AP437" s="3" t="s">
        <v>244</v>
      </c>
      <c r="AQ437" s="3" t="s">
        <v>394</v>
      </c>
      <c r="AR437" s="3" t="s">
        <v>288</v>
      </c>
      <c r="AS437" s="3" t="s">
        <v>288</v>
      </c>
      <c r="AT437" s="3" t="s">
        <v>395</v>
      </c>
      <c r="AU437" s="3" t="s">
        <v>395</v>
      </c>
      <c r="AV437" s="3" t="s">
        <v>244</v>
      </c>
      <c r="AW437" s="3" t="s">
        <v>371</v>
      </c>
      <c r="AX437" s="3" t="s">
        <v>244</v>
      </c>
      <c r="AY437" s="3" t="s">
        <v>247</v>
      </c>
    </row>
    <row r="438" spans="1:51" ht="15.75" customHeight="1">
      <c r="A438" s="3">
        <v>59</v>
      </c>
      <c r="B438" s="5" t="str">
        <f t="shared" si="0"/>
        <v>http://roarmap.eprints.org/59/</v>
      </c>
      <c r="C438" s="3">
        <v>3</v>
      </c>
      <c r="D438" s="3" t="s">
        <v>98</v>
      </c>
      <c r="E438" s="3">
        <v>1</v>
      </c>
      <c r="F438" s="3" t="s">
        <v>1775</v>
      </c>
      <c r="G438" s="3">
        <v>41988.923148148147</v>
      </c>
      <c r="H438" s="3">
        <v>41988.923148148147</v>
      </c>
      <c r="I438" s="3">
        <v>41988.923148148147</v>
      </c>
      <c r="J438" s="3" t="s">
        <v>103</v>
      </c>
      <c r="K438" s="3" t="s">
        <v>105</v>
      </c>
      <c r="L438" s="3" t="s">
        <v>1776</v>
      </c>
      <c r="M438" s="3" t="s">
        <v>352</v>
      </c>
      <c r="N438" s="3" t="s">
        <v>1760</v>
      </c>
      <c r="P438" s="3" t="s">
        <v>1761</v>
      </c>
      <c r="Q438" t="str">
        <f t="shared" si="28"/>
        <v>http://roarmap.eprints.org/view/country/792.html</v>
      </c>
      <c r="R438" s="3">
        <v>792</v>
      </c>
      <c r="S438" s="6" t="s">
        <v>338</v>
      </c>
      <c r="T438" s="9">
        <v>792</v>
      </c>
      <c r="U438" s="7" t="s">
        <v>123</v>
      </c>
      <c r="V438" s="6" t="s">
        <v>76</v>
      </c>
      <c r="W438" s="3" t="s">
        <v>158</v>
      </c>
      <c r="X438" s="3" t="s">
        <v>160</v>
      </c>
      <c r="Y438" s="3" t="s">
        <v>1776</v>
      </c>
      <c r="Z438" s="8" t="str">
        <f>HYPERLINK("http://www.ege.edu.tr/index.php?lid=2","http://www.ege.edu.tr/index.php?lid=2")</f>
        <v>http://www.ege.edu.tr/index.php?lid=2</v>
      </c>
      <c r="AA438" s="3" t="s">
        <v>1762</v>
      </c>
      <c r="AB438" s="8" t="str">
        <f>HYPERLINK("http://acikerisim.ege.edu.tr:8081/xmlui/?locale-attribute=en","http://acikerisim.ege.edu.tr:8081/xmlui/?locale-attribute=en")</f>
        <v>http://acikerisim.ege.edu.tr:8081/xmlui/?locale-attribute=en</v>
      </c>
      <c r="AE438" s="3">
        <v>41764</v>
      </c>
      <c r="AF438" s="3" t="s">
        <v>177</v>
      </c>
      <c r="AG438" s="3" t="s">
        <v>333</v>
      </c>
      <c r="AH438" s="3" t="s">
        <v>180</v>
      </c>
      <c r="AI438" s="3" t="s">
        <v>244</v>
      </c>
      <c r="AJ438" s="3" t="s">
        <v>182</v>
      </c>
      <c r="AK438" s="3" t="s">
        <v>183</v>
      </c>
      <c r="AL438" s="3" t="s">
        <v>288</v>
      </c>
      <c r="AM438" s="3" t="s">
        <v>479</v>
      </c>
      <c r="AN438" s="3" t="s">
        <v>244</v>
      </c>
      <c r="AO438" s="3" t="s">
        <v>392</v>
      </c>
      <c r="AP438" s="3" t="s">
        <v>185</v>
      </c>
      <c r="AQ438" s="3" t="s">
        <v>247</v>
      </c>
      <c r="AR438" s="3" t="s">
        <v>288</v>
      </c>
      <c r="AS438" s="3" t="s">
        <v>288</v>
      </c>
      <c r="AT438" s="3" t="s">
        <v>244</v>
      </c>
      <c r="AU438" s="3" t="s">
        <v>244</v>
      </c>
      <c r="AV438" s="3" t="s">
        <v>288</v>
      </c>
      <c r="AW438" s="3" t="s">
        <v>339</v>
      </c>
      <c r="AX438" s="3" t="s">
        <v>244</v>
      </c>
      <c r="AY438" s="3" t="s">
        <v>247</v>
      </c>
    </row>
    <row r="439" spans="1:51" ht="15.75" customHeight="1">
      <c r="A439" s="3">
        <v>72</v>
      </c>
      <c r="B439" s="5" t="str">
        <f t="shared" si="0"/>
        <v>http://roarmap.eprints.org/72/</v>
      </c>
      <c r="C439" s="3">
        <v>3</v>
      </c>
      <c r="D439" s="3" t="s">
        <v>98</v>
      </c>
      <c r="E439" s="3">
        <v>1</v>
      </c>
      <c r="F439" s="3" t="s">
        <v>1777</v>
      </c>
      <c r="G439" s="3">
        <v>41988.923194444447</v>
      </c>
      <c r="H439" s="3">
        <v>41988.923194444447</v>
      </c>
      <c r="I439" s="3">
        <v>41988.923194444447</v>
      </c>
      <c r="J439" s="3" t="s">
        <v>103</v>
      </c>
      <c r="K439" s="3" t="s">
        <v>105</v>
      </c>
      <c r="L439" s="3" t="s">
        <v>1778</v>
      </c>
      <c r="M439" s="3" t="s">
        <v>637</v>
      </c>
      <c r="N439" s="3" t="s">
        <v>620</v>
      </c>
      <c r="P439" s="3" t="s">
        <v>1761</v>
      </c>
      <c r="Q439" t="str">
        <f t="shared" si="28"/>
        <v>http://roarmap.eprints.org/view/country/792.html</v>
      </c>
      <c r="R439" s="3">
        <v>792</v>
      </c>
      <c r="S439" s="6" t="s">
        <v>338</v>
      </c>
      <c r="T439" s="9">
        <v>792</v>
      </c>
      <c r="U439" s="7" t="s">
        <v>123</v>
      </c>
      <c r="V439" s="6" t="s">
        <v>76</v>
      </c>
      <c r="W439" s="3" t="s">
        <v>158</v>
      </c>
      <c r="X439" s="3" t="s">
        <v>160</v>
      </c>
      <c r="Y439" s="3" t="s">
        <v>1778</v>
      </c>
      <c r="Z439" s="8" t="str">
        <f>HYPERLINK("http://www.gantep.edu.tr/en/","http://www.gantep.edu.tr/en/")</f>
        <v>http://www.gantep.edu.tr/en/</v>
      </c>
      <c r="AA439" s="3" t="s">
        <v>1762</v>
      </c>
      <c r="AE439" s="3">
        <v>41806</v>
      </c>
      <c r="AF439" s="3" t="s">
        <v>177</v>
      </c>
      <c r="AG439" s="3" t="s">
        <v>178</v>
      </c>
      <c r="AH439" s="3" t="s">
        <v>180</v>
      </c>
      <c r="AI439" s="3" t="s">
        <v>392</v>
      </c>
      <c r="AJ439" s="3" t="s">
        <v>182</v>
      </c>
      <c r="AK439" s="3" t="s">
        <v>393</v>
      </c>
      <c r="AL439" s="3" t="s">
        <v>189</v>
      </c>
      <c r="AM439" s="3" t="s">
        <v>178</v>
      </c>
      <c r="AN439" s="3" t="s">
        <v>185</v>
      </c>
      <c r="AO439" s="3" t="s">
        <v>378</v>
      </c>
      <c r="AP439" s="3" t="s">
        <v>189</v>
      </c>
      <c r="AQ439" s="3" t="s">
        <v>190</v>
      </c>
      <c r="AR439" s="3" t="s">
        <v>288</v>
      </c>
      <c r="AS439" s="3" t="s">
        <v>185</v>
      </c>
      <c r="AT439" s="3" t="s">
        <v>379</v>
      </c>
      <c r="AU439" s="3" t="s">
        <v>379</v>
      </c>
      <c r="AV439" s="3" t="s">
        <v>288</v>
      </c>
      <c r="AW439" s="3" t="s">
        <v>630</v>
      </c>
      <c r="AX439" s="3" t="s">
        <v>244</v>
      </c>
      <c r="AY439" s="3" t="s">
        <v>247</v>
      </c>
    </row>
    <row r="440" spans="1:51" ht="15.75" customHeight="1">
      <c r="A440" s="3">
        <v>66</v>
      </c>
      <c r="B440" s="5" t="str">
        <f t="shared" si="0"/>
        <v>http://roarmap.eprints.org/66/</v>
      </c>
      <c r="C440" s="3">
        <v>3</v>
      </c>
      <c r="D440" s="3" t="s">
        <v>98</v>
      </c>
      <c r="E440" s="3">
        <v>1</v>
      </c>
      <c r="F440" s="3" t="s">
        <v>1779</v>
      </c>
      <c r="G440" s="3">
        <v>41988.923182870371</v>
      </c>
      <c r="H440" s="3">
        <v>41988.923182870371</v>
      </c>
      <c r="I440" s="3">
        <v>41988.923182870371</v>
      </c>
      <c r="J440" s="3" t="s">
        <v>103</v>
      </c>
      <c r="K440" s="3" t="s">
        <v>105</v>
      </c>
      <c r="L440" s="3" t="s">
        <v>1780</v>
      </c>
      <c r="M440" s="3" t="s">
        <v>352</v>
      </c>
      <c r="N440" s="3" t="s">
        <v>1760</v>
      </c>
      <c r="P440" s="3" t="s">
        <v>1761</v>
      </c>
      <c r="Q440" t="str">
        <f t="shared" si="28"/>
        <v>http://roarmap.eprints.org/view/country/792.html</v>
      </c>
      <c r="R440" s="3">
        <v>792</v>
      </c>
      <c r="S440" s="6" t="s">
        <v>338</v>
      </c>
      <c r="T440" s="9">
        <v>792</v>
      </c>
      <c r="U440" s="7" t="s">
        <v>123</v>
      </c>
      <c r="V440" s="6" t="s">
        <v>76</v>
      </c>
      <c r="W440" s="3" t="s">
        <v>158</v>
      </c>
      <c r="X440" s="3" t="s">
        <v>160</v>
      </c>
      <c r="Y440" s="3" t="s">
        <v>1780</v>
      </c>
      <c r="Z440" s="8" t="str">
        <f>HYPERLINK("http://www.gop.edu.tr/eng/","http://www.gop.edu.tr/eng/")</f>
        <v>http://www.gop.edu.tr/eng/</v>
      </c>
      <c r="AA440" s="3" t="s">
        <v>1762</v>
      </c>
      <c r="AB440" s="8" t="str">
        <f>HYPERLINK("http://earsiv.gop.edu.tr/xmlui/?locale-attribute=en","http://earsiv.gop.edu.tr/xmlui/?locale-attribute=en")</f>
        <v>http://earsiv.gop.edu.tr/xmlui/?locale-attribute=en</v>
      </c>
      <c r="AE440" s="3">
        <v>41764</v>
      </c>
      <c r="AF440" s="3" t="s">
        <v>177</v>
      </c>
      <c r="AG440" s="3" t="s">
        <v>333</v>
      </c>
      <c r="AH440" s="3" t="s">
        <v>180</v>
      </c>
      <c r="AI440" s="3" t="s">
        <v>244</v>
      </c>
      <c r="AJ440" s="3" t="s">
        <v>182</v>
      </c>
      <c r="AK440" s="3" t="s">
        <v>183</v>
      </c>
      <c r="AL440" s="3" t="s">
        <v>288</v>
      </c>
      <c r="AM440" s="3" t="s">
        <v>479</v>
      </c>
      <c r="AN440" s="3" t="s">
        <v>244</v>
      </c>
      <c r="AO440" s="3" t="s">
        <v>392</v>
      </c>
      <c r="AP440" s="3" t="s">
        <v>185</v>
      </c>
      <c r="AQ440" s="3" t="s">
        <v>394</v>
      </c>
      <c r="AR440" s="3" t="s">
        <v>288</v>
      </c>
      <c r="AS440" s="3" t="s">
        <v>288</v>
      </c>
      <c r="AT440" s="3" t="s">
        <v>244</v>
      </c>
      <c r="AU440" s="3" t="s">
        <v>244</v>
      </c>
      <c r="AV440" s="3" t="s">
        <v>288</v>
      </c>
      <c r="AW440" s="3" t="s">
        <v>195</v>
      </c>
      <c r="AX440" s="3" t="s">
        <v>244</v>
      </c>
      <c r="AY440" s="3" t="s">
        <v>247</v>
      </c>
    </row>
    <row r="441" spans="1:51" ht="15.75" customHeight="1">
      <c r="A441" s="3">
        <v>48</v>
      </c>
      <c r="B441" s="5" t="str">
        <f t="shared" si="0"/>
        <v>http://roarmap.eprints.org/48/</v>
      </c>
      <c r="C441" s="3">
        <v>3</v>
      </c>
      <c r="D441" s="3" t="s">
        <v>98</v>
      </c>
      <c r="E441" s="3">
        <v>1</v>
      </c>
      <c r="F441" s="3" t="s">
        <v>1781</v>
      </c>
      <c r="G441" s="3">
        <v>41988.923136574071</v>
      </c>
      <c r="H441" s="3">
        <v>41988.923136574071</v>
      </c>
      <c r="I441" s="3">
        <v>41988.923136574071</v>
      </c>
      <c r="J441" s="3" t="s">
        <v>103</v>
      </c>
      <c r="K441" s="3" t="s">
        <v>105</v>
      </c>
      <c r="L441" s="3" t="s">
        <v>1782</v>
      </c>
      <c r="M441" s="3" t="s">
        <v>637</v>
      </c>
      <c r="N441" s="3" t="s">
        <v>1783</v>
      </c>
      <c r="O441" s="3" t="s">
        <v>1784</v>
      </c>
      <c r="P441" s="3" t="s">
        <v>1785</v>
      </c>
      <c r="Q441" t="str">
        <f t="shared" si="28"/>
        <v>http://roarmap.eprints.org/view/country/792.html</v>
      </c>
      <c r="R441" s="3">
        <v>792</v>
      </c>
      <c r="S441" s="6" t="s">
        <v>338</v>
      </c>
      <c r="T441" s="9">
        <v>792</v>
      </c>
      <c r="U441" s="7" t="s">
        <v>123</v>
      </c>
      <c r="V441" s="6" t="s">
        <v>76</v>
      </c>
      <c r="W441" s="3" t="s">
        <v>158</v>
      </c>
      <c r="X441" s="3" t="s">
        <v>384</v>
      </c>
      <c r="Y441" s="3" t="s">
        <v>1782</v>
      </c>
      <c r="Z441" s="8" t="str">
        <f>HYPERLINK("http://www.bby.hacettepe.edu.tr/english/","http://www.bby.hacettepe.edu.tr/english/")</f>
        <v>http://www.bby.hacettepe.edu.tr/english/</v>
      </c>
      <c r="AB441" s="8" t="str">
        <f>HYPERLINK("http://bbyeprints.hacettepe.edu.tr/","http://bbyeprints.hacettepe.edu.tr/")</f>
        <v>http://bbyeprints.hacettepe.edu.tr/</v>
      </c>
      <c r="AC441" s="3">
        <v>41384</v>
      </c>
      <c r="AD441" s="3">
        <v>41384</v>
      </c>
      <c r="AF441" s="3" t="s">
        <v>371</v>
      </c>
      <c r="AG441" s="3" t="s">
        <v>244</v>
      </c>
      <c r="AH441" s="3" t="s">
        <v>180</v>
      </c>
      <c r="AI441" s="3" t="s">
        <v>244</v>
      </c>
      <c r="AJ441" s="3" t="s">
        <v>182</v>
      </c>
      <c r="AK441" s="3" t="s">
        <v>244</v>
      </c>
      <c r="AL441" s="3" t="s">
        <v>244</v>
      </c>
      <c r="AM441" s="3" t="s">
        <v>247</v>
      </c>
      <c r="AN441" s="3" t="s">
        <v>244</v>
      </c>
      <c r="AO441" s="3" t="s">
        <v>247</v>
      </c>
      <c r="AP441" s="3" t="s">
        <v>244</v>
      </c>
      <c r="AQ441" s="3" t="s">
        <v>247</v>
      </c>
      <c r="AR441" s="3" t="s">
        <v>288</v>
      </c>
      <c r="AS441" s="3" t="s">
        <v>288</v>
      </c>
      <c r="AT441" s="3" t="s">
        <v>244</v>
      </c>
      <c r="AU441" s="3" t="s">
        <v>244</v>
      </c>
      <c r="AV441" s="3" t="s">
        <v>288</v>
      </c>
      <c r="AW441" s="3" t="s">
        <v>339</v>
      </c>
      <c r="AX441" s="3" t="s">
        <v>244</v>
      </c>
      <c r="AY441" s="3" t="s">
        <v>247</v>
      </c>
    </row>
    <row r="442" spans="1:51" ht="15.75" customHeight="1">
      <c r="A442" s="3">
        <v>60</v>
      </c>
      <c r="B442" s="5" t="str">
        <f t="shared" si="0"/>
        <v>http://roarmap.eprints.org/60/</v>
      </c>
      <c r="C442" s="3">
        <v>3</v>
      </c>
      <c r="D442" s="3" t="s">
        <v>98</v>
      </c>
      <c r="E442" s="3">
        <v>1</v>
      </c>
      <c r="F442" s="3" t="s">
        <v>1786</v>
      </c>
      <c r="G442" s="3">
        <v>41988.923148148147</v>
      </c>
      <c r="H442" s="3">
        <v>41988.923148148147</v>
      </c>
      <c r="I442" s="3">
        <v>41988.923148148147</v>
      </c>
      <c r="J442" s="3" t="s">
        <v>103</v>
      </c>
      <c r="K442" s="3" t="s">
        <v>105</v>
      </c>
      <c r="L442" s="3" t="s">
        <v>1787</v>
      </c>
      <c r="M442" s="3" t="s">
        <v>352</v>
      </c>
      <c r="N442" s="3" t="s">
        <v>1760</v>
      </c>
      <c r="P442" s="3" t="s">
        <v>1761</v>
      </c>
      <c r="Q442" t="str">
        <f t="shared" si="28"/>
        <v>http://roarmap.eprints.org/view/country/792.html</v>
      </c>
      <c r="R442" s="3">
        <v>792</v>
      </c>
      <c r="S442" s="6" t="s">
        <v>338</v>
      </c>
      <c r="T442" s="9">
        <v>792</v>
      </c>
      <c r="U442" s="7" t="s">
        <v>123</v>
      </c>
      <c r="V442" s="6" t="s">
        <v>76</v>
      </c>
      <c r="W442" s="3" t="s">
        <v>158</v>
      </c>
      <c r="X442" s="3" t="s">
        <v>160</v>
      </c>
      <c r="Y442" s="3" t="s">
        <v>1787</v>
      </c>
      <c r="Z442" s="8" t="str">
        <f>HYPERLINK("http://www.hitit.edu.tr/eng/index.php","http://www.hitit.edu.tr/eng/index.php")</f>
        <v>http://www.hitit.edu.tr/eng/index.php</v>
      </c>
      <c r="AA442" s="3" t="s">
        <v>1762</v>
      </c>
      <c r="AB442" s="8" t="str">
        <f>HYPERLINK("http://earsiv.hitit.edu.tr:8080/jspui/?locale=en","http://earsiv.hitit.edu.tr:8080/jspui/?locale=en")</f>
        <v>http://earsiv.hitit.edu.tr:8080/jspui/?locale=en</v>
      </c>
      <c r="AF442" s="3" t="s">
        <v>177</v>
      </c>
      <c r="AG442" s="3" t="s">
        <v>244</v>
      </c>
      <c r="AH442" s="3" t="s">
        <v>180</v>
      </c>
      <c r="AI442" s="3" t="s">
        <v>244</v>
      </c>
      <c r="AJ442" s="3" t="s">
        <v>182</v>
      </c>
      <c r="AK442" s="3" t="s">
        <v>244</v>
      </c>
      <c r="AL442" s="3" t="s">
        <v>244</v>
      </c>
      <c r="AM442" s="3" t="s">
        <v>247</v>
      </c>
      <c r="AN442" s="3" t="s">
        <v>244</v>
      </c>
      <c r="AO442" s="3" t="s">
        <v>247</v>
      </c>
      <c r="AP442" s="3" t="s">
        <v>244</v>
      </c>
      <c r="AQ442" s="3" t="s">
        <v>247</v>
      </c>
      <c r="AR442" s="3" t="s">
        <v>288</v>
      </c>
      <c r="AS442" s="3" t="s">
        <v>288</v>
      </c>
      <c r="AT442" s="3" t="s">
        <v>244</v>
      </c>
      <c r="AU442" s="3" t="s">
        <v>244</v>
      </c>
      <c r="AV442" s="3" t="s">
        <v>288</v>
      </c>
      <c r="AW442" s="3" t="s">
        <v>908</v>
      </c>
      <c r="AX442" s="3" t="s">
        <v>244</v>
      </c>
      <c r="AY442" s="3" t="s">
        <v>247</v>
      </c>
    </row>
    <row r="443" spans="1:51" ht="15.75" customHeight="1">
      <c r="A443" s="3">
        <v>67</v>
      </c>
      <c r="B443" s="5" t="str">
        <f t="shared" si="0"/>
        <v>http://roarmap.eprints.org/67/</v>
      </c>
      <c r="C443" s="3">
        <v>4</v>
      </c>
      <c r="D443" s="3" t="s">
        <v>98</v>
      </c>
      <c r="E443" s="3">
        <v>241</v>
      </c>
      <c r="F443" s="3" t="s">
        <v>1788</v>
      </c>
      <c r="G443" s="3">
        <v>41988.923182870371</v>
      </c>
      <c r="H443" s="3">
        <v>42046.98164351852</v>
      </c>
      <c r="I443" s="3">
        <v>41988.923182870371</v>
      </c>
      <c r="J443" s="3" t="s">
        <v>103</v>
      </c>
      <c r="K443" s="3" t="s">
        <v>105</v>
      </c>
      <c r="L443" s="3" t="s">
        <v>1789</v>
      </c>
      <c r="M443" s="3" t="s">
        <v>352</v>
      </c>
      <c r="N443" s="3" t="s">
        <v>1760</v>
      </c>
      <c r="P443" s="3" t="s">
        <v>1761</v>
      </c>
      <c r="Q443" t="str">
        <f t="shared" si="28"/>
        <v>http://roarmap.eprints.org/view/country/792.html</v>
      </c>
      <c r="R443" s="3">
        <v>792</v>
      </c>
      <c r="S443" s="6" t="s">
        <v>338</v>
      </c>
      <c r="T443" s="9">
        <v>792</v>
      </c>
      <c r="U443" s="7" t="s">
        <v>123</v>
      </c>
      <c r="V443" s="6" t="s">
        <v>76</v>
      </c>
      <c r="W443" s="3" t="s">
        <v>158</v>
      </c>
      <c r="X443" s="3" t="s">
        <v>160</v>
      </c>
      <c r="Y443" s="3" t="s">
        <v>1789</v>
      </c>
      <c r="Z443" s="8" t="str">
        <f>HYPERLINK("http://www.igdir.edu.tr/en/default.aspx","http://www.igdir.edu.tr/en/default.aspx")</f>
        <v>http://www.igdir.edu.tr/en/default.aspx</v>
      </c>
      <c r="AA443" s="3" t="s">
        <v>1762</v>
      </c>
      <c r="AB443" s="3" t="s">
        <v>1762</v>
      </c>
      <c r="AE443" s="3">
        <v>41764</v>
      </c>
      <c r="AF443" s="3" t="s">
        <v>177</v>
      </c>
      <c r="AG443" s="3" t="s">
        <v>178</v>
      </c>
      <c r="AH443" s="3" t="s">
        <v>180</v>
      </c>
      <c r="AI443" s="3" t="s">
        <v>244</v>
      </c>
      <c r="AJ443" s="3" t="s">
        <v>182</v>
      </c>
      <c r="AK443" s="3" t="s">
        <v>183</v>
      </c>
      <c r="AL443" s="3" t="s">
        <v>185</v>
      </c>
      <c r="AM443" s="3" t="s">
        <v>178</v>
      </c>
      <c r="AN443" s="3" t="s">
        <v>244</v>
      </c>
      <c r="AO443" s="3" t="s">
        <v>378</v>
      </c>
      <c r="AP443" s="3" t="s">
        <v>244</v>
      </c>
      <c r="AQ443" s="3" t="s">
        <v>190</v>
      </c>
      <c r="AR443" s="3" t="s">
        <v>288</v>
      </c>
      <c r="AS443" s="3" t="s">
        <v>189</v>
      </c>
      <c r="AT443" s="3" t="s">
        <v>379</v>
      </c>
      <c r="AU443" s="3" t="s">
        <v>379</v>
      </c>
      <c r="AV443" s="3" t="s">
        <v>244</v>
      </c>
      <c r="AW443" s="3" t="s">
        <v>339</v>
      </c>
      <c r="AX443" s="3" t="s">
        <v>341</v>
      </c>
      <c r="AY443" s="3" t="s">
        <v>247</v>
      </c>
    </row>
    <row r="444" spans="1:51" ht="15.75" customHeight="1">
      <c r="A444" s="3">
        <v>71</v>
      </c>
      <c r="B444" s="5" t="str">
        <f t="shared" si="0"/>
        <v>http://roarmap.eprints.org/71/</v>
      </c>
      <c r="C444" s="3">
        <v>5</v>
      </c>
      <c r="D444" s="3" t="s">
        <v>98</v>
      </c>
      <c r="E444" s="3">
        <v>1</v>
      </c>
      <c r="F444" s="3" t="s">
        <v>1790</v>
      </c>
      <c r="G444" s="3">
        <v>41988.923194444447</v>
      </c>
      <c r="H444" s="3">
        <v>42066.8909375</v>
      </c>
      <c r="I444" s="3">
        <v>41988.923194444447</v>
      </c>
      <c r="J444" s="3" t="s">
        <v>103</v>
      </c>
      <c r="K444" s="3" t="s">
        <v>105</v>
      </c>
      <c r="L444" s="3" t="s">
        <v>1791</v>
      </c>
      <c r="M444" s="3" t="s">
        <v>352</v>
      </c>
      <c r="N444" s="3" t="s">
        <v>1760</v>
      </c>
      <c r="P444" s="3" t="s">
        <v>1761</v>
      </c>
      <c r="Q444" t="str">
        <f t="shared" si="28"/>
        <v>http://roarmap.eprints.org/view/country/792.html</v>
      </c>
      <c r="R444" s="3">
        <v>792</v>
      </c>
      <c r="S444" s="6" t="s">
        <v>338</v>
      </c>
      <c r="T444" s="9">
        <v>792</v>
      </c>
      <c r="U444" s="7" t="s">
        <v>123</v>
      </c>
      <c r="V444" s="6" t="s">
        <v>76</v>
      </c>
      <c r="W444" s="3" t="s">
        <v>158</v>
      </c>
      <c r="X444" s="3" t="s">
        <v>160</v>
      </c>
      <c r="Y444" s="3" t="s">
        <v>1791</v>
      </c>
      <c r="Z444" s="8" t="str">
        <f>HYPERLINK("http://www.istanbulbilim.edu.tr/?sc=d&amp;W=1366","http://www.istanbulbilim.edu.tr/?sc=d&amp;W=1366")</f>
        <v>http://www.istanbulbilim.edu.tr/?sc=d&amp;W=1366</v>
      </c>
      <c r="AA444" s="3" t="s">
        <v>1762</v>
      </c>
      <c r="AB444" s="3" t="s">
        <v>1762</v>
      </c>
      <c r="AE444" s="3">
        <v>41764</v>
      </c>
      <c r="AF444" s="3" t="s">
        <v>177</v>
      </c>
      <c r="AG444" s="3" t="s">
        <v>333</v>
      </c>
      <c r="AH444" s="3" t="s">
        <v>180</v>
      </c>
      <c r="AI444" s="3" t="s">
        <v>244</v>
      </c>
      <c r="AJ444" s="3" t="s">
        <v>182</v>
      </c>
      <c r="AK444" s="3" t="s">
        <v>244</v>
      </c>
      <c r="AL444" s="3" t="s">
        <v>288</v>
      </c>
      <c r="AM444" s="3" t="s">
        <v>479</v>
      </c>
      <c r="AN444" s="3" t="s">
        <v>244</v>
      </c>
      <c r="AO444" s="3" t="s">
        <v>378</v>
      </c>
      <c r="AP444" s="3" t="s">
        <v>244</v>
      </c>
      <c r="AQ444" s="3" t="s">
        <v>247</v>
      </c>
      <c r="AR444" s="3" t="s">
        <v>288</v>
      </c>
      <c r="AS444" s="3" t="s">
        <v>189</v>
      </c>
      <c r="AT444" s="3" t="s">
        <v>244</v>
      </c>
      <c r="AU444" s="3" t="s">
        <v>244</v>
      </c>
      <c r="AV444" s="3" t="s">
        <v>288</v>
      </c>
      <c r="AW444" s="3" t="s">
        <v>339</v>
      </c>
      <c r="AX444" s="3" t="s">
        <v>244</v>
      </c>
      <c r="AY444" s="3" t="s">
        <v>247</v>
      </c>
    </row>
    <row r="445" spans="1:51" ht="15.75" customHeight="1">
      <c r="A445" s="3">
        <v>771</v>
      </c>
      <c r="B445" s="5" t="str">
        <f t="shared" si="0"/>
        <v>http://roarmap.eprints.org/771/</v>
      </c>
      <c r="C445" s="3">
        <v>6</v>
      </c>
      <c r="D445" s="3" t="s">
        <v>98</v>
      </c>
      <c r="E445" s="3">
        <v>786</v>
      </c>
      <c r="F445" s="3" t="s">
        <v>1792</v>
      </c>
      <c r="G445" s="3">
        <v>42137.303599537037</v>
      </c>
      <c r="H445" s="3">
        <v>42144.553229166668</v>
      </c>
      <c r="I445" s="3">
        <v>42137.303599537037</v>
      </c>
      <c r="J445" s="3" t="s">
        <v>103</v>
      </c>
      <c r="K445" s="3" t="s">
        <v>105</v>
      </c>
      <c r="L445" s="3" t="s">
        <v>1793</v>
      </c>
      <c r="Q445" t="str">
        <f t="shared" si="28"/>
        <v>http://roarmap.eprints.org/view/country/792.html</v>
      </c>
      <c r="R445" s="3">
        <v>792</v>
      </c>
      <c r="S445" s="6" t="s">
        <v>338</v>
      </c>
      <c r="T445" s="9">
        <v>792</v>
      </c>
      <c r="U445" s="7" t="s">
        <v>123</v>
      </c>
      <c r="V445" s="6" t="s">
        <v>76</v>
      </c>
      <c r="W445" s="3" t="s">
        <v>158</v>
      </c>
      <c r="X445" s="3" t="s">
        <v>160</v>
      </c>
      <c r="Y445" s="3" t="s">
        <v>1793</v>
      </c>
      <c r="Z445" s="8" t="str">
        <f>HYPERLINK("http://sehir.edu.tr/Pages/anasayfa.aspx","http://sehir.edu.tr/Pages/anasayfa.aspx")</f>
        <v>http://sehir.edu.tr/Pages/anasayfa.aspx</v>
      </c>
      <c r="AA445" s="8" t="str">
        <f>HYPERLINK("http://www.sehir.edu.tr/en/Pages/Library/Sehir_Repository_Policy.aspx","http://www.sehir.edu.tr/en/Pages/Library/Sehir_Repository_Policy.aspx")</f>
        <v>http://www.sehir.edu.tr/en/Pages/Library/Sehir_Repository_Policy.aspx</v>
      </c>
      <c r="AB445" s="8" t="str">
        <f>HYPERLINK("http://earsiv.sehir.edu.tr:8080/xmlui/","http://earsiv.sehir.edu.tr:8080/xmlui/")</f>
        <v>http://earsiv.sehir.edu.tr:8080/xmlui/</v>
      </c>
      <c r="AC445" s="3">
        <v>2014</v>
      </c>
      <c r="AD445" s="3">
        <v>2015</v>
      </c>
      <c r="AF445" s="3" t="s">
        <v>177</v>
      </c>
      <c r="AG445" s="3" t="s">
        <v>178</v>
      </c>
      <c r="AH445" s="3" t="s">
        <v>180</v>
      </c>
      <c r="AI445" s="3" t="s">
        <v>244</v>
      </c>
      <c r="AJ445" s="3" t="s">
        <v>182</v>
      </c>
      <c r="AK445" s="3" t="s">
        <v>393</v>
      </c>
      <c r="AL445" s="3" t="s">
        <v>244</v>
      </c>
      <c r="AM445" s="3" t="s">
        <v>479</v>
      </c>
      <c r="AN445" s="3" t="s">
        <v>244</v>
      </c>
      <c r="AO445" s="3" t="s">
        <v>181</v>
      </c>
      <c r="AP445" s="3" t="s">
        <v>244</v>
      </c>
      <c r="AQ445" s="3" t="s">
        <v>394</v>
      </c>
      <c r="AR445" s="3" t="s">
        <v>244</v>
      </c>
      <c r="AS445" s="3" t="s">
        <v>189</v>
      </c>
      <c r="AT445" s="3" t="s">
        <v>395</v>
      </c>
      <c r="AU445" s="3" t="s">
        <v>395</v>
      </c>
      <c r="AV445" s="3" t="s">
        <v>244</v>
      </c>
      <c r="AW445" s="3" t="s">
        <v>520</v>
      </c>
      <c r="AX445" s="3" t="s">
        <v>244</v>
      </c>
      <c r="AY445" s="3" t="s">
        <v>247</v>
      </c>
    </row>
    <row r="446" spans="1:51" ht="15.75" customHeight="1">
      <c r="A446" s="3">
        <v>49</v>
      </c>
      <c r="B446" s="5" t="str">
        <f t="shared" si="0"/>
        <v>http://roarmap.eprints.org/49/</v>
      </c>
      <c r="C446" s="3">
        <v>4</v>
      </c>
      <c r="D446" s="3" t="s">
        <v>98</v>
      </c>
      <c r="E446" s="3">
        <v>238</v>
      </c>
      <c r="F446" s="3" t="s">
        <v>1794</v>
      </c>
      <c r="G446" s="3">
        <v>41988.923136574071</v>
      </c>
      <c r="H446" s="3">
        <v>42046.98164351852</v>
      </c>
      <c r="I446" s="3">
        <v>41988.923136574071</v>
      </c>
      <c r="J446" s="3" t="s">
        <v>103</v>
      </c>
      <c r="K446" s="3" t="s">
        <v>105</v>
      </c>
      <c r="L446" s="3" t="s">
        <v>1795</v>
      </c>
      <c r="M446" s="3" t="s">
        <v>637</v>
      </c>
      <c r="N446" s="3" t="s">
        <v>1771</v>
      </c>
      <c r="P446" s="3" t="s">
        <v>1785</v>
      </c>
      <c r="Q446" t="str">
        <f t="shared" si="28"/>
        <v>http://roarmap.eprints.org/view/country/792.html</v>
      </c>
      <c r="R446" s="3">
        <v>792</v>
      </c>
      <c r="S446" s="6" t="s">
        <v>338</v>
      </c>
      <c r="T446" s="9">
        <v>792</v>
      </c>
      <c r="U446" s="7" t="s">
        <v>123</v>
      </c>
      <c r="V446" s="6" t="s">
        <v>76</v>
      </c>
      <c r="W446" s="3" t="s">
        <v>158</v>
      </c>
      <c r="X446" s="3" t="s">
        <v>160</v>
      </c>
      <c r="Y446" s="3" t="s">
        <v>1795</v>
      </c>
      <c r="Z446" s="8" t="str">
        <f>HYPERLINK("http://www.iyte.edu.tr/","http://www.iyte.edu.tr/")</f>
        <v>http://www.iyte.edu.tr/</v>
      </c>
      <c r="AA446" s="8" t="str">
        <f>HYPERLINK("http://library.iyte.edu.tr/dosya/AcikErisim.pdf","http://library.iyte.edu.tr/dosya/AcikErisim.pdf")</f>
        <v>http://library.iyte.edu.tr/dosya/AcikErisim.pdf</v>
      </c>
      <c r="AB446" s="8" t="str">
        <f>HYPERLINK("http://openaccess.iyte.edu.tr:8080/xmlui/","http://openaccess.iyte.edu.tr:8080/xmlui/")</f>
        <v>http://openaccess.iyte.edu.tr:8080/xmlui/</v>
      </c>
      <c r="AC446" s="3">
        <v>41496</v>
      </c>
      <c r="AD446" s="3">
        <v>41496</v>
      </c>
      <c r="AF446" s="3" t="s">
        <v>177</v>
      </c>
      <c r="AG446" s="3" t="s">
        <v>178</v>
      </c>
      <c r="AH446" s="3" t="s">
        <v>180</v>
      </c>
      <c r="AI446" s="3" t="s">
        <v>244</v>
      </c>
      <c r="AJ446" s="3" t="s">
        <v>244</v>
      </c>
      <c r="AK446" s="3" t="s">
        <v>393</v>
      </c>
      <c r="AL446" s="3" t="s">
        <v>189</v>
      </c>
      <c r="AM446" s="3" t="s">
        <v>178</v>
      </c>
      <c r="AN446" s="3" t="s">
        <v>189</v>
      </c>
      <c r="AO446" s="3" t="s">
        <v>378</v>
      </c>
      <c r="AP446" s="3" t="s">
        <v>185</v>
      </c>
      <c r="AQ446" s="3" t="s">
        <v>394</v>
      </c>
      <c r="AR446" s="3" t="s">
        <v>288</v>
      </c>
      <c r="AS446" s="3" t="s">
        <v>189</v>
      </c>
      <c r="AT446" s="3" t="s">
        <v>379</v>
      </c>
      <c r="AU446" s="3" t="s">
        <v>379</v>
      </c>
      <c r="AV446" s="3" t="s">
        <v>288</v>
      </c>
      <c r="AW446" s="3" t="s">
        <v>371</v>
      </c>
      <c r="AX446" s="3" t="s">
        <v>244</v>
      </c>
      <c r="AY446" s="3" t="s">
        <v>247</v>
      </c>
    </row>
    <row r="447" spans="1:51" ht="15.75" customHeight="1">
      <c r="A447" s="3">
        <v>54</v>
      </c>
      <c r="B447" s="5" t="str">
        <f t="shared" si="0"/>
        <v>http://roarmap.eprints.org/54/</v>
      </c>
      <c r="C447" s="3">
        <v>3</v>
      </c>
      <c r="D447" s="3" t="s">
        <v>98</v>
      </c>
      <c r="E447" s="3">
        <v>1</v>
      </c>
      <c r="F447" s="3" t="s">
        <v>1796</v>
      </c>
      <c r="G447" s="3">
        <v>41988.923148148147</v>
      </c>
      <c r="H447" s="3">
        <v>41988.923148148147</v>
      </c>
      <c r="I447" s="3">
        <v>41988.923148148147</v>
      </c>
      <c r="J447" s="3" t="s">
        <v>103</v>
      </c>
      <c r="K447" s="3" t="s">
        <v>105</v>
      </c>
      <c r="L447" s="3" t="s">
        <v>1797</v>
      </c>
      <c r="M447" s="3" t="s">
        <v>637</v>
      </c>
      <c r="N447" s="3" t="s">
        <v>620</v>
      </c>
      <c r="P447" s="3" t="s">
        <v>1761</v>
      </c>
      <c r="Q447" t="str">
        <f t="shared" si="28"/>
        <v>http://roarmap.eprints.org/view/country/792.html</v>
      </c>
      <c r="R447" s="3">
        <v>792</v>
      </c>
      <c r="S447" s="6" t="s">
        <v>338</v>
      </c>
      <c r="T447" s="9">
        <v>792</v>
      </c>
      <c r="U447" s="7" t="s">
        <v>123</v>
      </c>
      <c r="V447" s="6" t="s">
        <v>76</v>
      </c>
      <c r="W447" s="3" t="s">
        <v>158</v>
      </c>
      <c r="X447" s="3" t="s">
        <v>160</v>
      </c>
      <c r="Y447" s="3" t="s">
        <v>1797</v>
      </c>
      <c r="Z447" s="8" t="str">
        <f>HYPERLINK("http://ikc.edu.tr/en/","http://ikc.edu.tr/en/")</f>
        <v>http://ikc.edu.tr/en/</v>
      </c>
      <c r="AA447" s="8" t="str">
        <f>HYPERLINK("http://lib.ikc.edu.tr/sayfa/acik-erisim-ve-kurumsal-arsiv-politikasi","http://lib.ikc.edu.tr/sayfa/acik-erisim-ve-kurumsal-arsiv-politikasi")</f>
        <v>http://lib.ikc.edu.tr/sayfa/acik-erisim-ve-kurumsal-arsiv-politikasi</v>
      </c>
      <c r="AB447" s="3" t="s">
        <v>1762</v>
      </c>
      <c r="AE447" s="3">
        <v>41751</v>
      </c>
      <c r="AF447" s="3" t="s">
        <v>177</v>
      </c>
      <c r="AG447" s="3" t="s">
        <v>333</v>
      </c>
      <c r="AH447" s="3" t="s">
        <v>180</v>
      </c>
      <c r="AI447" s="3" t="s">
        <v>187</v>
      </c>
      <c r="AJ447" s="3" t="s">
        <v>182</v>
      </c>
      <c r="AK447" s="3" t="s">
        <v>393</v>
      </c>
      <c r="AL447" s="3" t="s">
        <v>288</v>
      </c>
      <c r="AM447" s="3" t="s">
        <v>479</v>
      </c>
      <c r="AN447" s="3" t="s">
        <v>189</v>
      </c>
      <c r="AO447" s="3" t="s">
        <v>187</v>
      </c>
      <c r="AP447" s="3" t="s">
        <v>189</v>
      </c>
      <c r="AQ447" s="3" t="s">
        <v>386</v>
      </c>
      <c r="AR447" s="3" t="s">
        <v>288</v>
      </c>
      <c r="AS447" s="3" t="s">
        <v>288</v>
      </c>
      <c r="AT447" s="3" t="s">
        <v>395</v>
      </c>
      <c r="AU447" s="3" t="s">
        <v>395</v>
      </c>
      <c r="AV447" s="3" t="s">
        <v>288</v>
      </c>
      <c r="AW447" s="3" t="s">
        <v>339</v>
      </c>
      <c r="AX447" s="3" t="s">
        <v>244</v>
      </c>
      <c r="AY447" s="3" t="s">
        <v>247</v>
      </c>
    </row>
    <row r="448" spans="1:51" ht="15.75" customHeight="1">
      <c r="A448" s="3">
        <v>68</v>
      </c>
      <c r="B448" s="5" t="str">
        <f t="shared" si="0"/>
        <v>http://roarmap.eprints.org/68/</v>
      </c>
      <c r="C448" s="3">
        <v>3</v>
      </c>
      <c r="D448" s="3" t="s">
        <v>98</v>
      </c>
      <c r="E448" s="3">
        <v>1</v>
      </c>
      <c r="F448" s="3" t="s">
        <v>1798</v>
      </c>
      <c r="G448" s="3">
        <v>41988.923182870371</v>
      </c>
      <c r="H448" s="3">
        <v>41988.923182870371</v>
      </c>
      <c r="I448" s="3">
        <v>41988.923182870371</v>
      </c>
      <c r="J448" s="3" t="s">
        <v>103</v>
      </c>
      <c r="K448" s="3" t="s">
        <v>105</v>
      </c>
      <c r="L448" s="3" t="s">
        <v>1799</v>
      </c>
      <c r="M448" s="3" t="s">
        <v>352</v>
      </c>
      <c r="N448" s="3" t="s">
        <v>1760</v>
      </c>
      <c r="P448" s="3" t="s">
        <v>1761</v>
      </c>
      <c r="Q448" t="str">
        <f t="shared" si="28"/>
        <v>http://roarmap.eprints.org/view/country/792.html</v>
      </c>
      <c r="R448" s="3">
        <v>792</v>
      </c>
      <c r="S448" s="6" t="s">
        <v>338</v>
      </c>
      <c r="T448" s="9">
        <v>792</v>
      </c>
      <c r="U448" s="7" t="s">
        <v>123</v>
      </c>
      <c r="V448" s="6" t="s">
        <v>76</v>
      </c>
      <c r="W448" s="3" t="s">
        <v>158</v>
      </c>
      <c r="X448" s="3" t="s">
        <v>160</v>
      </c>
      <c r="Y448" s="3" t="s">
        <v>1799</v>
      </c>
      <c r="Z448" s="8" t="str">
        <f>HYPERLINK("http://www.karatay.edu.tr/","http://www.karatay.edu.tr/")</f>
        <v>http://www.karatay.edu.tr/</v>
      </c>
      <c r="AA448" s="3" t="s">
        <v>1762</v>
      </c>
      <c r="AB448" s="8" t="str">
        <f>HYPERLINK("http://acikerisim.karatay.edu.tr/xmlui/?locale-attribute=en","http://acikerisim.karatay.edu.tr/xmlui/?locale-attribute=en")</f>
        <v>http://acikerisim.karatay.edu.tr/xmlui/?locale-attribute=en</v>
      </c>
      <c r="AE448" s="3">
        <v>41764</v>
      </c>
      <c r="AF448" s="3" t="s">
        <v>177</v>
      </c>
      <c r="AG448" s="3" t="s">
        <v>244</v>
      </c>
      <c r="AH448" s="3" t="s">
        <v>180</v>
      </c>
      <c r="AI448" s="3" t="s">
        <v>244</v>
      </c>
      <c r="AJ448" s="3" t="s">
        <v>182</v>
      </c>
      <c r="AK448" s="3" t="s">
        <v>244</v>
      </c>
      <c r="AL448" s="3" t="s">
        <v>244</v>
      </c>
      <c r="AM448" s="3" t="s">
        <v>247</v>
      </c>
      <c r="AN448" s="3" t="s">
        <v>244</v>
      </c>
      <c r="AO448" s="3" t="s">
        <v>247</v>
      </c>
      <c r="AP448" s="3" t="s">
        <v>244</v>
      </c>
      <c r="AQ448" s="3" t="s">
        <v>247</v>
      </c>
      <c r="AR448" s="3" t="s">
        <v>288</v>
      </c>
      <c r="AS448" s="3" t="s">
        <v>288</v>
      </c>
      <c r="AT448" s="3" t="s">
        <v>244</v>
      </c>
      <c r="AU448" s="3" t="s">
        <v>244</v>
      </c>
      <c r="AV448" s="3" t="s">
        <v>288</v>
      </c>
      <c r="AW448" s="3" t="s">
        <v>195</v>
      </c>
      <c r="AX448" s="3" t="s">
        <v>244</v>
      </c>
      <c r="AY448" s="3" t="s">
        <v>247</v>
      </c>
    </row>
    <row r="449" spans="1:51" ht="15.75" customHeight="1">
      <c r="A449" s="3">
        <v>50</v>
      </c>
      <c r="B449" s="5" t="str">
        <f t="shared" si="0"/>
        <v>http://roarmap.eprints.org/50/</v>
      </c>
      <c r="C449" s="3">
        <v>3</v>
      </c>
      <c r="D449" s="3" t="s">
        <v>98</v>
      </c>
      <c r="E449" s="3">
        <v>1</v>
      </c>
      <c r="F449" s="3" t="s">
        <v>1800</v>
      </c>
      <c r="G449" s="3">
        <v>41988.923148148147</v>
      </c>
      <c r="H449" s="3">
        <v>41988.923148148147</v>
      </c>
      <c r="I449" s="3">
        <v>41988.923148148147</v>
      </c>
      <c r="J449" s="3" t="s">
        <v>103</v>
      </c>
      <c r="K449" s="3" t="s">
        <v>105</v>
      </c>
      <c r="L449" s="3" t="s">
        <v>1801</v>
      </c>
      <c r="M449" s="3" t="s">
        <v>352</v>
      </c>
      <c r="O449" s="3" t="s">
        <v>1802</v>
      </c>
      <c r="P449" s="3" t="s">
        <v>215</v>
      </c>
      <c r="Q449" t="str">
        <f t="shared" si="28"/>
        <v>http://roarmap.eprints.org/view/country/792.html</v>
      </c>
      <c r="R449" s="3">
        <v>792</v>
      </c>
      <c r="S449" s="6" t="s">
        <v>338</v>
      </c>
      <c r="T449" s="9">
        <v>792</v>
      </c>
      <c r="U449" s="7" t="s">
        <v>123</v>
      </c>
      <c r="V449" s="6" t="s">
        <v>76</v>
      </c>
      <c r="W449" s="3" t="s">
        <v>158</v>
      </c>
      <c r="X449" s="3" t="s">
        <v>160</v>
      </c>
      <c r="Y449" s="3" t="s">
        <v>1801</v>
      </c>
      <c r="Z449" s="8" t="str">
        <f>HYPERLINK("http://www.metu.edu.tr/","http://www.metu.edu.tr/")</f>
        <v>http://www.metu.edu.tr/</v>
      </c>
      <c r="AB449" s="8" t="str">
        <f>HYPERLINK("http://etd.lib.metu.edu.tr/oai","http://etd.lib.metu.edu.tr/oai")</f>
        <v>http://etd.lib.metu.edu.tr/oai</v>
      </c>
      <c r="AC449" s="3">
        <v>37712</v>
      </c>
      <c r="AD449" s="3">
        <v>37712</v>
      </c>
      <c r="AE449" s="3">
        <v>39190</v>
      </c>
      <c r="AF449" s="3" t="s">
        <v>177</v>
      </c>
      <c r="AG449" s="3" t="s">
        <v>178</v>
      </c>
      <c r="AH449" s="3" t="s">
        <v>180</v>
      </c>
      <c r="AI449" s="3" t="s">
        <v>244</v>
      </c>
      <c r="AJ449" s="3" t="s">
        <v>385</v>
      </c>
      <c r="AK449" s="3" t="s">
        <v>244</v>
      </c>
      <c r="AL449" s="3" t="s">
        <v>244</v>
      </c>
      <c r="AM449" s="3" t="s">
        <v>178</v>
      </c>
      <c r="AN449" s="3" t="s">
        <v>244</v>
      </c>
      <c r="AO449" s="3" t="s">
        <v>247</v>
      </c>
      <c r="AP449" s="3" t="s">
        <v>244</v>
      </c>
      <c r="AQ449" s="3" t="s">
        <v>394</v>
      </c>
      <c r="AR449" s="3" t="s">
        <v>288</v>
      </c>
      <c r="AS449" s="3" t="s">
        <v>288</v>
      </c>
      <c r="AT449" s="3" t="s">
        <v>244</v>
      </c>
      <c r="AU449" s="3" t="s">
        <v>244</v>
      </c>
      <c r="AV449" s="3" t="s">
        <v>288</v>
      </c>
      <c r="AW449" s="3" t="s">
        <v>371</v>
      </c>
      <c r="AX449" s="3" t="s">
        <v>244</v>
      </c>
      <c r="AY449" s="3" t="s">
        <v>247</v>
      </c>
    </row>
    <row r="450" spans="1:51" ht="15.75" customHeight="1">
      <c r="A450" s="3">
        <v>61</v>
      </c>
      <c r="B450" s="5" t="str">
        <f t="shared" si="0"/>
        <v>http://roarmap.eprints.org/61/</v>
      </c>
      <c r="C450" s="3">
        <v>3</v>
      </c>
      <c r="D450" s="3" t="s">
        <v>98</v>
      </c>
      <c r="E450" s="3">
        <v>1</v>
      </c>
      <c r="F450" s="3" t="s">
        <v>1803</v>
      </c>
      <c r="G450" s="3">
        <v>41988.923148148147</v>
      </c>
      <c r="H450" s="3">
        <v>41988.923159722224</v>
      </c>
      <c r="I450" s="3">
        <v>41988.923148148147</v>
      </c>
      <c r="J450" s="3" t="s">
        <v>103</v>
      </c>
      <c r="K450" s="3" t="s">
        <v>105</v>
      </c>
      <c r="L450" s="3" t="s">
        <v>1804</v>
      </c>
      <c r="M450" s="3" t="s">
        <v>352</v>
      </c>
      <c r="N450" s="3" t="s">
        <v>1760</v>
      </c>
      <c r="P450" s="3" t="s">
        <v>1761</v>
      </c>
      <c r="Q450" t="str">
        <f t="shared" si="28"/>
        <v>http://roarmap.eprints.org/view/country/792.html</v>
      </c>
      <c r="R450" s="3">
        <v>792</v>
      </c>
      <c r="S450" s="6" t="s">
        <v>338</v>
      </c>
      <c r="T450" s="9">
        <v>792</v>
      </c>
      <c r="U450" s="7" t="s">
        <v>123</v>
      </c>
      <c r="V450" s="6" t="s">
        <v>76</v>
      </c>
      <c r="W450" s="3" t="s">
        <v>158</v>
      </c>
      <c r="X450" s="3" t="s">
        <v>160</v>
      </c>
      <c r="Y450" s="3" t="s">
        <v>1804</v>
      </c>
      <c r="Z450" s="8" t="str">
        <f>HYPERLINK("http://www.pirireis.edu.tr/en/","http://www.pirireis.edu.tr/en/")</f>
        <v>http://www.pirireis.edu.tr/en/</v>
      </c>
      <c r="AA450" s="3" t="s">
        <v>1762</v>
      </c>
      <c r="AB450" s="3" t="s">
        <v>1762</v>
      </c>
      <c r="AE450" s="3">
        <v>41764</v>
      </c>
      <c r="AF450" s="3" t="s">
        <v>177</v>
      </c>
      <c r="AG450" s="3" t="s">
        <v>333</v>
      </c>
      <c r="AH450" s="3" t="s">
        <v>180</v>
      </c>
      <c r="AI450" s="3" t="s">
        <v>244</v>
      </c>
      <c r="AJ450" s="3" t="s">
        <v>182</v>
      </c>
      <c r="AK450" s="3" t="s">
        <v>244</v>
      </c>
      <c r="AL450" s="3" t="s">
        <v>288</v>
      </c>
      <c r="AM450" s="3" t="s">
        <v>479</v>
      </c>
      <c r="AN450" s="3" t="s">
        <v>244</v>
      </c>
      <c r="AO450" s="3" t="s">
        <v>378</v>
      </c>
      <c r="AP450" s="3" t="s">
        <v>244</v>
      </c>
      <c r="AQ450" s="3" t="s">
        <v>394</v>
      </c>
      <c r="AR450" s="3" t="s">
        <v>288</v>
      </c>
      <c r="AS450" s="3" t="s">
        <v>288</v>
      </c>
      <c r="AT450" s="3" t="s">
        <v>244</v>
      </c>
      <c r="AU450" s="3" t="s">
        <v>244</v>
      </c>
      <c r="AV450" s="3" t="s">
        <v>288</v>
      </c>
      <c r="AW450" s="3" t="s">
        <v>630</v>
      </c>
      <c r="AX450" s="3" t="s">
        <v>244</v>
      </c>
      <c r="AY450" s="3" t="s">
        <v>247</v>
      </c>
    </row>
    <row r="451" spans="1:51" ht="15.75" customHeight="1">
      <c r="A451" s="3">
        <v>65</v>
      </c>
      <c r="B451" s="5" t="str">
        <f t="shared" si="0"/>
        <v>http://roarmap.eprints.org/65/</v>
      </c>
      <c r="C451" s="3">
        <v>3</v>
      </c>
      <c r="D451" s="3" t="s">
        <v>98</v>
      </c>
      <c r="E451" s="3">
        <v>1</v>
      </c>
      <c r="F451" s="3" t="s">
        <v>1805</v>
      </c>
      <c r="G451" s="3">
        <v>41988.923171296294</v>
      </c>
      <c r="H451" s="3">
        <v>41988.923171296294</v>
      </c>
      <c r="I451" s="3">
        <v>41988.923171296294</v>
      </c>
      <c r="J451" s="3" t="s">
        <v>103</v>
      </c>
      <c r="K451" s="3" t="s">
        <v>105</v>
      </c>
      <c r="L451" s="3" t="s">
        <v>1806</v>
      </c>
      <c r="M451" s="3" t="s">
        <v>532</v>
      </c>
      <c r="N451" s="3" t="s">
        <v>1807</v>
      </c>
      <c r="P451" s="3" t="s">
        <v>1761</v>
      </c>
      <c r="Q451" t="str">
        <f t="shared" ref="Q451:Q514" si="30">CONCATENATE("http://roarmap.eprints.org/view/country/",T451,".html")</f>
        <v>http://roarmap.eprints.org/view/country/792.html</v>
      </c>
      <c r="R451" s="3">
        <v>792</v>
      </c>
      <c r="S451" s="6" t="s">
        <v>338</v>
      </c>
      <c r="T451" s="9">
        <v>792</v>
      </c>
      <c r="U451" s="7" t="s">
        <v>123</v>
      </c>
      <c r="V451" s="6" t="s">
        <v>76</v>
      </c>
      <c r="W451" s="3" t="s">
        <v>158</v>
      </c>
      <c r="X451" s="3" t="s">
        <v>160</v>
      </c>
      <c r="Y451" s="3" t="s">
        <v>1806</v>
      </c>
      <c r="Z451" s="8" t="str">
        <f>HYPERLINK("http://www.sinop.edu.tr/","http://www.sinop.edu.tr/")</f>
        <v>http://www.sinop.edu.tr/</v>
      </c>
      <c r="AA451" s="3" t="s">
        <v>1762</v>
      </c>
      <c r="AB451" s="3" t="s">
        <v>1762</v>
      </c>
      <c r="AE451" s="3">
        <v>41764</v>
      </c>
      <c r="AF451" s="3" t="s">
        <v>177</v>
      </c>
      <c r="AG451" s="3" t="s">
        <v>178</v>
      </c>
      <c r="AH451" s="3" t="s">
        <v>180</v>
      </c>
      <c r="AI451" s="3" t="s">
        <v>244</v>
      </c>
      <c r="AJ451" s="3" t="s">
        <v>182</v>
      </c>
      <c r="AK451" s="3" t="s">
        <v>183</v>
      </c>
      <c r="AL451" s="3" t="s">
        <v>189</v>
      </c>
      <c r="AM451" s="3" t="s">
        <v>479</v>
      </c>
      <c r="AN451" s="3" t="s">
        <v>189</v>
      </c>
      <c r="AO451" s="3" t="s">
        <v>378</v>
      </c>
      <c r="AP451" s="3" t="s">
        <v>244</v>
      </c>
      <c r="AQ451" s="3" t="s">
        <v>247</v>
      </c>
      <c r="AR451" s="3" t="s">
        <v>288</v>
      </c>
      <c r="AS451" s="3" t="s">
        <v>189</v>
      </c>
      <c r="AT451" s="3" t="s">
        <v>395</v>
      </c>
      <c r="AU451" s="3" t="s">
        <v>395</v>
      </c>
      <c r="AV451" s="3" t="s">
        <v>288</v>
      </c>
      <c r="AW451" s="3" t="s">
        <v>520</v>
      </c>
      <c r="AX451" s="3" t="s">
        <v>341</v>
      </c>
      <c r="AY451" s="3" t="s">
        <v>247</v>
      </c>
    </row>
    <row r="452" spans="1:51" ht="15.75" customHeight="1">
      <c r="A452" s="3">
        <v>57</v>
      </c>
      <c r="B452" s="5" t="str">
        <f t="shared" si="0"/>
        <v>http://roarmap.eprints.org/57/</v>
      </c>
      <c r="C452" s="3">
        <v>3</v>
      </c>
      <c r="D452" s="3" t="s">
        <v>98</v>
      </c>
      <c r="E452" s="3">
        <v>1</v>
      </c>
      <c r="F452" s="3" t="s">
        <v>1808</v>
      </c>
      <c r="G452" s="3">
        <v>41988.923148148147</v>
      </c>
      <c r="H452" s="3">
        <v>41988.923148148147</v>
      </c>
      <c r="I452" s="3">
        <v>41988.923148148147</v>
      </c>
      <c r="J452" s="3" t="s">
        <v>103</v>
      </c>
      <c r="K452" s="3" t="s">
        <v>105</v>
      </c>
      <c r="L452" s="3" t="s">
        <v>1809</v>
      </c>
      <c r="M452" s="3" t="s">
        <v>352</v>
      </c>
      <c r="N452" s="3" t="s">
        <v>1810</v>
      </c>
      <c r="P452" s="3" t="s">
        <v>1761</v>
      </c>
      <c r="Q452" t="str">
        <f t="shared" si="30"/>
        <v>http://roarmap.eprints.org/view/country/792.html</v>
      </c>
      <c r="R452" s="3">
        <v>792</v>
      </c>
      <c r="S452" s="6" t="s">
        <v>338</v>
      </c>
      <c r="T452" s="9">
        <v>792</v>
      </c>
      <c r="U452" s="7" t="s">
        <v>123</v>
      </c>
      <c r="V452" s="6" t="s">
        <v>76</v>
      </c>
      <c r="W452" s="3" t="s">
        <v>158</v>
      </c>
      <c r="X452" s="3" t="s">
        <v>160</v>
      </c>
      <c r="Y452" s="3" t="s">
        <v>1809</v>
      </c>
      <c r="Z452" s="8" t="str">
        <f>HYPERLINK("http://www.sirnak.edu.tr/yeni/index_eng.php","http://www.sirnak.edu.tr/yeni/index_eng.php")</f>
        <v>http://www.sirnak.edu.tr/yeni/index_eng.php</v>
      </c>
      <c r="AA452" s="3" t="s">
        <v>1762</v>
      </c>
      <c r="AB452" s="3" t="s">
        <v>1762</v>
      </c>
      <c r="AE452" s="3">
        <v>41764</v>
      </c>
      <c r="AF452" s="3" t="s">
        <v>177</v>
      </c>
      <c r="AG452" s="3" t="s">
        <v>333</v>
      </c>
      <c r="AH452" s="3" t="s">
        <v>180</v>
      </c>
      <c r="AI452" s="3" t="s">
        <v>244</v>
      </c>
      <c r="AJ452" s="3" t="s">
        <v>182</v>
      </c>
      <c r="AK452" s="3" t="s">
        <v>393</v>
      </c>
      <c r="AL452" s="3" t="s">
        <v>288</v>
      </c>
      <c r="AM452" s="3" t="s">
        <v>178</v>
      </c>
      <c r="AN452" s="3" t="s">
        <v>244</v>
      </c>
      <c r="AO452" s="3" t="s">
        <v>378</v>
      </c>
      <c r="AP452" s="3" t="s">
        <v>244</v>
      </c>
      <c r="AQ452" s="3" t="s">
        <v>247</v>
      </c>
      <c r="AR452" s="3" t="s">
        <v>288</v>
      </c>
      <c r="AS452" s="3" t="s">
        <v>288</v>
      </c>
      <c r="AT452" s="3" t="s">
        <v>395</v>
      </c>
      <c r="AU452" s="3" t="s">
        <v>395</v>
      </c>
      <c r="AV452" s="3" t="s">
        <v>244</v>
      </c>
      <c r="AW452" s="3" t="s">
        <v>195</v>
      </c>
      <c r="AX452" s="3" t="s">
        <v>244</v>
      </c>
      <c r="AY452" s="3" t="s">
        <v>247</v>
      </c>
    </row>
    <row r="453" spans="1:51" ht="15.75" customHeight="1">
      <c r="A453" s="3">
        <v>53</v>
      </c>
      <c r="B453" s="5" t="str">
        <f t="shared" si="0"/>
        <v>http://roarmap.eprints.org/53/</v>
      </c>
      <c r="C453" s="3">
        <v>3</v>
      </c>
      <c r="D453" s="3" t="s">
        <v>98</v>
      </c>
      <c r="E453" s="3">
        <v>1</v>
      </c>
      <c r="F453" s="3" t="s">
        <v>1811</v>
      </c>
      <c r="G453" s="3">
        <v>41988.923148148147</v>
      </c>
      <c r="H453" s="3">
        <v>41988.923148148147</v>
      </c>
      <c r="I453" s="3">
        <v>41988.923148148147</v>
      </c>
      <c r="J453" s="3" t="s">
        <v>103</v>
      </c>
      <c r="K453" s="3" t="s">
        <v>105</v>
      </c>
      <c r="L453" s="3" t="s">
        <v>1812</v>
      </c>
      <c r="M453" s="3" t="s">
        <v>637</v>
      </c>
      <c r="P453" s="3" t="s">
        <v>1761</v>
      </c>
      <c r="Q453" t="str">
        <f t="shared" si="30"/>
        <v>http://roarmap.eprints.org/view/country/792.html</v>
      </c>
      <c r="R453" s="3">
        <v>792</v>
      </c>
      <c r="S453" s="6" t="s">
        <v>338</v>
      </c>
      <c r="T453" s="9">
        <v>792</v>
      </c>
      <c r="U453" s="7" t="s">
        <v>123</v>
      </c>
      <c r="V453" s="6" t="s">
        <v>76</v>
      </c>
      <c r="W453" s="3" t="s">
        <v>158</v>
      </c>
      <c r="X453" s="3" t="s">
        <v>384</v>
      </c>
      <c r="Y453" s="3" t="s">
        <v>1812</v>
      </c>
      <c r="Z453" s="8" t="str">
        <f>HYPERLINK("http://www.tedankara.k12.tr/public/english/","http://www.tedankara.k12.tr/public/english/")</f>
        <v>http://www.tedankara.k12.tr/public/english/</v>
      </c>
      <c r="AA453" s="8" t="str">
        <f>HYPERLINK("http://tedprints.tedankara.k12.tr/policies.html","http://tedprints.tedankara.k12.tr/policies.html")</f>
        <v>http://tedprints.tedankara.k12.tr/policies.html</v>
      </c>
      <c r="AB453" s="8" t="str">
        <f>HYPERLINK("http://tedprints.tedankara.k12.tr/","http://tedprints.tedankara.k12.tr/")</f>
        <v>http://tedprints.tedankara.k12.tr/</v>
      </c>
      <c r="AF453" s="3" t="s">
        <v>371</v>
      </c>
      <c r="AG453" s="3" t="s">
        <v>178</v>
      </c>
      <c r="AH453" s="3" t="s">
        <v>180</v>
      </c>
      <c r="AI453" s="3" t="s">
        <v>371</v>
      </c>
      <c r="AJ453" s="3" t="s">
        <v>182</v>
      </c>
      <c r="AK453" s="3" t="s">
        <v>244</v>
      </c>
      <c r="AL453" s="3" t="s">
        <v>244</v>
      </c>
      <c r="AM453" s="3" t="s">
        <v>178</v>
      </c>
      <c r="AN453" s="3" t="s">
        <v>244</v>
      </c>
      <c r="AO453" s="3" t="s">
        <v>247</v>
      </c>
      <c r="AP453" s="3" t="s">
        <v>185</v>
      </c>
      <c r="AQ453" s="3" t="s">
        <v>394</v>
      </c>
      <c r="AR453" s="3" t="s">
        <v>288</v>
      </c>
      <c r="AS453" s="3" t="s">
        <v>288</v>
      </c>
      <c r="AT453" s="3" t="s">
        <v>244</v>
      </c>
      <c r="AU453" s="3" t="s">
        <v>244</v>
      </c>
      <c r="AV453" s="3" t="s">
        <v>288</v>
      </c>
      <c r="AW453" s="3" t="s">
        <v>630</v>
      </c>
      <c r="AX453" s="3" t="s">
        <v>244</v>
      </c>
      <c r="AY453" s="3" t="s">
        <v>247</v>
      </c>
    </row>
    <row r="454" spans="1:51" ht="15.75" customHeight="1">
      <c r="A454" s="3">
        <v>56</v>
      </c>
      <c r="B454" s="5" t="str">
        <f t="shared" si="0"/>
        <v>http://roarmap.eprints.org/56/</v>
      </c>
      <c r="C454" s="3">
        <v>3</v>
      </c>
      <c r="D454" s="3" t="s">
        <v>98</v>
      </c>
      <c r="E454" s="3">
        <v>1</v>
      </c>
      <c r="F454" s="3" t="s">
        <v>1813</v>
      </c>
      <c r="G454" s="3">
        <v>41988.923148148147</v>
      </c>
      <c r="H454" s="3">
        <v>41988.923148148147</v>
      </c>
      <c r="I454" s="3">
        <v>41988.923148148147</v>
      </c>
      <c r="J454" s="3" t="s">
        <v>103</v>
      </c>
      <c r="K454" s="3" t="s">
        <v>105</v>
      </c>
      <c r="L454" s="3" t="s">
        <v>1814</v>
      </c>
      <c r="M454" s="3" t="s">
        <v>637</v>
      </c>
      <c r="N454" s="3" t="s">
        <v>1771</v>
      </c>
      <c r="P454" s="3" t="s">
        <v>1761</v>
      </c>
      <c r="Q454" t="str">
        <f t="shared" si="30"/>
        <v>http://roarmap.eprints.org/view/country/792.html</v>
      </c>
      <c r="R454" s="3">
        <v>792</v>
      </c>
      <c r="S454" s="6" t="s">
        <v>338</v>
      </c>
      <c r="T454" s="9">
        <v>792</v>
      </c>
      <c r="U454" s="7" t="s">
        <v>123</v>
      </c>
      <c r="V454" s="6" t="s">
        <v>76</v>
      </c>
      <c r="W454" s="3" t="s">
        <v>158</v>
      </c>
      <c r="X454" s="3" t="s">
        <v>160</v>
      </c>
      <c r="Y454" s="3" t="s">
        <v>1814</v>
      </c>
      <c r="Z454" s="8" t="str">
        <f>HYPERLINK("http://www-en.trakya.edu.tr/","http://www-en.trakya.edu.tr/")</f>
        <v>http://www-en.trakya.edu.tr/</v>
      </c>
      <c r="AA454" s="8" t="str">
        <f>HYPERLINK("http://193.255.140.18/yordamaays/Kapsam.htm","http://193.255.140.18/yordamaays/Kapsam.htm")</f>
        <v>http://193.255.140.18/yordamaays/Kapsam.htm</v>
      </c>
      <c r="AB454" s="8" t="str">
        <f>HYPERLINK("http://193.255.140.18/YordamAAYS/Yordam.htm","http://193.255.140.18/YordamAAYS/Yordam.htm")</f>
        <v>http://193.255.140.18/YordamAAYS/Yordam.htm</v>
      </c>
      <c r="AF454" s="3" t="s">
        <v>177</v>
      </c>
      <c r="AG454" s="3" t="s">
        <v>333</v>
      </c>
      <c r="AH454" s="3" t="s">
        <v>180</v>
      </c>
      <c r="AI454" s="3" t="s">
        <v>244</v>
      </c>
      <c r="AJ454" s="3" t="s">
        <v>182</v>
      </c>
      <c r="AK454" s="3" t="s">
        <v>393</v>
      </c>
      <c r="AL454" s="3" t="s">
        <v>288</v>
      </c>
      <c r="AM454" s="3" t="s">
        <v>479</v>
      </c>
      <c r="AN454" s="3" t="s">
        <v>189</v>
      </c>
      <c r="AO454" s="3" t="s">
        <v>187</v>
      </c>
      <c r="AP454" s="3" t="s">
        <v>185</v>
      </c>
      <c r="AQ454" s="3" t="s">
        <v>247</v>
      </c>
      <c r="AR454" s="3" t="s">
        <v>288</v>
      </c>
      <c r="AS454" s="3" t="s">
        <v>189</v>
      </c>
      <c r="AT454" s="3" t="s">
        <v>244</v>
      </c>
      <c r="AU454" s="3" t="s">
        <v>244</v>
      </c>
      <c r="AV454" s="3" t="s">
        <v>288</v>
      </c>
      <c r="AW454" s="3" t="s">
        <v>371</v>
      </c>
      <c r="AX454" s="3" t="s">
        <v>244</v>
      </c>
      <c r="AY454" s="3" t="s">
        <v>247</v>
      </c>
    </row>
    <row r="455" spans="1:51" ht="15.75" customHeight="1">
      <c r="A455" s="3">
        <v>52</v>
      </c>
      <c r="B455" s="5" t="str">
        <f t="shared" si="0"/>
        <v>http://roarmap.eprints.org/52/</v>
      </c>
      <c r="C455" s="3">
        <v>3</v>
      </c>
      <c r="D455" s="3" t="s">
        <v>98</v>
      </c>
      <c r="E455" s="3">
        <v>1</v>
      </c>
      <c r="F455" s="3" t="s">
        <v>1815</v>
      </c>
      <c r="G455" s="3">
        <v>41988.923148148147</v>
      </c>
      <c r="H455" s="3">
        <v>41988.923148148147</v>
      </c>
      <c r="I455" s="3">
        <v>41988.923148148147</v>
      </c>
      <c r="J455" s="3" t="s">
        <v>103</v>
      </c>
      <c r="K455" s="3" t="s">
        <v>105</v>
      </c>
      <c r="L455" s="3" t="s">
        <v>1816</v>
      </c>
      <c r="M455" s="3" t="s">
        <v>637</v>
      </c>
      <c r="N455" s="3" t="s">
        <v>1771</v>
      </c>
      <c r="P455" s="3" t="s">
        <v>1761</v>
      </c>
      <c r="Q455" t="str">
        <f t="shared" si="30"/>
        <v>http://roarmap.eprints.org/view/country/792.html</v>
      </c>
      <c r="R455" s="3">
        <v>792</v>
      </c>
      <c r="S455" s="6" t="s">
        <v>338</v>
      </c>
      <c r="T455" s="9">
        <v>792</v>
      </c>
      <c r="U455" s="7" t="s">
        <v>123</v>
      </c>
      <c r="V455" s="6" t="s">
        <v>76</v>
      </c>
      <c r="W455" s="3" t="s">
        <v>158</v>
      </c>
      <c r="X455" s="3" t="s">
        <v>384</v>
      </c>
      <c r="Y455" s="3" t="s">
        <v>1816</v>
      </c>
      <c r="Z455" s="8" t="str">
        <f>HYPERLINK("http://www.bby.hacettepe.edu.tr/","http://www.bby.hacettepe.edu.tr/")</f>
        <v>http://www.bby.hacettepe.edu.tr/</v>
      </c>
      <c r="AB455" s="8" t="str">
        <f>HYPERLINK("http://bbytezarsivi.hacettepe.edu.tr:8080/jspui/","http://bbytezarsivi.hacettepe.edu.tr:8080/jspui/")</f>
        <v>http://bbytezarsivi.hacettepe.edu.tr:8080/jspui/</v>
      </c>
      <c r="AF455" s="3" t="s">
        <v>371</v>
      </c>
      <c r="AG455" s="3" t="s">
        <v>333</v>
      </c>
      <c r="AH455" s="3" t="s">
        <v>463</v>
      </c>
      <c r="AI455" s="3" t="s">
        <v>371</v>
      </c>
      <c r="AJ455" s="3" t="s">
        <v>385</v>
      </c>
      <c r="AK455" s="3" t="s">
        <v>393</v>
      </c>
      <c r="AL455" s="3" t="s">
        <v>288</v>
      </c>
      <c r="AM455" s="3" t="s">
        <v>479</v>
      </c>
      <c r="AN455" s="3" t="s">
        <v>244</v>
      </c>
      <c r="AO455" s="3" t="s">
        <v>187</v>
      </c>
      <c r="AP455" s="3" t="s">
        <v>185</v>
      </c>
      <c r="AQ455" s="3" t="s">
        <v>394</v>
      </c>
      <c r="AR455" s="3" t="s">
        <v>288</v>
      </c>
      <c r="AS455" s="3" t="s">
        <v>189</v>
      </c>
      <c r="AT455" s="3" t="s">
        <v>193</v>
      </c>
      <c r="AU455" s="3" t="s">
        <v>193</v>
      </c>
      <c r="AV455" s="3" t="s">
        <v>288</v>
      </c>
      <c r="AW455" s="3" t="s">
        <v>520</v>
      </c>
      <c r="AX455" s="3" t="s">
        <v>244</v>
      </c>
      <c r="AY455" s="3" t="s">
        <v>247</v>
      </c>
    </row>
    <row r="456" spans="1:51" ht="15.75" customHeight="1">
      <c r="A456" s="3">
        <v>748</v>
      </c>
      <c r="B456" s="5" t="str">
        <f t="shared" si="0"/>
        <v>http://roarmap.eprints.org/748/</v>
      </c>
      <c r="C456" s="3">
        <v>18</v>
      </c>
      <c r="D456" s="3" t="s">
        <v>98</v>
      </c>
      <c r="E456" s="3">
        <v>685</v>
      </c>
      <c r="F456" s="3" t="s">
        <v>1817</v>
      </c>
      <c r="G456" s="3">
        <v>42121.609606481485</v>
      </c>
      <c r="H456" s="3">
        <v>42121.609606481485</v>
      </c>
      <c r="I456" s="3">
        <v>42121.609606481485</v>
      </c>
      <c r="J456" s="3" t="s">
        <v>103</v>
      </c>
      <c r="K456" s="3" t="s">
        <v>105</v>
      </c>
      <c r="L456" s="3" t="s">
        <v>1818</v>
      </c>
      <c r="N456" s="3" t="s">
        <v>1819</v>
      </c>
      <c r="Q456" t="str">
        <f t="shared" si="30"/>
        <v>http://roarmap.eprints.org/view/country/792.html</v>
      </c>
      <c r="R456" s="3">
        <v>792</v>
      </c>
      <c r="S456" s="6" t="s">
        <v>338</v>
      </c>
      <c r="T456" s="9">
        <v>792</v>
      </c>
      <c r="U456" s="7" t="s">
        <v>123</v>
      </c>
      <c r="V456" s="6" t="s">
        <v>76</v>
      </c>
      <c r="W456" s="3" t="s">
        <v>158</v>
      </c>
      <c r="X456" s="3" t="s">
        <v>160</v>
      </c>
      <c r="Y456" s="3" t="s">
        <v>1818</v>
      </c>
      <c r="Z456" s="8" t="str">
        <f>HYPERLINK("http://kutuphane.tbmm.gov.tr","http://kutuphane.tbmm.gov.tr")</f>
        <v>http://kutuphane.tbmm.gov.tr</v>
      </c>
      <c r="AA456" s="8" t="str">
        <f>HYPERLINK("http://acikerisim.tbmm.gov.tr:8080/dokumanlar/politika.htm","http://acikerisim.tbmm.gov.tr:8080/dokumanlar/politika.htm")</f>
        <v>http://acikerisim.tbmm.gov.tr:8080/dokumanlar/politika.htm</v>
      </c>
      <c r="AB456" s="8" t="str">
        <f>HYPERLINK("http://acikerisim.tbmm.gov.tr:8080/xmlui/","http://acikerisim.tbmm.gov.tr:8080/xmlui/")</f>
        <v>http://acikerisim.tbmm.gov.tr:8080/xmlui/</v>
      </c>
      <c r="AC456" s="3">
        <v>41905</v>
      </c>
      <c r="AD456" s="3">
        <v>41905</v>
      </c>
      <c r="AF456" s="3" t="s">
        <v>177</v>
      </c>
      <c r="AG456" s="3" t="s">
        <v>333</v>
      </c>
      <c r="AH456" s="3" t="s">
        <v>180</v>
      </c>
      <c r="AI456" s="3" t="s">
        <v>181</v>
      </c>
      <c r="AJ456" s="3" t="s">
        <v>182</v>
      </c>
      <c r="AK456" s="3" t="s">
        <v>371</v>
      </c>
      <c r="AL456" s="3" t="s">
        <v>185</v>
      </c>
      <c r="AM456" s="3" t="s">
        <v>247</v>
      </c>
      <c r="AN456" s="3" t="s">
        <v>185</v>
      </c>
      <c r="AO456" s="3" t="s">
        <v>247</v>
      </c>
      <c r="AP456" s="3" t="s">
        <v>185</v>
      </c>
      <c r="AQ456" s="3" t="s">
        <v>648</v>
      </c>
      <c r="AR456" s="3" t="s">
        <v>189</v>
      </c>
      <c r="AS456" s="3" t="s">
        <v>185</v>
      </c>
      <c r="AT456" s="3" t="s">
        <v>785</v>
      </c>
      <c r="AU456" s="3" t="s">
        <v>785</v>
      </c>
      <c r="AV456" s="3" t="s">
        <v>288</v>
      </c>
      <c r="AW456" s="3" t="s">
        <v>630</v>
      </c>
      <c r="AX456" s="3" t="s">
        <v>442</v>
      </c>
      <c r="AY456" s="3" t="s">
        <v>247</v>
      </c>
    </row>
    <row r="457" spans="1:51" ht="15.75" customHeight="1">
      <c r="A457" s="3">
        <v>55</v>
      </c>
      <c r="B457" s="5" t="str">
        <f t="shared" si="0"/>
        <v>http://roarmap.eprints.org/55/</v>
      </c>
      <c r="C457" s="3">
        <v>4</v>
      </c>
      <c r="D457" s="3" t="s">
        <v>98</v>
      </c>
      <c r="E457" s="3">
        <v>240</v>
      </c>
      <c r="F457" s="3" t="s">
        <v>1820</v>
      </c>
      <c r="G457" s="3">
        <v>41988.923148148147</v>
      </c>
      <c r="H457" s="3">
        <v>42046.98164351852</v>
      </c>
      <c r="I457" s="3">
        <v>41988.923148148147</v>
      </c>
      <c r="J457" s="3" t="s">
        <v>103</v>
      </c>
      <c r="K457" s="3" t="s">
        <v>105</v>
      </c>
      <c r="L457" s="3" t="s">
        <v>1821</v>
      </c>
      <c r="M457" s="3" t="s">
        <v>637</v>
      </c>
      <c r="N457" s="3" t="s">
        <v>1771</v>
      </c>
      <c r="P457" s="3" t="s">
        <v>1761</v>
      </c>
      <c r="Q457" t="str">
        <f t="shared" si="30"/>
        <v>http://roarmap.eprints.org/view/country/792.html</v>
      </c>
      <c r="R457" s="3">
        <v>792</v>
      </c>
      <c r="S457" s="6" t="s">
        <v>338</v>
      </c>
      <c r="T457" s="9">
        <v>792</v>
      </c>
      <c r="U457" s="7" t="s">
        <v>123</v>
      </c>
      <c r="V457" s="6" t="s">
        <v>76</v>
      </c>
      <c r="W457" s="3" t="s">
        <v>158</v>
      </c>
      <c r="X457" s="3" t="s">
        <v>160</v>
      </c>
      <c r="Y457" s="3" t="s">
        <v>1821</v>
      </c>
      <c r="Z457" s="8" t="str">
        <f>HYPERLINK("http://www.yalova.edu.tr/","http://www.yalova.edu.tr/")</f>
        <v>http://www.yalova.edu.tr/</v>
      </c>
      <c r="AA457" s="8" t="str">
        <f>HYPERLINK("http://dspace.yalova.edu.tr/bitstream/handle/123456789/8/acikerisim.pdf?sequence=1","http://dspace.yalova.edu.tr/bitstream/handle/123456789/8/acikerisim.pdf?sequence=1")</f>
        <v>http://dspace.yalova.edu.tr/bitstream/handle/123456789/8/acikerisim.pdf?sequence=1</v>
      </c>
      <c r="AB457" s="8" t="str">
        <f>HYPERLINK("http://dspace.yalova.edu.tr/","http://dspace.yalova.edu.tr/")</f>
        <v>http://dspace.yalova.edu.tr/</v>
      </c>
      <c r="AE457" s="3">
        <v>41779</v>
      </c>
      <c r="AF457" s="3" t="s">
        <v>177</v>
      </c>
      <c r="AG457" s="3" t="s">
        <v>178</v>
      </c>
      <c r="AH457" s="3" t="s">
        <v>180</v>
      </c>
      <c r="AI457" s="3" t="s">
        <v>187</v>
      </c>
      <c r="AJ457" s="3" t="s">
        <v>182</v>
      </c>
      <c r="AK457" s="3" t="s">
        <v>393</v>
      </c>
      <c r="AL457" s="3" t="s">
        <v>244</v>
      </c>
      <c r="AM457" s="3" t="s">
        <v>479</v>
      </c>
      <c r="AN457" s="3" t="s">
        <v>244</v>
      </c>
      <c r="AO457" s="3" t="s">
        <v>187</v>
      </c>
      <c r="AP457" s="3" t="s">
        <v>244</v>
      </c>
      <c r="AQ457" s="3" t="s">
        <v>247</v>
      </c>
      <c r="AR457" s="3" t="s">
        <v>288</v>
      </c>
      <c r="AS457" s="3" t="s">
        <v>288</v>
      </c>
      <c r="AT457" s="3" t="s">
        <v>379</v>
      </c>
      <c r="AU457" s="3" t="s">
        <v>379</v>
      </c>
      <c r="AV457" s="3" t="s">
        <v>244</v>
      </c>
      <c r="AW457" s="3" t="s">
        <v>520</v>
      </c>
      <c r="AX457" s="3" t="s">
        <v>244</v>
      </c>
      <c r="AY457" s="3" t="s">
        <v>247</v>
      </c>
    </row>
    <row r="458" spans="1:51" ht="15.75" customHeight="1">
      <c r="A458" s="3">
        <v>74</v>
      </c>
      <c r="B458" s="5" t="str">
        <f t="shared" si="0"/>
        <v>http://roarmap.eprints.org/74/</v>
      </c>
      <c r="C458" s="3">
        <v>3</v>
      </c>
      <c r="D458" s="3" t="s">
        <v>98</v>
      </c>
      <c r="E458" s="3">
        <v>1</v>
      </c>
      <c r="F458" s="3" t="s">
        <v>1822</v>
      </c>
      <c r="G458" s="3">
        <v>41988.923206018517</v>
      </c>
      <c r="H458" s="3">
        <v>41988.923206018517</v>
      </c>
      <c r="I458" s="3">
        <v>41988.923206018517</v>
      </c>
      <c r="J458" s="3" t="s">
        <v>103</v>
      </c>
      <c r="K458" s="3" t="s">
        <v>105</v>
      </c>
      <c r="L458" s="3" t="s">
        <v>1823</v>
      </c>
      <c r="M458" s="3" t="s">
        <v>352</v>
      </c>
      <c r="N458" s="3" t="s">
        <v>1760</v>
      </c>
      <c r="P458" s="3" t="s">
        <v>1761</v>
      </c>
      <c r="Q458" t="str">
        <f t="shared" si="30"/>
        <v>http://roarmap.eprints.org/view/country/792.html</v>
      </c>
      <c r="R458" s="3">
        <v>792</v>
      </c>
      <c r="S458" s="6" t="s">
        <v>338</v>
      </c>
      <c r="T458" s="9">
        <v>792</v>
      </c>
      <c r="U458" s="7" t="s">
        <v>123</v>
      </c>
      <c r="V458" s="6" t="s">
        <v>76</v>
      </c>
      <c r="W458" s="3" t="s">
        <v>158</v>
      </c>
      <c r="X458" s="3" t="s">
        <v>160</v>
      </c>
      <c r="Y458" s="3" t="s">
        <v>1823</v>
      </c>
      <c r="Z458" s="8" t="str">
        <f>HYPERLINK("http://www.yasar.edu.tr/en/","http://www.yasar.edu.tr/en/")</f>
        <v>http://www.yasar.edu.tr/en/</v>
      </c>
      <c r="AE458" s="3">
        <v>41764</v>
      </c>
      <c r="AF458" s="3" t="s">
        <v>177</v>
      </c>
      <c r="AG458" s="3" t="s">
        <v>333</v>
      </c>
      <c r="AH458" s="3" t="s">
        <v>180</v>
      </c>
      <c r="AI458" s="3" t="s">
        <v>244</v>
      </c>
      <c r="AJ458" s="3" t="s">
        <v>182</v>
      </c>
      <c r="AK458" s="3" t="s">
        <v>393</v>
      </c>
      <c r="AL458" s="3" t="s">
        <v>288</v>
      </c>
      <c r="AM458" s="3" t="s">
        <v>479</v>
      </c>
      <c r="AN458" s="3" t="s">
        <v>244</v>
      </c>
      <c r="AO458" s="3" t="s">
        <v>378</v>
      </c>
      <c r="AP458" s="3" t="s">
        <v>185</v>
      </c>
      <c r="AQ458" s="3" t="s">
        <v>247</v>
      </c>
      <c r="AR458" s="3" t="s">
        <v>288</v>
      </c>
      <c r="AS458" s="3" t="s">
        <v>288</v>
      </c>
      <c r="AT458" s="3" t="s">
        <v>379</v>
      </c>
      <c r="AU458" s="3" t="s">
        <v>379</v>
      </c>
      <c r="AV458" s="3" t="s">
        <v>244</v>
      </c>
      <c r="AW458" s="3" t="s">
        <v>195</v>
      </c>
      <c r="AX458" s="3" t="s">
        <v>244</v>
      </c>
      <c r="AY458" s="3" t="s">
        <v>247</v>
      </c>
    </row>
    <row r="459" spans="1:51" ht="15.75" customHeight="1">
      <c r="A459" s="3">
        <v>69</v>
      </c>
      <c r="B459" s="5" t="str">
        <f t="shared" si="0"/>
        <v>http://roarmap.eprints.org/69/</v>
      </c>
      <c r="C459" s="3">
        <v>4</v>
      </c>
      <c r="D459" s="3" t="s">
        <v>98</v>
      </c>
      <c r="E459" s="3">
        <v>1</v>
      </c>
      <c r="F459" s="3" t="s">
        <v>1824</v>
      </c>
      <c r="G459" s="3">
        <v>41988.923182870371</v>
      </c>
      <c r="H459" s="3">
        <v>41988.923182870371</v>
      </c>
      <c r="I459" s="3">
        <v>41988.923182870371</v>
      </c>
      <c r="J459" s="3" t="s">
        <v>103</v>
      </c>
      <c r="K459" s="3" t="s">
        <v>105</v>
      </c>
      <c r="L459" s="3" t="s">
        <v>1825</v>
      </c>
      <c r="M459" s="3" t="s">
        <v>352</v>
      </c>
      <c r="N459" s="3" t="s">
        <v>1760</v>
      </c>
      <c r="O459" s="3" t="s">
        <v>1766</v>
      </c>
      <c r="P459" s="3" t="s">
        <v>1761</v>
      </c>
      <c r="Q459" t="str">
        <f t="shared" si="30"/>
        <v>http://roarmap.eprints.org/view/country/792.html</v>
      </c>
      <c r="R459" s="3">
        <v>792</v>
      </c>
      <c r="S459" s="6" t="s">
        <v>338</v>
      </c>
      <c r="T459" s="9">
        <v>792</v>
      </c>
      <c r="U459" s="7" t="s">
        <v>123</v>
      </c>
      <c r="V459" s="6" t="s">
        <v>76</v>
      </c>
      <c r="W459" s="3" t="s">
        <v>158</v>
      </c>
      <c r="X459" s="3" t="s">
        <v>160</v>
      </c>
      <c r="Y459" s="3" t="s">
        <v>1825</v>
      </c>
      <c r="Z459" s="8" t="str">
        <f>HYPERLINK("http://www.ybu.edu.tr/","http://www.ybu.edu.tr/")</f>
        <v>http://www.ybu.edu.tr/</v>
      </c>
      <c r="AA459" s="8" t="str">
        <f>HYPERLINK("http://www.ybu.edu.tr/kutuphane/custom_page-346-ybu-acik-erisim-politikasi.html","http://www.ybu.edu.tr/kutuphane/custom_page-346-ybu-acik-erisim-politikasi.html")</f>
        <v>http://www.ybu.edu.tr/kutuphane/custom_page-346-ybu-acik-erisim-politikasi.html</v>
      </c>
      <c r="AB459" s="8" t="str">
        <f>HYPERLINK("http://acikerisim.ybu.edu.tr:8080/xmlui/","http://acikerisim.ybu.edu.tr:8080/xmlui/")</f>
        <v>http://acikerisim.ybu.edu.tr:8080/xmlui/</v>
      </c>
      <c r="AC459" s="3">
        <v>41810</v>
      </c>
      <c r="AD459" s="3">
        <v>41810</v>
      </c>
      <c r="AF459" s="3" t="s">
        <v>177</v>
      </c>
      <c r="AG459" s="3" t="s">
        <v>333</v>
      </c>
      <c r="AH459" s="3" t="s">
        <v>180</v>
      </c>
      <c r="AI459" s="3" t="s">
        <v>244</v>
      </c>
      <c r="AJ459" s="3" t="s">
        <v>182</v>
      </c>
      <c r="AK459" s="3" t="s">
        <v>244</v>
      </c>
      <c r="AL459" s="3" t="s">
        <v>288</v>
      </c>
      <c r="AM459" s="3" t="s">
        <v>247</v>
      </c>
      <c r="AN459" s="3" t="s">
        <v>244</v>
      </c>
      <c r="AO459" s="3" t="s">
        <v>247</v>
      </c>
      <c r="AP459" s="3" t="s">
        <v>185</v>
      </c>
      <c r="AQ459" s="3" t="s">
        <v>394</v>
      </c>
      <c r="AR459" s="3" t="s">
        <v>244</v>
      </c>
      <c r="AS459" s="3" t="s">
        <v>189</v>
      </c>
      <c r="AT459" s="3" t="s">
        <v>244</v>
      </c>
      <c r="AU459" s="3" t="s">
        <v>244</v>
      </c>
      <c r="AV459" s="3" t="s">
        <v>244</v>
      </c>
      <c r="AW459" s="3" t="s">
        <v>244</v>
      </c>
      <c r="AX459" s="3" t="s">
        <v>244</v>
      </c>
      <c r="AY459" s="3" t="s">
        <v>247</v>
      </c>
    </row>
    <row r="460" spans="1:51" ht="15.75" customHeight="1">
      <c r="A460" s="3">
        <v>58</v>
      </c>
      <c r="B460" s="5" t="str">
        <f t="shared" si="0"/>
        <v>http://roarmap.eprints.org/58/</v>
      </c>
      <c r="C460" s="3">
        <v>3</v>
      </c>
      <c r="D460" s="3" t="s">
        <v>98</v>
      </c>
      <c r="E460" s="3">
        <v>1</v>
      </c>
      <c r="F460" s="3" t="s">
        <v>1826</v>
      </c>
      <c r="G460" s="3">
        <v>41988.923148148147</v>
      </c>
      <c r="H460" s="3">
        <v>41988.923148148147</v>
      </c>
      <c r="I460" s="3">
        <v>41988.923148148147</v>
      </c>
      <c r="J460" s="3" t="s">
        <v>103</v>
      </c>
      <c r="K460" s="3" t="s">
        <v>105</v>
      </c>
      <c r="L460" s="3" t="s">
        <v>1827</v>
      </c>
      <c r="M460" s="3" t="s">
        <v>352</v>
      </c>
      <c r="N460" s="3" t="s">
        <v>1760</v>
      </c>
      <c r="P460" s="3" t="s">
        <v>1761</v>
      </c>
      <c r="Q460" t="str">
        <f t="shared" si="30"/>
        <v>http://roarmap.eprints.org/view/country/792.html</v>
      </c>
      <c r="R460" s="3">
        <v>792</v>
      </c>
      <c r="S460" s="6" t="s">
        <v>338</v>
      </c>
      <c r="T460" s="9">
        <v>792</v>
      </c>
      <c r="U460" s="7" t="s">
        <v>123</v>
      </c>
      <c r="V460" s="6" t="s">
        <v>76</v>
      </c>
      <c r="W460" s="3" t="s">
        <v>158</v>
      </c>
      <c r="X460" s="3" t="s">
        <v>160</v>
      </c>
      <c r="Y460" s="3" t="s">
        <v>1827</v>
      </c>
      <c r="Z460" s="8" t="str">
        <f>HYPERLINK("http://www.zirve.edu.tr/en/","http://www.zirve.edu.tr/en/")</f>
        <v>http://www.zirve.edu.tr/en/</v>
      </c>
      <c r="AA460" s="3" t="s">
        <v>1762</v>
      </c>
      <c r="AB460" s="3" t="s">
        <v>1762</v>
      </c>
      <c r="AE460" s="3">
        <v>41764</v>
      </c>
      <c r="AF460" s="3" t="s">
        <v>177</v>
      </c>
      <c r="AG460" s="3" t="s">
        <v>244</v>
      </c>
      <c r="AH460" s="3" t="s">
        <v>180</v>
      </c>
      <c r="AI460" s="3" t="s">
        <v>244</v>
      </c>
      <c r="AJ460" s="3" t="s">
        <v>182</v>
      </c>
      <c r="AK460" s="3" t="s">
        <v>244</v>
      </c>
      <c r="AL460" s="3" t="s">
        <v>244</v>
      </c>
      <c r="AM460" s="3" t="s">
        <v>247</v>
      </c>
      <c r="AN460" s="3" t="s">
        <v>244</v>
      </c>
      <c r="AO460" s="3" t="s">
        <v>247</v>
      </c>
      <c r="AP460" s="3" t="s">
        <v>244</v>
      </c>
      <c r="AQ460" s="3" t="s">
        <v>247</v>
      </c>
      <c r="AR460" s="3" t="s">
        <v>288</v>
      </c>
      <c r="AS460" s="3" t="s">
        <v>288</v>
      </c>
      <c r="AT460" s="3" t="s">
        <v>244</v>
      </c>
      <c r="AU460" s="3" t="s">
        <v>244</v>
      </c>
      <c r="AV460" s="3" t="s">
        <v>288</v>
      </c>
      <c r="AW460" s="3" t="s">
        <v>908</v>
      </c>
      <c r="AX460" s="3" t="s">
        <v>244</v>
      </c>
      <c r="AY460" s="3" t="s">
        <v>247</v>
      </c>
    </row>
    <row r="461" spans="1:51" ht="15.75" customHeight="1">
      <c r="A461" s="3">
        <v>70</v>
      </c>
      <c r="B461" s="5" t="str">
        <f t="shared" si="0"/>
        <v>http://roarmap.eprints.org/70/</v>
      </c>
      <c r="C461" s="3">
        <v>4</v>
      </c>
      <c r="D461" s="3" t="s">
        <v>98</v>
      </c>
      <c r="E461" s="3">
        <v>1</v>
      </c>
      <c r="F461" s="3" t="s">
        <v>1828</v>
      </c>
      <c r="G461" s="3">
        <v>41988.923194444447</v>
      </c>
      <c r="H461" s="3">
        <v>41988.923194444447</v>
      </c>
      <c r="I461" s="3">
        <v>41988.923194444447</v>
      </c>
      <c r="J461" s="3" t="s">
        <v>103</v>
      </c>
      <c r="K461" s="3" t="s">
        <v>105</v>
      </c>
      <c r="L461" s="3" t="s">
        <v>1829</v>
      </c>
      <c r="M461" s="3" t="s">
        <v>352</v>
      </c>
      <c r="N461" s="3" t="s">
        <v>1830</v>
      </c>
      <c r="O461" s="3" t="s">
        <v>1831</v>
      </c>
      <c r="P461" s="3" t="s">
        <v>1761</v>
      </c>
      <c r="Q461" t="str">
        <f t="shared" si="30"/>
        <v>http://roarmap.eprints.org/view/country/792.html</v>
      </c>
      <c r="R461" s="3">
        <v>792</v>
      </c>
      <c r="S461" s="6" t="s">
        <v>338</v>
      </c>
      <c r="T461" s="9">
        <v>792</v>
      </c>
      <c r="U461" s="7" t="s">
        <v>123</v>
      </c>
      <c r="V461" s="6" t="s">
        <v>76</v>
      </c>
      <c r="W461" s="3" t="s">
        <v>158</v>
      </c>
      <c r="X461" s="3" t="s">
        <v>160</v>
      </c>
      <c r="Y461" s="3" t="s">
        <v>1829</v>
      </c>
      <c r="Z461" s="8" t="str">
        <f>HYPERLINK("http://www.ozyegin.edu.tr/Anasayfa?lang=en-US","http://www.ozyegin.edu.tr/Anasayfa?lang=en-US")</f>
        <v>http://www.ozyegin.edu.tr/Anasayfa?lang=en-US</v>
      </c>
      <c r="AA461" s="3" t="s">
        <v>1762</v>
      </c>
      <c r="AB461" s="8" t="str">
        <f>HYPERLINK("https://eresearch.ozyegin.edu.tr/xmlui/","https://eresearch.ozyegin.edu.tr/xmlui/")</f>
        <v>https://eresearch.ozyegin.edu.tr/xmlui/</v>
      </c>
      <c r="AF461" s="3" t="s">
        <v>177</v>
      </c>
      <c r="AG461" s="3" t="s">
        <v>333</v>
      </c>
      <c r="AH461" s="3" t="s">
        <v>180</v>
      </c>
      <c r="AI461" s="3" t="s">
        <v>244</v>
      </c>
      <c r="AJ461" s="3" t="s">
        <v>182</v>
      </c>
      <c r="AK461" s="3" t="s">
        <v>393</v>
      </c>
      <c r="AL461" s="3" t="s">
        <v>288</v>
      </c>
      <c r="AM461" s="3" t="s">
        <v>479</v>
      </c>
      <c r="AN461" s="3" t="s">
        <v>189</v>
      </c>
      <c r="AO461" s="3" t="s">
        <v>187</v>
      </c>
      <c r="AP461" s="3" t="s">
        <v>244</v>
      </c>
      <c r="AQ461" s="3" t="s">
        <v>394</v>
      </c>
      <c r="AR461" s="3" t="s">
        <v>244</v>
      </c>
      <c r="AS461" s="3" t="s">
        <v>244</v>
      </c>
      <c r="AT461" s="3" t="s">
        <v>244</v>
      </c>
      <c r="AU461" s="3" t="s">
        <v>244</v>
      </c>
      <c r="AV461" s="3" t="s">
        <v>288</v>
      </c>
      <c r="AW461" s="3" t="s">
        <v>244</v>
      </c>
      <c r="AX461" s="3" t="s">
        <v>244</v>
      </c>
      <c r="AY461" s="3" t="s">
        <v>247</v>
      </c>
    </row>
    <row r="462" spans="1:51" ht="15.75" customHeight="1">
      <c r="A462" s="3">
        <v>643</v>
      </c>
      <c r="B462" s="5" t="str">
        <f t="shared" si="0"/>
        <v>http://roarmap.eprints.org/643/</v>
      </c>
      <c r="C462" s="3">
        <v>9</v>
      </c>
      <c r="D462" s="3" t="s">
        <v>98</v>
      </c>
      <c r="E462" s="3">
        <v>1</v>
      </c>
      <c r="F462" s="3" t="s">
        <v>1832</v>
      </c>
      <c r="G462" s="3">
        <v>41988.92428240741</v>
      </c>
      <c r="H462" s="3">
        <v>42066.896747685183</v>
      </c>
      <c r="I462" s="3">
        <v>41988.92428240741</v>
      </c>
      <c r="J462" s="3" t="s">
        <v>103</v>
      </c>
      <c r="K462" s="3" t="s">
        <v>105</v>
      </c>
      <c r="L462" s="3" t="s">
        <v>1833</v>
      </c>
      <c r="O462" s="3" t="s">
        <v>1766</v>
      </c>
      <c r="P462" s="3" t="s">
        <v>215</v>
      </c>
      <c r="Q462" t="str">
        <f t="shared" si="30"/>
        <v>http://roarmap.eprints.org/view/country/792.html</v>
      </c>
      <c r="R462" s="3">
        <v>792</v>
      </c>
      <c r="S462" s="6" t="s">
        <v>338</v>
      </c>
      <c r="T462" s="9">
        <v>792</v>
      </c>
      <c r="U462" s="7" t="s">
        <v>123</v>
      </c>
      <c r="V462" s="6" t="s">
        <v>76</v>
      </c>
      <c r="W462" s="3" t="s">
        <v>158</v>
      </c>
      <c r="X462" s="3" t="s">
        <v>160</v>
      </c>
      <c r="Y462" s="3" t="s">
        <v>1833</v>
      </c>
      <c r="Z462" s="8" t="str">
        <f>HYPERLINK("http://www.gelisim.edu.tr/","http://www.gelisim.edu.tr/")</f>
        <v>http://www.gelisim.edu.tr/</v>
      </c>
      <c r="AB462" s="8" t="str">
        <f>HYPERLINK("http://earsiv.gelisim.edu.tr:8080/xmlui/","http://earsiv.gelisim.edu.tr:8080/xmlui/")</f>
        <v>http://earsiv.gelisim.edu.tr:8080/xmlui/</v>
      </c>
      <c r="AC462" s="3">
        <v>41738</v>
      </c>
      <c r="AD462" s="3">
        <v>41738</v>
      </c>
      <c r="AF462" s="3" t="s">
        <v>177</v>
      </c>
      <c r="AG462" s="3" t="s">
        <v>333</v>
      </c>
      <c r="AH462" s="3" t="s">
        <v>180</v>
      </c>
      <c r="AI462" s="3" t="s">
        <v>181</v>
      </c>
      <c r="AJ462" s="3" t="s">
        <v>182</v>
      </c>
      <c r="AK462" s="3" t="s">
        <v>393</v>
      </c>
      <c r="AL462" s="3" t="s">
        <v>288</v>
      </c>
      <c r="AM462" s="3" t="s">
        <v>178</v>
      </c>
      <c r="AN462" s="3" t="s">
        <v>244</v>
      </c>
      <c r="AO462" s="3" t="s">
        <v>181</v>
      </c>
      <c r="AP462" s="3" t="s">
        <v>244</v>
      </c>
      <c r="AQ462" s="3" t="s">
        <v>394</v>
      </c>
      <c r="AR462" s="3" t="s">
        <v>244</v>
      </c>
      <c r="AS462" s="3" t="s">
        <v>185</v>
      </c>
      <c r="AT462" s="3" t="s">
        <v>379</v>
      </c>
      <c r="AU462" s="3" t="s">
        <v>379</v>
      </c>
      <c r="AV462" s="3" t="s">
        <v>185</v>
      </c>
      <c r="AW462" s="3" t="s">
        <v>244</v>
      </c>
      <c r="AX462" s="3" t="s">
        <v>244</v>
      </c>
      <c r="AY462" s="3" t="s">
        <v>247</v>
      </c>
    </row>
    <row r="463" spans="1:51" ht="15.75" customHeight="1">
      <c r="A463" s="3">
        <v>330</v>
      </c>
      <c r="B463" s="5" t="str">
        <f t="shared" si="0"/>
        <v>http://roarmap.eprints.org/330/</v>
      </c>
      <c r="C463" s="3">
        <v>4</v>
      </c>
      <c r="D463" s="3" t="s">
        <v>98</v>
      </c>
      <c r="E463" s="3">
        <v>291</v>
      </c>
      <c r="F463" s="3" t="s">
        <v>1834</v>
      </c>
      <c r="G463" s="3">
        <v>41988.923796296294</v>
      </c>
      <c r="H463" s="3">
        <v>42046.98170138889</v>
      </c>
      <c r="I463" s="3">
        <v>41988.923796296294</v>
      </c>
      <c r="J463" s="3" t="s">
        <v>103</v>
      </c>
      <c r="K463" s="3" t="s">
        <v>105</v>
      </c>
      <c r="L463" s="3" t="s">
        <v>1835</v>
      </c>
      <c r="M463" s="3" t="s">
        <v>637</v>
      </c>
      <c r="P463" s="3" t="s">
        <v>1563</v>
      </c>
      <c r="Q463" t="str">
        <f t="shared" si="30"/>
        <v>http://roarmap.eprints.org/view/country/804.html</v>
      </c>
      <c r="R463" s="3">
        <v>804</v>
      </c>
      <c r="S463" s="6" t="s">
        <v>345</v>
      </c>
      <c r="T463" s="9">
        <v>804</v>
      </c>
      <c r="U463" s="7" t="s">
        <v>123</v>
      </c>
      <c r="V463" s="6" t="s">
        <v>102</v>
      </c>
      <c r="W463" s="3" t="s">
        <v>158</v>
      </c>
      <c r="X463" s="3" t="s">
        <v>160</v>
      </c>
      <c r="Y463" s="3" t="s">
        <v>1835</v>
      </c>
      <c r="Z463" s="8" t="str">
        <f>HYPERLINK("http://donntu.edu.ua","http://donntu.edu.ua")</f>
        <v>http://donntu.edu.ua</v>
      </c>
      <c r="AA463" s="8" t="str">
        <f>HYPERLINK("http://roarmap.eprints.org/607/1/prikaz.jpg","http://roarmap.eprints.org/607/1/prikaz.jpg")</f>
        <v>http://roarmap.eprints.org/607/1/prikaz.jpg</v>
      </c>
      <c r="AB463" s="8" t="str">
        <f>HYPERLINK("http://ea.donntu.edu.ua:8080/jspui/","http://ea.donntu.edu.ua:8080/jspui/")</f>
        <v>http://ea.donntu.edu.ua:8080/jspui/</v>
      </c>
      <c r="AC463" s="3">
        <v>40702</v>
      </c>
      <c r="AD463" s="3">
        <v>40702</v>
      </c>
      <c r="AF463" s="3" t="s">
        <v>177</v>
      </c>
      <c r="AG463" s="3" t="s">
        <v>178</v>
      </c>
      <c r="AH463" s="3" t="s">
        <v>180</v>
      </c>
      <c r="AI463" s="3" t="s">
        <v>244</v>
      </c>
      <c r="AJ463" s="3" t="s">
        <v>182</v>
      </c>
      <c r="AK463" s="3" t="s">
        <v>244</v>
      </c>
      <c r="AL463" s="3" t="s">
        <v>185</v>
      </c>
      <c r="AM463" s="3" t="s">
        <v>178</v>
      </c>
      <c r="AN463" s="3" t="s">
        <v>185</v>
      </c>
      <c r="AO463" s="3" t="s">
        <v>181</v>
      </c>
      <c r="AP463" s="3" t="s">
        <v>185</v>
      </c>
      <c r="AQ463" s="3" t="s">
        <v>386</v>
      </c>
      <c r="AR463" s="3" t="s">
        <v>288</v>
      </c>
      <c r="AS463" s="3" t="s">
        <v>185</v>
      </c>
      <c r="AT463" s="3" t="s">
        <v>244</v>
      </c>
      <c r="AU463" s="3" t="s">
        <v>244</v>
      </c>
      <c r="AV463" s="3" t="s">
        <v>288</v>
      </c>
      <c r="AW463" s="3" t="s">
        <v>339</v>
      </c>
      <c r="AX463" s="3" t="s">
        <v>244</v>
      </c>
      <c r="AY463" s="3" t="s">
        <v>247</v>
      </c>
    </row>
    <row r="464" spans="1:51" ht="15.75" customHeight="1">
      <c r="A464" s="3">
        <v>331</v>
      </c>
      <c r="B464" s="5" t="str">
        <f t="shared" si="0"/>
        <v>http://roarmap.eprints.org/331/</v>
      </c>
      <c r="C464" s="3">
        <v>3</v>
      </c>
      <c r="D464" s="3" t="s">
        <v>98</v>
      </c>
      <c r="E464" s="3">
        <v>1</v>
      </c>
      <c r="F464" s="3" t="s">
        <v>1836</v>
      </c>
      <c r="G464" s="3">
        <v>41988.923796296294</v>
      </c>
      <c r="H464" s="3">
        <v>41988.923796296294</v>
      </c>
      <c r="I464" s="3">
        <v>41988.923796296294</v>
      </c>
      <c r="J464" s="3" t="s">
        <v>103</v>
      </c>
      <c r="K464" s="3" t="s">
        <v>105</v>
      </c>
      <c r="L464" s="3" t="s">
        <v>1837</v>
      </c>
      <c r="M464" s="3" t="s">
        <v>637</v>
      </c>
      <c r="P464" s="3" t="s">
        <v>1563</v>
      </c>
      <c r="Q464" t="str">
        <f t="shared" si="30"/>
        <v>http://roarmap.eprints.org/view/country/804.html</v>
      </c>
      <c r="R464" s="3">
        <v>804</v>
      </c>
      <c r="S464" s="6" t="s">
        <v>345</v>
      </c>
      <c r="T464" s="9">
        <v>804</v>
      </c>
      <c r="U464" s="7" t="s">
        <v>123</v>
      </c>
      <c r="V464" s="6" t="s">
        <v>102</v>
      </c>
      <c r="W464" s="3" t="s">
        <v>158</v>
      </c>
      <c r="X464" s="3" t="s">
        <v>160</v>
      </c>
      <c r="Y464" s="3" t="s">
        <v>1837</v>
      </c>
      <c r="Z464" s="8" t="str">
        <f>HYPERLINK("http://www.univer.kharkov.ua/en","http://www.univer.kharkov.ua/en")</f>
        <v>http://www.univer.kharkov.ua/en</v>
      </c>
      <c r="AA464" s="8" t="str">
        <f>HYPERLINK("http://roarmap.eprints.org/290/","http://roarmap.eprints.org/290/")</f>
        <v>http://roarmap.eprints.org/290/</v>
      </c>
      <c r="AB464" s="8" t="str">
        <f>HYPERLINK("http://dspace.univer.kharkov.ua/","http://dspace.univer.kharkov.ua/")</f>
        <v>http://dspace.univer.kharkov.ua/</v>
      </c>
      <c r="AC464" s="3">
        <v>40394</v>
      </c>
      <c r="AD464" s="3">
        <v>40394</v>
      </c>
      <c r="AF464" s="3" t="s">
        <v>177</v>
      </c>
      <c r="AG464" s="3" t="s">
        <v>333</v>
      </c>
      <c r="AH464" s="3" t="s">
        <v>180</v>
      </c>
      <c r="AI464" s="3" t="s">
        <v>244</v>
      </c>
      <c r="AJ464" s="3" t="s">
        <v>182</v>
      </c>
      <c r="AK464" s="3" t="s">
        <v>244</v>
      </c>
      <c r="AL464" s="3" t="s">
        <v>288</v>
      </c>
      <c r="AM464" s="3" t="s">
        <v>479</v>
      </c>
      <c r="AN464" s="3" t="s">
        <v>185</v>
      </c>
      <c r="AO464" s="3" t="s">
        <v>181</v>
      </c>
      <c r="AP464" s="3" t="s">
        <v>185</v>
      </c>
      <c r="AQ464" s="3" t="s">
        <v>386</v>
      </c>
      <c r="AR464" s="3" t="s">
        <v>288</v>
      </c>
      <c r="AS464" s="3" t="s">
        <v>185</v>
      </c>
      <c r="AT464" s="3" t="s">
        <v>244</v>
      </c>
      <c r="AU464" s="3" t="s">
        <v>244</v>
      </c>
      <c r="AV464" s="3" t="s">
        <v>288</v>
      </c>
      <c r="AW464" s="3" t="s">
        <v>339</v>
      </c>
      <c r="AX464" s="3" t="s">
        <v>244</v>
      </c>
      <c r="AY464" s="3" t="s">
        <v>247</v>
      </c>
    </row>
    <row r="465" spans="1:52" ht="15.75" customHeight="1">
      <c r="A465" s="3">
        <v>332</v>
      </c>
      <c r="B465" s="5" t="str">
        <f t="shared" si="0"/>
        <v>http://roarmap.eprints.org/332/</v>
      </c>
      <c r="C465" s="3">
        <v>4</v>
      </c>
      <c r="D465" s="3" t="s">
        <v>98</v>
      </c>
      <c r="E465" s="3">
        <v>292</v>
      </c>
      <c r="F465" s="3" t="s">
        <v>1838</v>
      </c>
      <c r="G465" s="3">
        <v>41988.923796296294</v>
      </c>
      <c r="H465" s="3">
        <v>42046.98170138889</v>
      </c>
      <c r="I465" s="3">
        <v>41988.923796296294</v>
      </c>
      <c r="J465" s="3" t="s">
        <v>103</v>
      </c>
      <c r="K465" s="3" t="s">
        <v>105</v>
      </c>
      <c r="L465" s="3" t="s">
        <v>1839</v>
      </c>
      <c r="M465" s="3" t="s">
        <v>637</v>
      </c>
      <c r="P465" s="3" t="s">
        <v>1563</v>
      </c>
      <c r="Q465" t="str">
        <f t="shared" si="30"/>
        <v>http://roarmap.eprints.org/view/country/804.html</v>
      </c>
      <c r="R465" s="3">
        <v>804</v>
      </c>
      <c r="S465" s="6" t="s">
        <v>345</v>
      </c>
      <c r="T465" s="9">
        <v>804</v>
      </c>
      <c r="U465" s="7" t="s">
        <v>123</v>
      </c>
      <c r="V465" s="6" t="s">
        <v>102</v>
      </c>
      <c r="W465" s="3" t="s">
        <v>158</v>
      </c>
      <c r="X465" s="3" t="s">
        <v>160</v>
      </c>
      <c r="Y465" s="3" t="s">
        <v>1839</v>
      </c>
      <c r="Z465" s="8" t="str">
        <f>HYPERLINK("http://www.knmu.kharkov.ua/","http://www.knmu.kharkov.ua/")</f>
        <v>http://www.knmu.kharkov.ua/</v>
      </c>
      <c r="AA465" s="8" t="str">
        <f>HYPERLINK("http://roarmap.eprints.org/531/","http://roarmap.eprints.org/531/")</f>
        <v>http://roarmap.eprints.org/531/</v>
      </c>
      <c r="AB465" s="8" t="str">
        <f>HYPERLINK("http://repo.knmu.edu.ua/","http://repo.knmu.edu.ua/")</f>
        <v>http://repo.knmu.edu.ua/</v>
      </c>
      <c r="AC465" s="3">
        <v>40829</v>
      </c>
      <c r="AD465" s="3">
        <v>40829</v>
      </c>
      <c r="AF465" s="3" t="s">
        <v>177</v>
      </c>
      <c r="AG465" s="3" t="s">
        <v>178</v>
      </c>
      <c r="AH465" s="3" t="s">
        <v>180</v>
      </c>
      <c r="AI465" s="3" t="s">
        <v>244</v>
      </c>
      <c r="AJ465" s="3" t="s">
        <v>182</v>
      </c>
      <c r="AK465" s="3" t="s">
        <v>244</v>
      </c>
      <c r="AL465" s="3" t="s">
        <v>185</v>
      </c>
      <c r="AM465" s="3" t="s">
        <v>178</v>
      </c>
      <c r="AN465" s="3" t="s">
        <v>185</v>
      </c>
      <c r="AO465" s="3" t="s">
        <v>181</v>
      </c>
      <c r="AP465" s="3" t="s">
        <v>185</v>
      </c>
      <c r="AQ465" s="3" t="s">
        <v>386</v>
      </c>
      <c r="AR465" s="3" t="s">
        <v>288</v>
      </c>
      <c r="AS465" s="3" t="s">
        <v>185</v>
      </c>
      <c r="AT465" s="3" t="s">
        <v>244</v>
      </c>
      <c r="AU465" s="3" t="s">
        <v>244</v>
      </c>
      <c r="AV465" s="3" t="s">
        <v>288</v>
      </c>
      <c r="AW465" s="3" t="s">
        <v>339</v>
      </c>
      <c r="AX465" s="3" t="s">
        <v>244</v>
      </c>
      <c r="AY465" s="3" t="s">
        <v>247</v>
      </c>
    </row>
    <row r="466" spans="1:52" ht="15.75" customHeight="1">
      <c r="A466" s="3">
        <v>333</v>
      </c>
      <c r="B466" s="5" t="str">
        <f t="shared" si="0"/>
        <v>http://roarmap.eprints.org/333/</v>
      </c>
      <c r="C466" s="3">
        <v>4</v>
      </c>
      <c r="D466" s="3" t="s">
        <v>98</v>
      </c>
      <c r="E466" s="3">
        <v>293</v>
      </c>
      <c r="F466" s="3" t="s">
        <v>1840</v>
      </c>
      <c r="G466" s="3">
        <v>41988.923796296294</v>
      </c>
      <c r="H466" s="3">
        <v>42046.98170138889</v>
      </c>
      <c r="I466" s="3">
        <v>41988.923796296294</v>
      </c>
      <c r="J466" s="3" t="s">
        <v>103</v>
      </c>
      <c r="K466" s="3" t="s">
        <v>105</v>
      </c>
      <c r="L466" s="3" t="s">
        <v>1841</v>
      </c>
      <c r="M466" s="3" t="s">
        <v>352</v>
      </c>
      <c r="P466" s="3" t="s">
        <v>1563</v>
      </c>
      <c r="Q466" t="str">
        <f t="shared" si="30"/>
        <v>http://roarmap.eprints.org/view/country/804.html</v>
      </c>
      <c r="R466" s="3">
        <v>804</v>
      </c>
      <c r="S466" s="6" t="s">
        <v>345</v>
      </c>
      <c r="T466" s="9">
        <v>804</v>
      </c>
      <c r="U466" s="7" t="s">
        <v>123</v>
      </c>
      <c r="V466" s="6" t="s">
        <v>102</v>
      </c>
      <c r="W466" s="3" t="s">
        <v>158</v>
      </c>
      <c r="X466" s="3" t="s">
        <v>160</v>
      </c>
      <c r="Y466" s="3" t="s">
        <v>1841</v>
      </c>
      <c r="Z466" s="8" t="str">
        <f>HYPERLINK("http://www.nau.edu.ua","http://www.nau.edu.ua")</f>
        <v>http://www.nau.edu.ua</v>
      </c>
      <c r="AA466" s="8" t="str">
        <f>HYPERLINK("http://roarmap.eprints.org/730/1/%D0%A0%D0%B5%D0%BF%D0%BE%D0%B7%D0%B8%EF%BF%BD%82%D0%B0%EF%BF%BD%80%EF%BF%BD%96%D0%B9_%EF%BF%BD%9D%EF%BF%BD%90%D0%A3.pdf","http://roarmap.eprints.org/730/1/%D0%A0%D0%B5%D0%BF%D0%BE%D0%B7%D0%B8%EF%BF%BD%2582%D0%B0%EF%BF%BD%2580%EF%BF%BD%2596%D0%B9_%EF%BF%BD%259D%EF%BF%BD%2590%D0%A3.pdf")</f>
        <v>http://roarmap.eprints.org/730/1/%D0%A0%D0%B5%D0%BF%D0%BE%D0%B7%D0%B8%EF%BF%BD%2582%D0%B0%EF%BF%BD%2580%EF%BF%BD%2596%D0%B9_%EF%BF%BD%259D%EF%BF%BD%2590%D0%A3.pdf</v>
      </c>
      <c r="AB466" s="3" t="s">
        <v>1842</v>
      </c>
      <c r="AC466" s="3">
        <v>41240</v>
      </c>
      <c r="AD466" s="3">
        <v>41240</v>
      </c>
      <c r="AF466" s="3" t="s">
        <v>177</v>
      </c>
      <c r="AG466" s="3" t="s">
        <v>333</v>
      </c>
      <c r="AH466" s="3" t="s">
        <v>180</v>
      </c>
      <c r="AI466" s="3" t="s">
        <v>244</v>
      </c>
      <c r="AJ466" s="3" t="s">
        <v>182</v>
      </c>
      <c r="AK466" s="3" t="s">
        <v>244</v>
      </c>
      <c r="AL466" s="3" t="s">
        <v>288</v>
      </c>
      <c r="AM466" s="3" t="s">
        <v>479</v>
      </c>
      <c r="AN466" s="3" t="s">
        <v>185</v>
      </c>
      <c r="AO466" s="3" t="s">
        <v>181</v>
      </c>
      <c r="AP466" s="3" t="s">
        <v>185</v>
      </c>
      <c r="AQ466" s="3" t="s">
        <v>386</v>
      </c>
      <c r="AR466" s="3" t="s">
        <v>288</v>
      </c>
      <c r="AS466" s="3" t="s">
        <v>185</v>
      </c>
      <c r="AT466" s="3" t="s">
        <v>244</v>
      </c>
      <c r="AU466" s="3" t="s">
        <v>244</v>
      </c>
      <c r="AV466" s="3" t="s">
        <v>288</v>
      </c>
      <c r="AW466" s="3" t="s">
        <v>339</v>
      </c>
      <c r="AX466" s="3" t="s">
        <v>244</v>
      </c>
      <c r="AY466" s="3" t="s">
        <v>247</v>
      </c>
    </row>
    <row r="467" spans="1:52" ht="15.75" customHeight="1">
      <c r="A467" s="3">
        <v>664</v>
      </c>
      <c r="B467" s="5" t="str">
        <f t="shared" si="0"/>
        <v>http://roarmap.eprints.org/664/</v>
      </c>
      <c r="C467" s="3">
        <v>16</v>
      </c>
      <c r="D467" s="3" t="s">
        <v>98</v>
      </c>
      <c r="E467" s="3">
        <v>187</v>
      </c>
      <c r="F467" s="3" t="s">
        <v>1843</v>
      </c>
      <c r="G467" s="3">
        <v>42055.574166666665</v>
      </c>
      <c r="H467" s="3">
        <v>42066.946898148148</v>
      </c>
      <c r="I467" s="3">
        <v>42055.574166666665</v>
      </c>
      <c r="J467" s="3" t="s">
        <v>103</v>
      </c>
      <c r="K467" s="3" t="s">
        <v>105</v>
      </c>
      <c r="L467" s="3" t="s">
        <v>1844</v>
      </c>
      <c r="N467" s="3" t="s">
        <v>1845</v>
      </c>
      <c r="O467" s="3" t="s">
        <v>1846</v>
      </c>
      <c r="P467" s="8" t="str">
        <f>HYPERLINK("http://repository.kpi.kharkov.ua","http://repository.kpi.kharkov.ua")</f>
        <v>http://repository.kpi.kharkov.ua</v>
      </c>
      <c r="Q467" t="str">
        <f t="shared" si="30"/>
        <v>http://roarmap.eprints.org/view/country/804.html</v>
      </c>
      <c r="R467" s="3">
        <v>804</v>
      </c>
      <c r="S467" s="6" t="s">
        <v>345</v>
      </c>
      <c r="T467" s="9">
        <v>804</v>
      </c>
      <c r="U467" s="7" t="s">
        <v>123</v>
      </c>
      <c r="V467" s="6" t="s">
        <v>102</v>
      </c>
      <c r="W467" s="3" t="s">
        <v>158</v>
      </c>
      <c r="X467" s="3" t="s">
        <v>160</v>
      </c>
      <c r="Y467" s="3" t="s">
        <v>1844</v>
      </c>
      <c r="Z467" s="8" t="str">
        <f>HYPERLINK("http://www.kpi.kharkov.ua","http://www.kpi.kharkov.ua")</f>
        <v>http://www.kpi.kharkov.ua</v>
      </c>
      <c r="AA467" s="8" t="str">
        <f>HYPERLINK("http://library.kpi.kharkov.ua","http://library.kpi.kharkov.ua")</f>
        <v>http://library.kpi.kharkov.ua</v>
      </c>
      <c r="AB467" s="8" t="str">
        <f>HYPERLINK("http://repository.kpi.kharkov.ua","http://repository.kpi.kharkov.ua")</f>
        <v>http://repository.kpi.kharkov.ua</v>
      </c>
      <c r="AC467" s="3">
        <v>41390</v>
      </c>
      <c r="AD467" s="3">
        <v>41390</v>
      </c>
      <c r="AE467" s="3">
        <v>42005</v>
      </c>
      <c r="AF467" s="3" t="s">
        <v>177</v>
      </c>
      <c r="AG467" s="3" t="s">
        <v>178</v>
      </c>
      <c r="AH467" s="3" t="s">
        <v>180</v>
      </c>
      <c r="AI467" s="3" t="s">
        <v>244</v>
      </c>
      <c r="AJ467" s="3" t="s">
        <v>182</v>
      </c>
      <c r="AK467" s="3" t="s">
        <v>393</v>
      </c>
      <c r="AL467" s="3" t="s">
        <v>189</v>
      </c>
      <c r="AM467" s="3" t="s">
        <v>178</v>
      </c>
      <c r="AN467" s="3" t="s">
        <v>189</v>
      </c>
      <c r="AP467" s="3" t="s">
        <v>189</v>
      </c>
      <c r="AQ467" s="3" t="s">
        <v>394</v>
      </c>
      <c r="AR467" s="3" t="s">
        <v>189</v>
      </c>
      <c r="AS467" s="3" t="s">
        <v>185</v>
      </c>
      <c r="AT467" s="3" t="s">
        <v>379</v>
      </c>
      <c r="AU467" s="3" t="s">
        <v>379</v>
      </c>
      <c r="AV467" s="3" t="s">
        <v>189</v>
      </c>
      <c r="AW467" s="3" t="s">
        <v>630</v>
      </c>
      <c r="AX467" s="3" t="s">
        <v>442</v>
      </c>
      <c r="AY467" s="3" t="s">
        <v>428</v>
      </c>
    </row>
    <row r="468" spans="1:52" ht="15.75" customHeight="1">
      <c r="A468" s="3">
        <v>334</v>
      </c>
      <c r="B468" s="5" t="str">
        <f t="shared" si="0"/>
        <v>http://roarmap.eprints.org/334/</v>
      </c>
      <c r="C468" s="3">
        <v>4</v>
      </c>
      <c r="D468" s="3" t="s">
        <v>98</v>
      </c>
      <c r="E468" s="3">
        <v>294</v>
      </c>
      <c r="F468" s="3" t="s">
        <v>1847</v>
      </c>
      <c r="G468" s="3">
        <v>41988.923796296294</v>
      </c>
      <c r="H468" s="3">
        <v>42046.98170138889</v>
      </c>
      <c r="I468" s="3">
        <v>41988.923796296294</v>
      </c>
      <c r="J468" s="3" t="s">
        <v>103</v>
      </c>
      <c r="K468" s="3" t="s">
        <v>105</v>
      </c>
      <c r="L468" s="3" t="s">
        <v>1848</v>
      </c>
      <c r="M468" s="3" t="s">
        <v>352</v>
      </c>
      <c r="P468" s="3" t="s">
        <v>1563</v>
      </c>
      <c r="Q468" t="str">
        <f t="shared" si="30"/>
        <v>http://roarmap.eprints.org/view/country/804.html</v>
      </c>
      <c r="R468" s="3">
        <v>804</v>
      </c>
      <c r="S468" s="6" t="s">
        <v>345</v>
      </c>
      <c r="T468" s="9">
        <v>804</v>
      </c>
      <c r="U468" s="7" t="s">
        <v>123</v>
      </c>
      <c r="V468" s="6" t="s">
        <v>102</v>
      </c>
      <c r="W468" s="3" t="s">
        <v>158</v>
      </c>
      <c r="X468" s="3" t="s">
        <v>160</v>
      </c>
      <c r="Y468" s="3" t="s">
        <v>1848</v>
      </c>
      <c r="Z468" s="8" t="str">
        <f>HYPERLINK("http://www.ukma.kiev.ua","http://www.ukma.kiev.ua")</f>
        <v>http://www.ukma.kiev.ua</v>
      </c>
      <c r="AA468" s="3" t="s">
        <v>1849</v>
      </c>
      <c r="AB468" s="8" t="str">
        <f>HYPERLINK("http://www.ekmair.ukma.kiev.ua/","http://www.ekmair.ukma.kiev.ua/")</f>
        <v>http://www.ekmair.ukma.kiev.ua/</v>
      </c>
      <c r="AC468" s="3">
        <v>39751</v>
      </c>
      <c r="AD468" s="3">
        <v>39751</v>
      </c>
      <c r="AF468" s="3" t="s">
        <v>478</v>
      </c>
      <c r="AG468" s="3" t="s">
        <v>333</v>
      </c>
      <c r="AH468" s="3" t="s">
        <v>180</v>
      </c>
      <c r="AI468" s="3" t="s">
        <v>244</v>
      </c>
      <c r="AJ468" s="3" t="s">
        <v>244</v>
      </c>
      <c r="AK468" s="3" t="s">
        <v>244</v>
      </c>
      <c r="AL468" s="3" t="s">
        <v>288</v>
      </c>
      <c r="AM468" s="3" t="s">
        <v>479</v>
      </c>
      <c r="AN468" s="3" t="s">
        <v>185</v>
      </c>
      <c r="AO468" s="3" t="s">
        <v>181</v>
      </c>
      <c r="AP468" s="3" t="s">
        <v>185</v>
      </c>
      <c r="AQ468" s="3" t="s">
        <v>386</v>
      </c>
      <c r="AR468" s="3" t="s">
        <v>288</v>
      </c>
      <c r="AS468" s="3" t="s">
        <v>185</v>
      </c>
      <c r="AT468" s="3" t="s">
        <v>244</v>
      </c>
      <c r="AU468" s="3" t="s">
        <v>244</v>
      </c>
      <c r="AV468" s="3" t="s">
        <v>288</v>
      </c>
      <c r="AW468" s="3" t="s">
        <v>339</v>
      </c>
      <c r="AX468" s="3" t="s">
        <v>244</v>
      </c>
      <c r="AY468" s="3" t="s">
        <v>247</v>
      </c>
    </row>
    <row r="469" spans="1:52" ht="15.75" customHeight="1">
      <c r="A469" s="3">
        <v>335</v>
      </c>
      <c r="B469" s="5" t="str">
        <f t="shared" si="0"/>
        <v>http://roarmap.eprints.org/335/</v>
      </c>
      <c r="C469" s="3">
        <v>3</v>
      </c>
      <c r="D469" s="3" t="s">
        <v>98</v>
      </c>
      <c r="E469" s="3">
        <v>1</v>
      </c>
      <c r="F469" s="3" t="s">
        <v>1850</v>
      </c>
      <c r="G469" s="3">
        <v>41988.923796296294</v>
      </c>
      <c r="H469" s="3">
        <v>41988.923807870371</v>
      </c>
      <c r="I469" s="3">
        <v>41988.923796296294</v>
      </c>
      <c r="J469" s="3" t="s">
        <v>103</v>
      </c>
      <c r="K469" s="3" t="s">
        <v>105</v>
      </c>
      <c r="L469" s="3" t="s">
        <v>1851</v>
      </c>
      <c r="M469" s="3" t="s">
        <v>637</v>
      </c>
      <c r="P469" s="3" t="s">
        <v>1563</v>
      </c>
      <c r="Q469" t="str">
        <f t="shared" si="30"/>
        <v>http://roarmap.eprints.org/view/country/804.html</v>
      </c>
      <c r="R469" s="3">
        <v>804</v>
      </c>
      <c r="S469" s="6" t="s">
        <v>345</v>
      </c>
      <c r="T469" s="9">
        <v>804</v>
      </c>
      <c r="U469" s="7" t="s">
        <v>123</v>
      </c>
      <c r="V469" s="6" t="s">
        <v>102</v>
      </c>
      <c r="W469" s="3" t="s">
        <v>158</v>
      </c>
      <c r="X469" s="3" t="s">
        <v>376</v>
      </c>
      <c r="Y469" s="3" t="s">
        <v>1851</v>
      </c>
      <c r="Z469" s="8" t="str">
        <f>HYPERLINK("http://www.rada.gov.ua","www.rada.gov.ua")</f>
        <v>www.rada.gov.ua</v>
      </c>
      <c r="AA469" s="3" t="s">
        <v>1852</v>
      </c>
      <c r="AC469" s="3">
        <v>39577</v>
      </c>
      <c r="AD469" s="3">
        <v>39577</v>
      </c>
      <c r="AF469" s="3" t="s">
        <v>177</v>
      </c>
      <c r="AG469" s="3" t="s">
        <v>333</v>
      </c>
      <c r="AH469" s="3" t="s">
        <v>244</v>
      </c>
      <c r="AI469" s="3" t="s">
        <v>244</v>
      </c>
      <c r="AJ469" s="3" t="s">
        <v>244</v>
      </c>
      <c r="AK469" s="3" t="s">
        <v>244</v>
      </c>
      <c r="AL469" s="3" t="s">
        <v>288</v>
      </c>
      <c r="AM469" s="3" t="s">
        <v>479</v>
      </c>
      <c r="AN469" s="3" t="s">
        <v>185</v>
      </c>
      <c r="AO469" s="3" t="s">
        <v>247</v>
      </c>
      <c r="AP469" s="3" t="s">
        <v>185</v>
      </c>
      <c r="AQ469" s="3" t="s">
        <v>386</v>
      </c>
      <c r="AR469" s="3" t="s">
        <v>288</v>
      </c>
      <c r="AS469" s="3" t="s">
        <v>185</v>
      </c>
      <c r="AT469" s="3" t="s">
        <v>244</v>
      </c>
      <c r="AU469" s="3" t="s">
        <v>244</v>
      </c>
      <c r="AV469" s="3" t="s">
        <v>288</v>
      </c>
      <c r="AW469" s="3" t="s">
        <v>339</v>
      </c>
      <c r="AX469" s="3" t="s">
        <v>244</v>
      </c>
      <c r="AY469" s="3" t="s">
        <v>247</v>
      </c>
    </row>
    <row r="470" spans="1:52" ht="15.75" customHeight="1">
      <c r="A470" s="3">
        <v>336</v>
      </c>
      <c r="B470" s="5" t="str">
        <f t="shared" si="0"/>
        <v>http://roarmap.eprints.org/336/</v>
      </c>
      <c r="C470" s="3">
        <v>6</v>
      </c>
      <c r="D470" s="3" t="s">
        <v>98</v>
      </c>
      <c r="E470" s="3">
        <v>295</v>
      </c>
      <c r="F470" s="3" t="s">
        <v>1853</v>
      </c>
      <c r="G470" s="3">
        <v>41988.923807870371</v>
      </c>
      <c r="H470" s="3">
        <v>42046.98170138889</v>
      </c>
      <c r="I470" s="3">
        <v>41988.923807870371</v>
      </c>
      <c r="J470" s="3" t="s">
        <v>103</v>
      </c>
      <c r="K470" s="3" t="s">
        <v>105</v>
      </c>
      <c r="L470" s="3" t="s">
        <v>1854</v>
      </c>
      <c r="M470" s="3" t="s">
        <v>374</v>
      </c>
      <c r="O470" s="3" t="s">
        <v>1855</v>
      </c>
      <c r="P470" s="3" t="s">
        <v>1563</v>
      </c>
      <c r="Q470" t="str">
        <f t="shared" si="30"/>
        <v>http://roarmap.eprints.org/view/country/804.html</v>
      </c>
      <c r="R470" s="3">
        <v>804</v>
      </c>
      <c r="S470" s="6" t="s">
        <v>345</v>
      </c>
      <c r="T470" s="9">
        <v>804</v>
      </c>
      <c r="U470" s="7" t="s">
        <v>123</v>
      </c>
      <c r="V470" s="6" t="s">
        <v>102</v>
      </c>
      <c r="W470" s="3" t="s">
        <v>158</v>
      </c>
      <c r="X470" s="3" t="s">
        <v>160</v>
      </c>
      <c r="Y470" s="3" t="s">
        <v>1854</v>
      </c>
      <c r="Z470" s="8" t="str">
        <f>HYPERLINK("http://www.sumdu.edu.ua/ukr/","http://www.sumdu.edu.ua/ukr/")</f>
        <v>http://www.sumdu.edu.ua/ukr/</v>
      </c>
      <c r="AA470" s="8" t="str">
        <f>HYPERLINK("http://essuir.sumdu.edu.ua/position.jsp","http://essuir.sumdu.edu.ua/position.jsp")</f>
        <v>http://essuir.sumdu.edu.ua/position.jsp</v>
      </c>
      <c r="AB470" s="8" t="str">
        <f>HYPERLINK("http://essuir.sumdu.edu.ua","http://essuir.sumdu.edu.ua")</f>
        <v>http://essuir.sumdu.edu.ua</v>
      </c>
      <c r="AC470" s="3">
        <v>40706</v>
      </c>
      <c r="AD470" s="3">
        <v>40706</v>
      </c>
      <c r="AE470" s="3">
        <v>40706</v>
      </c>
      <c r="AF470" s="3" t="s">
        <v>177</v>
      </c>
      <c r="AG470" s="3" t="s">
        <v>178</v>
      </c>
      <c r="AH470" s="3" t="s">
        <v>180</v>
      </c>
      <c r="AI470" s="3" t="s">
        <v>244</v>
      </c>
      <c r="AJ470" s="3" t="s">
        <v>182</v>
      </c>
      <c r="AK470" s="3" t="s">
        <v>244</v>
      </c>
      <c r="AL470" s="3" t="s">
        <v>189</v>
      </c>
      <c r="AM470" s="3" t="s">
        <v>178</v>
      </c>
      <c r="AN470" s="3" t="s">
        <v>185</v>
      </c>
      <c r="AO470" s="3" t="s">
        <v>187</v>
      </c>
      <c r="AP470" s="3" t="s">
        <v>185</v>
      </c>
      <c r="AQ470" s="3" t="s">
        <v>648</v>
      </c>
      <c r="AR470" s="3" t="s">
        <v>185</v>
      </c>
      <c r="AS470" s="3" t="s">
        <v>288</v>
      </c>
      <c r="AT470" s="3" t="s">
        <v>785</v>
      </c>
      <c r="AU470" s="3" t="s">
        <v>785</v>
      </c>
      <c r="AV470" s="3" t="s">
        <v>288</v>
      </c>
      <c r="AW470" s="3" t="s">
        <v>244</v>
      </c>
      <c r="AX470" s="3" t="s">
        <v>196</v>
      </c>
      <c r="AY470" s="3" t="s">
        <v>428</v>
      </c>
    </row>
    <row r="471" spans="1:52" ht="15.75" customHeight="1">
      <c r="A471" s="3">
        <v>339</v>
      </c>
      <c r="B471" s="5" t="str">
        <f t="shared" si="0"/>
        <v>http://roarmap.eprints.org/339/</v>
      </c>
      <c r="C471" s="3">
        <v>3</v>
      </c>
      <c r="D471" s="3" t="s">
        <v>98</v>
      </c>
      <c r="E471" s="3">
        <v>1</v>
      </c>
      <c r="F471" s="3" t="s">
        <v>1856</v>
      </c>
      <c r="G471" s="3">
        <v>41988.923807870371</v>
      </c>
      <c r="H471" s="3">
        <v>41988.923807870371</v>
      </c>
      <c r="I471" s="3">
        <v>41988.923807870371</v>
      </c>
      <c r="J471" s="3" t="s">
        <v>103</v>
      </c>
      <c r="K471" s="3" t="s">
        <v>105</v>
      </c>
      <c r="L471" s="3" t="s">
        <v>1857</v>
      </c>
      <c r="M471" s="3" t="s">
        <v>532</v>
      </c>
      <c r="P471" s="3" t="s">
        <v>1563</v>
      </c>
      <c r="Q471" t="str">
        <f t="shared" si="30"/>
        <v>http://roarmap.eprints.org/view/country/804.html</v>
      </c>
      <c r="R471" s="3">
        <v>804</v>
      </c>
      <c r="S471" s="6" t="s">
        <v>345</v>
      </c>
      <c r="T471" s="9">
        <v>804</v>
      </c>
      <c r="U471" s="7" t="s">
        <v>123</v>
      </c>
      <c r="V471" s="6" t="s">
        <v>102</v>
      </c>
      <c r="W471" s="3" t="s">
        <v>158</v>
      </c>
      <c r="X471" s="3" t="s">
        <v>160</v>
      </c>
      <c r="Y471" s="3" t="s">
        <v>1857</v>
      </c>
      <c r="Z471" s="8" t="str">
        <f>HYPERLINK("http://www.tntu.edu.ua/","http://www.tntu.edu.ua/")</f>
        <v>http://www.tntu.edu.ua/</v>
      </c>
      <c r="AA471" s="8" t="str">
        <f>HYPERLINK("http://roarmap.eprints.org/125/","http://roarmap.eprints.org/125/")</f>
        <v>http://roarmap.eprints.org/125/</v>
      </c>
      <c r="AB471" s="8" t="str">
        <f>HYPERLINK("http://elartu.tntu.edu.ua/","http://elartu.tntu.edu.ua/")</f>
        <v>http://elartu.tntu.edu.ua/</v>
      </c>
      <c r="AC471" s="3">
        <v>39904</v>
      </c>
      <c r="AD471" s="3">
        <v>39904</v>
      </c>
      <c r="AF471" s="3" t="s">
        <v>177</v>
      </c>
      <c r="AG471" s="3" t="s">
        <v>178</v>
      </c>
      <c r="AH471" s="3" t="s">
        <v>180</v>
      </c>
      <c r="AI471" s="3" t="s">
        <v>244</v>
      </c>
      <c r="AJ471" s="3" t="s">
        <v>182</v>
      </c>
      <c r="AK471" s="3" t="s">
        <v>244</v>
      </c>
      <c r="AL471" s="3" t="s">
        <v>185</v>
      </c>
      <c r="AM471" s="3" t="s">
        <v>178</v>
      </c>
      <c r="AN471" s="3" t="s">
        <v>185</v>
      </c>
      <c r="AO471" s="3" t="s">
        <v>181</v>
      </c>
      <c r="AP471" s="3" t="s">
        <v>185</v>
      </c>
      <c r="AQ471" s="3" t="s">
        <v>386</v>
      </c>
      <c r="AR471" s="3" t="s">
        <v>288</v>
      </c>
      <c r="AS471" s="3" t="s">
        <v>185</v>
      </c>
      <c r="AT471" s="3" t="s">
        <v>244</v>
      </c>
      <c r="AU471" s="3" t="s">
        <v>244</v>
      </c>
      <c r="AV471" s="3" t="s">
        <v>288</v>
      </c>
      <c r="AW471" s="3" t="s">
        <v>339</v>
      </c>
      <c r="AX471" s="3" t="s">
        <v>244</v>
      </c>
      <c r="AY471" s="3" t="s">
        <v>247</v>
      </c>
    </row>
    <row r="472" spans="1:52" ht="15.75" customHeight="1">
      <c r="A472" s="3">
        <v>337</v>
      </c>
      <c r="B472" s="5" t="str">
        <f t="shared" si="0"/>
        <v>http://roarmap.eprints.org/337/</v>
      </c>
      <c r="C472" s="3">
        <v>4</v>
      </c>
      <c r="D472" s="3" t="s">
        <v>98</v>
      </c>
      <c r="E472" s="3">
        <v>296</v>
      </c>
      <c r="F472" s="3" t="s">
        <v>1858</v>
      </c>
      <c r="G472" s="3">
        <v>41988.923807870371</v>
      </c>
      <c r="H472" s="3">
        <v>42046.98170138889</v>
      </c>
      <c r="I472" s="3">
        <v>41988.923807870371</v>
      </c>
      <c r="J472" s="3" t="s">
        <v>103</v>
      </c>
      <c r="K472" s="3" t="s">
        <v>105</v>
      </c>
      <c r="L472" s="3" t="s">
        <v>1859</v>
      </c>
      <c r="M472" s="3" t="s">
        <v>532</v>
      </c>
      <c r="P472" s="3" t="s">
        <v>1563</v>
      </c>
      <c r="Q472" t="str">
        <f t="shared" si="30"/>
        <v>http://roarmap.eprints.org/view/country/804.html</v>
      </c>
      <c r="R472" s="3">
        <v>804</v>
      </c>
      <c r="S472" s="6" t="s">
        <v>345</v>
      </c>
      <c r="T472" s="9">
        <v>804</v>
      </c>
      <c r="U472" s="7" t="s">
        <v>123</v>
      </c>
      <c r="V472" s="6" t="s">
        <v>102</v>
      </c>
      <c r="W472" s="3" t="s">
        <v>158</v>
      </c>
      <c r="X472" s="3" t="s">
        <v>160</v>
      </c>
      <c r="Y472" s="3" t="s">
        <v>1859</v>
      </c>
      <c r="Z472" s="8" t="str">
        <f>HYPERLINK("http://vsau.org","http://vsau.org")</f>
        <v>http://vsau.org</v>
      </c>
      <c r="AA472" s="8" t="str">
        <f>HYPERLINK("http://roarmap.eprints.org/952/","http://roarmap.eprints.org/952/")</f>
        <v>http://roarmap.eprints.org/952/</v>
      </c>
      <c r="AB472" s="8" t="str">
        <f>HYPERLINK("http://repository.vsau.org","http://repository.vsau.org")</f>
        <v>http://repository.vsau.org</v>
      </c>
      <c r="AC472" s="3">
        <v>41422</v>
      </c>
      <c r="AD472" s="3">
        <v>41422</v>
      </c>
      <c r="AF472" s="3" t="s">
        <v>244</v>
      </c>
      <c r="AG472" s="3" t="s">
        <v>178</v>
      </c>
      <c r="AH472" s="3" t="s">
        <v>370</v>
      </c>
      <c r="AI472" s="3" t="s">
        <v>244</v>
      </c>
      <c r="AJ472" s="3" t="s">
        <v>182</v>
      </c>
      <c r="AK472" s="3" t="s">
        <v>244</v>
      </c>
      <c r="AL472" s="3" t="s">
        <v>185</v>
      </c>
      <c r="AM472" s="3" t="s">
        <v>178</v>
      </c>
      <c r="AN472" s="3" t="s">
        <v>185</v>
      </c>
      <c r="AO472" s="3" t="s">
        <v>247</v>
      </c>
      <c r="AP472" s="3" t="s">
        <v>185</v>
      </c>
      <c r="AQ472" s="3" t="s">
        <v>386</v>
      </c>
      <c r="AR472" s="3" t="s">
        <v>288</v>
      </c>
      <c r="AS472" s="3" t="s">
        <v>185</v>
      </c>
      <c r="AT472" s="3" t="s">
        <v>244</v>
      </c>
      <c r="AU472" s="3" t="s">
        <v>244</v>
      </c>
      <c r="AV472" s="3" t="s">
        <v>288</v>
      </c>
      <c r="AW472" s="3" t="s">
        <v>339</v>
      </c>
      <c r="AX472" s="3" t="s">
        <v>244</v>
      </c>
      <c r="AY472" s="3" t="s">
        <v>247</v>
      </c>
    </row>
    <row r="473" spans="1:52" ht="15.75" customHeight="1">
      <c r="A473" s="3">
        <v>338</v>
      </c>
      <c r="B473" s="5" t="str">
        <f t="shared" si="0"/>
        <v>http://roarmap.eprints.org/338/</v>
      </c>
      <c r="C473" s="3">
        <v>4</v>
      </c>
      <c r="D473" s="3" t="s">
        <v>98</v>
      </c>
      <c r="E473" s="3">
        <v>297</v>
      </c>
      <c r="F473" s="3" t="s">
        <v>1860</v>
      </c>
      <c r="G473" s="3">
        <v>41988.923807870371</v>
      </c>
      <c r="H473" s="3">
        <v>42046.98170138889</v>
      </c>
      <c r="I473" s="3">
        <v>41988.923807870371</v>
      </c>
      <c r="J473" s="3" t="s">
        <v>103</v>
      </c>
      <c r="K473" s="3" t="s">
        <v>105</v>
      </c>
      <c r="L473" s="3" t="s">
        <v>1861</v>
      </c>
      <c r="M473" s="3" t="s">
        <v>532</v>
      </c>
      <c r="P473" s="3" t="s">
        <v>1563</v>
      </c>
      <c r="Q473" t="str">
        <f t="shared" si="30"/>
        <v>http://roarmap.eprints.org/view/country/804.html</v>
      </c>
      <c r="R473" s="3">
        <v>804</v>
      </c>
      <c r="S473" s="6" t="s">
        <v>345</v>
      </c>
      <c r="T473" s="9">
        <v>804</v>
      </c>
      <c r="U473" s="7" t="s">
        <v>123</v>
      </c>
      <c r="V473" s="6" t="s">
        <v>102</v>
      </c>
      <c r="W473" s="3" t="s">
        <v>158</v>
      </c>
      <c r="X473" s="3" t="s">
        <v>160</v>
      </c>
      <c r="Y473" s="3" t="s">
        <v>1861</v>
      </c>
      <c r="Z473" s="8" t="str">
        <f>HYPERLINK("http://snu.edu.ua/","http://snu.edu.ua/")</f>
        <v>http://snu.edu.ua/</v>
      </c>
      <c r="AA473" s="8" t="str">
        <f>HYPERLINK("http://roarmap.eprints.org/501/","http://roarmap.eprints.org/501/")</f>
        <v>http://roarmap.eprints.org/501/</v>
      </c>
      <c r="AB473" s="8" t="str">
        <f>HYPERLINK("http://dspace.snu.edu.ua:8080/jspui/","http://dspace.snu.edu.ua:8080/jspui/")</f>
        <v>http://dspace.snu.edu.ua:8080/jspui/</v>
      </c>
      <c r="AC473" s="3">
        <v>41102</v>
      </c>
      <c r="AD473" s="3">
        <v>41102</v>
      </c>
      <c r="AF473" s="3" t="s">
        <v>244</v>
      </c>
      <c r="AG473" s="3" t="s">
        <v>178</v>
      </c>
      <c r="AH473" s="3" t="s">
        <v>180</v>
      </c>
      <c r="AI473" s="3" t="s">
        <v>244</v>
      </c>
      <c r="AJ473" s="3" t="s">
        <v>182</v>
      </c>
      <c r="AK473" s="3" t="s">
        <v>244</v>
      </c>
      <c r="AL473" s="3" t="s">
        <v>185</v>
      </c>
      <c r="AM473" s="3" t="s">
        <v>178</v>
      </c>
      <c r="AN473" s="3" t="s">
        <v>185</v>
      </c>
      <c r="AO473" s="3" t="s">
        <v>247</v>
      </c>
      <c r="AP473" s="3" t="s">
        <v>185</v>
      </c>
      <c r="AQ473" s="3" t="s">
        <v>386</v>
      </c>
      <c r="AR473" s="3" t="s">
        <v>288</v>
      </c>
      <c r="AS473" s="3" t="s">
        <v>185</v>
      </c>
      <c r="AT473" s="3" t="s">
        <v>244</v>
      </c>
      <c r="AU473" s="3" t="s">
        <v>244</v>
      </c>
      <c r="AV473" s="3" t="s">
        <v>288</v>
      </c>
      <c r="AW473" s="3" t="s">
        <v>339</v>
      </c>
      <c r="AX473" s="3" t="s">
        <v>244</v>
      </c>
      <c r="AY473" s="3" t="s">
        <v>247</v>
      </c>
    </row>
    <row r="474" spans="1:52" ht="15.75" customHeight="1">
      <c r="A474" s="3">
        <v>340</v>
      </c>
      <c r="B474" s="5" t="str">
        <f t="shared" si="0"/>
        <v>http://roarmap.eprints.org/340/</v>
      </c>
      <c r="C474" s="3">
        <v>7</v>
      </c>
      <c r="D474" s="3" t="s">
        <v>98</v>
      </c>
      <c r="E474" s="3">
        <v>298</v>
      </c>
      <c r="F474" s="3" t="s">
        <v>1862</v>
      </c>
      <c r="G474" s="3">
        <v>41988.923807870371</v>
      </c>
      <c r="H474" s="3">
        <v>42046.98170138889</v>
      </c>
      <c r="I474" s="3">
        <v>41988.923807870371</v>
      </c>
      <c r="J474" s="3" t="s">
        <v>103</v>
      </c>
      <c r="K474" s="3" t="s">
        <v>105</v>
      </c>
      <c r="L474" s="3" t="s">
        <v>1863</v>
      </c>
      <c r="M474" s="3" t="s">
        <v>637</v>
      </c>
      <c r="O474" s="3" t="s">
        <v>1864</v>
      </c>
      <c r="P474" s="3" t="s">
        <v>215</v>
      </c>
      <c r="Q474" t="str">
        <f t="shared" si="30"/>
        <v>http://roarmap.eprints.org/view/country/826.html</v>
      </c>
      <c r="R474" s="3">
        <v>826</v>
      </c>
      <c r="S474" s="6" t="s">
        <v>349</v>
      </c>
      <c r="T474" s="9">
        <v>826</v>
      </c>
      <c r="U474" s="7" t="s">
        <v>123</v>
      </c>
      <c r="V474" s="6" t="s">
        <v>125</v>
      </c>
      <c r="W474" s="3" t="s">
        <v>158</v>
      </c>
      <c r="X474" s="3" t="s">
        <v>160</v>
      </c>
      <c r="Y474" s="3" t="s">
        <v>1863</v>
      </c>
      <c r="Z474" s="8" t="str">
        <f>HYPERLINK("http://www.aber.ac.uk","http://www.aber.ac.uk")</f>
        <v>http://www.aber.ac.uk</v>
      </c>
      <c r="AA474" s="8" t="str">
        <f>HYPERLINK("http://www.aber.ac.uk/en/is/help/openaccess/publish/","http://www.aber.ac.uk/en/is/help/openaccess/publish/")</f>
        <v>http://www.aber.ac.uk/en/is/help/openaccess/publish/</v>
      </c>
      <c r="AB474" s="8" t="str">
        <f>HYPERLINK("http://cadair.aber.ac.uk/dspace/","http://cadair.aber.ac.uk/dspace/")</f>
        <v>http://cadair.aber.ac.uk/dspace/</v>
      </c>
      <c r="AD474" s="3">
        <v>41640</v>
      </c>
      <c r="AF474" s="3" t="s">
        <v>177</v>
      </c>
      <c r="AG474" s="3" t="s">
        <v>178</v>
      </c>
      <c r="AH474" s="3" t="s">
        <v>180</v>
      </c>
      <c r="AI474" s="3" t="s">
        <v>244</v>
      </c>
      <c r="AJ474" s="3" t="s">
        <v>182</v>
      </c>
      <c r="AK474" s="3" t="s">
        <v>244</v>
      </c>
      <c r="AL474" s="3" t="s">
        <v>189</v>
      </c>
      <c r="AM474" s="3" t="s">
        <v>178</v>
      </c>
      <c r="AN474" s="3" t="s">
        <v>244</v>
      </c>
      <c r="AO474" s="3" t="s">
        <v>247</v>
      </c>
      <c r="AP474" s="3" t="s">
        <v>185</v>
      </c>
      <c r="AQ474" s="3" t="s">
        <v>386</v>
      </c>
      <c r="AR474" s="3" t="s">
        <v>288</v>
      </c>
      <c r="AS474" s="3" t="s">
        <v>288</v>
      </c>
      <c r="AT474" s="3" t="s">
        <v>244</v>
      </c>
      <c r="AU474" s="3" t="s">
        <v>244</v>
      </c>
      <c r="AV474" s="3" t="s">
        <v>288</v>
      </c>
      <c r="AW474" s="3" t="s">
        <v>339</v>
      </c>
      <c r="AX474" s="3" t="s">
        <v>442</v>
      </c>
      <c r="AY474" s="3" t="s">
        <v>371</v>
      </c>
      <c r="AZ474" s="8" t="str">
        <f>HYPERLINK("http://www.aber.ac.uk/en/media/departmental/informationservices/downloads/apc-application-form_eng.docx","http://www.aber.ac.uk/en/media/departmental/informationservices/downloads/apc-application-form_eng.docx")</f>
        <v>http://www.aber.ac.uk/en/media/departmental/informationservices/downloads/apc-application-form_eng.docx</v>
      </c>
    </row>
    <row r="475" spans="1:52" ht="15.75" customHeight="1">
      <c r="A475" s="3">
        <v>341</v>
      </c>
      <c r="B475" s="5" t="str">
        <f t="shared" si="0"/>
        <v>http://roarmap.eprints.org/341/</v>
      </c>
      <c r="C475" s="3">
        <v>3</v>
      </c>
      <c r="D475" s="3" t="s">
        <v>98</v>
      </c>
      <c r="E475" s="3">
        <v>1</v>
      </c>
      <c r="F475" s="3" t="s">
        <v>1865</v>
      </c>
      <c r="G475" s="3">
        <v>41988.923831018517</v>
      </c>
      <c r="H475" s="3">
        <v>41988.923831018517</v>
      </c>
      <c r="I475" s="3">
        <v>41988.923831018517</v>
      </c>
      <c r="J475" s="3" t="s">
        <v>103</v>
      </c>
      <c r="K475" s="3" t="s">
        <v>105</v>
      </c>
      <c r="L475" s="3" t="s">
        <v>1866</v>
      </c>
      <c r="M475" s="3" t="s">
        <v>374</v>
      </c>
      <c r="P475" s="3" t="s">
        <v>215</v>
      </c>
      <c r="Q475" t="str">
        <f t="shared" si="30"/>
        <v>http://roarmap.eprints.org/view/country/826.html</v>
      </c>
      <c r="R475" s="3">
        <v>826</v>
      </c>
      <c r="S475" s="6" t="s">
        <v>349</v>
      </c>
      <c r="T475" s="9">
        <v>826</v>
      </c>
      <c r="U475" s="7" t="s">
        <v>123</v>
      </c>
      <c r="V475" s="6" t="s">
        <v>125</v>
      </c>
      <c r="W475" s="3" t="s">
        <v>158</v>
      </c>
      <c r="X475" s="3" t="s">
        <v>364</v>
      </c>
      <c r="Y475" s="3" t="s">
        <v>1866</v>
      </c>
      <c r="Z475" s="8" t="str">
        <f>HYPERLINK("http://www.arthritisresearchuk.org/","http://www.arthritisresearchuk.org/")</f>
        <v>http://www.arthritisresearchuk.org/</v>
      </c>
      <c r="AA475" s="8" t="str">
        <f>HYPERLINK("http://www.arthritisresearchuk.org/research/our-research-policies/open-access-policy.aspx","http://www.arthritisresearchuk.org/research/our-research-policies/open-access-policy.aspx")</f>
        <v>http://www.arthritisresearchuk.org/research/our-research-policies/open-access-policy.aspx</v>
      </c>
      <c r="AB475" s="8" t="str">
        <f>HYPERLINK("http://europepmc.org/","http://europepmc.org/")</f>
        <v>http://europepmc.org/</v>
      </c>
      <c r="AD475" s="3">
        <v>39083</v>
      </c>
      <c r="AF475" s="3" t="s">
        <v>177</v>
      </c>
      <c r="AG475" s="3" t="s">
        <v>178</v>
      </c>
      <c r="AH475" s="3" t="s">
        <v>463</v>
      </c>
      <c r="AI475" s="3" t="s">
        <v>377</v>
      </c>
      <c r="AJ475" s="3" t="s">
        <v>182</v>
      </c>
      <c r="AK475" s="3" t="s">
        <v>393</v>
      </c>
      <c r="AL475" s="3" t="s">
        <v>185</v>
      </c>
      <c r="AM475" s="3" t="s">
        <v>178</v>
      </c>
      <c r="AN475" s="3" t="s">
        <v>189</v>
      </c>
      <c r="AO475" s="3" t="s">
        <v>378</v>
      </c>
      <c r="AP475" s="3" t="s">
        <v>185</v>
      </c>
      <c r="AQ475" s="3" t="s">
        <v>386</v>
      </c>
      <c r="AR475" s="3" t="s">
        <v>288</v>
      </c>
      <c r="AS475" s="3" t="s">
        <v>288</v>
      </c>
      <c r="AT475" s="3" t="s">
        <v>379</v>
      </c>
      <c r="AU475" s="3" t="s">
        <v>244</v>
      </c>
      <c r="AV475" s="3" t="s">
        <v>288</v>
      </c>
      <c r="AW475" s="3" t="s">
        <v>339</v>
      </c>
      <c r="AX475" s="3" t="s">
        <v>442</v>
      </c>
      <c r="AY475" s="3" t="s">
        <v>521</v>
      </c>
      <c r="AZ475" s="8" t="str">
        <f>HYPERLINK("http://www.arthritisresearchuk.org/research/grants-you-can-apply-for/types-of-grant/arthritis-research-uk-grant-holders-only/open-access-funding.aspx","http://www.arthritisresearchuk.org/research/grants-you-can-apply-for/types-of-grant/arthritis-research-uk-grant-holders-only/open-access-funding.aspx")</f>
        <v>http://www.arthritisresearchuk.org/research/grants-you-can-apply-for/types-of-grant/arthritis-research-uk-grant-holders-only/open-access-funding.aspx</v>
      </c>
    </row>
    <row r="476" spans="1:52" ht="15.75" customHeight="1">
      <c r="A476" s="3">
        <v>342</v>
      </c>
      <c r="B476" s="5" t="str">
        <f t="shared" si="0"/>
        <v>http://roarmap.eprints.org/342/</v>
      </c>
      <c r="C476" s="3">
        <v>3</v>
      </c>
      <c r="D476" s="3" t="s">
        <v>98</v>
      </c>
      <c r="E476" s="3">
        <v>1</v>
      </c>
      <c r="F476" s="3" t="s">
        <v>1867</v>
      </c>
      <c r="G476" s="3">
        <v>41988.923831018517</v>
      </c>
      <c r="H476" s="3">
        <v>41988.923831018517</v>
      </c>
      <c r="I476" s="3">
        <v>41988.923831018517</v>
      </c>
      <c r="J476" s="3" t="s">
        <v>103</v>
      </c>
      <c r="K476" s="3" t="s">
        <v>105</v>
      </c>
      <c r="L476" s="3" t="s">
        <v>1868</v>
      </c>
      <c r="M476" s="3" t="s">
        <v>374</v>
      </c>
      <c r="N476" s="3" t="s">
        <v>1869</v>
      </c>
      <c r="P476" s="3" t="s">
        <v>215</v>
      </c>
      <c r="Q476" t="str">
        <f t="shared" si="30"/>
        <v>http://roarmap.eprints.org/view/country/826.html</v>
      </c>
      <c r="R476" s="3">
        <v>826</v>
      </c>
      <c r="S476" s="6" t="s">
        <v>349</v>
      </c>
      <c r="T476" s="9">
        <v>826</v>
      </c>
      <c r="U476" s="7" t="s">
        <v>123</v>
      </c>
      <c r="V476" s="6" t="s">
        <v>125</v>
      </c>
      <c r="W476" s="3" t="s">
        <v>158</v>
      </c>
      <c r="X476" s="3" t="s">
        <v>376</v>
      </c>
      <c r="Y476" s="3" t="s">
        <v>1868</v>
      </c>
      <c r="Z476" s="8" t="str">
        <f>HYPERLINK("http://www.ahrc.ac.uk/Pages/Home.aspx","http://www.ahrc.ac.uk/Pages/Home.aspx")</f>
        <v>http://www.ahrc.ac.uk/Pages/Home.aspx</v>
      </c>
      <c r="AA476" s="8" t="str">
        <f>HYPERLINK("http://www.rcuk.ac.uk/RCUK-prod/assets/documents/documents/RCUKOpenAccessPolicy.pdf","http://www.rcuk.ac.uk/RCUK-prod/assets/documents/documents/RCUKOpenAccessPolicy.pdf")</f>
        <v>http://www.rcuk.ac.uk/RCUK-prod/assets/documents/documents/RCUKOpenAccessPolicy.pdf</v>
      </c>
      <c r="AC476" s="3">
        <v>39331</v>
      </c>
      <c r="AD476" s="3">
        <v>39331</v>
      </c>
      <c r="AE476" s="3">
        <v>41365</v>
      </c>
      <c r="AF476" s="3" t="s">
        <v>177</v>
      </c>
      <c r="AG476" s="3" t="s">
        <v>178</v>
      </c>
      <c r="AH476" s="3" t="s">
        <v>370</v>
      </c>
      <c r="AI476" s="3" t="s">
        <v>377</v>
      </c>
      <c r="AJ476" s="3" t="s">
        <v>182</v>
      </c>
      <c r="AK476" s="3" t="s">
        <v>393</v>
      </c>
      <c r="AL476" s="3" t="s">
        <v>185</v>
      </c>
      <c r="AM476" s="3" t="s">
        <v>178</v>
      </c>
      <c r="AN476" s="3" t="s">
        <v>244</v>
      </c>
      <c r="AO476" s="3" t="s">
        <v>378</v>
      </c>
      <c r="AP476" s="3" t="s">
        <v>185</v>
      </c>
      <c r="AQ476" s="3" t="s">
        <v>386</v>
      </c>
      <c r="AR476" s="3" t="s">
        <v>288</v>
      </c>
      <c r="AS476" s="3" t="s">
        <v>288</v>
      </c>
      <c r="AT476" s="3" t="s">
        <v>379</v>
      </c>
      <c r="AU476" s="3" t="s">
        <v>395</v>
      </c>
      <c r="AV476" s="3" t="s">
        <v>185</v>
      </c>
      <c r="AW476" s="3" t="s">
        <v>520</v>
      </c>
      <c r="AX476" s="3" t="s">
        <v>341</v>
      </c>
      <c r="AY476" s="3" t="s">
        <v>521</v>
      </c>
    </row>
    <row r="477" spans="1:52" ht="15.75" customHeight="1">
      <c r="A477" s="3">
        <v>343</v>
      </c>
      <c r="B477" s="5" t="str">
        <f t="shared" si="0"/>
        <v>http://roarmap.eprints.org/343/</v>
      </c>
      <c r="C477" s="3">
        <v>5</v>
      </c>
      <c r="D477" s="3" t="s">
        <v>98</v>
      </c>
      <c r="E477" s="3">
        <v>1</v>
      </c>
      <c r="F477" s="3" t="s">
        <v>1870</v>
      </c>
      <c r="G477" s="3">
        <v>41988.923831018517</v>
      </c>
      <c r="H477" s="3">
        <v>42086.946793981479</v>
      </c>
      <c r="I477" s="3">
        <v>41988.923831018517</v>
      </c>
      <c r="J477" s="3" t="s">
        <v>103</v>
      </c>
      <c r="K477" s="3" t="s">
        <v>105</v>
      </c>
      <c r="L477" s="3" t="s">
        <v>1871</v>
      </c>
      <c r="M477" s="3" t="s">
        <v>374</v>
      </c>
      <c r="P477" s="3" t="s">
        <v>215</v>
      </c>
      <c r="Q477" t="str">
        <f t="shared" si="30"/>
        <v>http://roarmap.eprints.org/view/country/826.html</v>
      </c>
      <c r="R477" s="3">
        <v>826</v>
      </c>
      <c r="S477" s="6" t="s">
        <v>349</v>
      </c>
      <c r="T477" s="9">
        <v>826</v>
      </c>
      <c r="U477" s="7" t="s">
        <v>123</v>
      </c>
      <c r="V477" s="6" t="s">
        <v>125</v>
      </c>
      <c r="W477" s="3" t="s">
        <v>158</v>
      </c>
      <c r="X477" s="3" t="s">
        <v>160</v>
      </c>
      <c r="Y477" s="3" t="s">
        <v>1871</v>
      </c>
      <c r="Z477" s="8" t="str">
        <f>HYPERLINK("http://www.aston.ac.uk/","http://www.aston.ac.uk/")</f>
        <v>http://www.aston.ac.uk/</v>
      </c>
      <c r="AA477" s="8" t="str">
        <f>HYPERLINK("http://www.aston.ac.uk/library/additional-information-for/aston-authors/astons-open-access-policy/","http://www.aston.ac.uk/library/additional-information-for/aston-authors/astons-open-access-policy/")</f>
        <v>http://www.aston.ac.uk/library/additional-information-for/aston-authors/astons-open-access-policy/</v>
      </c>
      <c r="AB477" s="8" t="str">
        <f>HYPERLINK("https://research.aston.ac.uk/portal/","https://research.aston.ac.uk/portal/")</f>
        <v>https://research.aston.ac.uk/portal/</v>
      </c>
      <c r="AC477" s="3">
        <v>40008</v>
      </c>
      <c r="AE477" s="3">
        <v>41913</v>
      </c>
      <c r="AF477" s="3" t="s">
        <v>177</v>
      </c>
      <c r="AG477" s="3" t="s">
        <v>178</v>
      </c>
      <c r="AH477" s="3" t="s">
        <v>180</v>
      </c>
      <c r="AI477" s="3" t="s">
        <v>371</v>
      </c>
      <c r="AJ477" s="3" t="s">
        <v>182</v>
      </c>
      <c r="AK477" s="3" t="s">
        <v>393</v>
      </c>
      <c r="AL477" s="3" t="s">
        <v>288</v>
      </c>
      <c r="AM477" s="3" t="s">
        <v>178</v>
      </c>
      <c r="AN477" s="3" t="s">
        <v>185</v>
      </c>
      <c r="AO477" s="3" t="s">
        <v>378</v>
      </c>
      <c r="AP477" s="3" t="s">
        <v>189</v>
      </c>
      <c r="AQ477" s="3" t="s">
        <v>247</v>
      </c>
      <c r="AR477" s="3" t="s">
        <v>244</v>
      </c>
      <c r="AS477" s="3" t="s">
        <v>244</v>
      </c>
      <c r="AT477" s="3" t="s">
        <v>379</v>
      </c>
      <c r="AU477" s="3" t="s">
        <v>395</v>
      </c>
      <c r="AV477" s="3" t="s">
        <v>189</v>
      </c>
      <c r="AW477" s="3" t="s">
        <v>520</v>
      </c>
      <c r="AX477" s="3" t="s">
        <v>341</v>
      </c>
      <c r="AY477" s="3" t="s">
        <v>428</v>
      </c>
      <c r="AZ477" s="8" t="str">
        <f>HYPERLINK("http://www.aston.ac.uk/library/additional-information-for/aston-authors/open-access-how-to-publish/gold-oa-what-you-need-to-do/","http://www.aston.ac.uk/library/additional-information-for/aston-authors/open-access-how-to-publish/gold-oa-what-you-need-to-do/")</f>
        <v>http://www.aston.ac.uk/library/additional-information-for/aston-authors/open-access-how-to-publish/gold-oa-what-you-need-to-do/</v>
      </c>
    </row>
    <row r="478" spans="1:52" ht="15.75" customHeight="1">
      <c r="A478" s="3">
        <v>344</v>
      </c>
      <c r="B478" s="5" t="str">
        <f t="shared" si="0"/>
        <v>http://roarmap.eprints.org/344/</v>
      </c>
      <c r="C478" s="3">
        <v>4</v>
      </c>
      <c r="D478" s="3" t="s">
        <v>98</v>
      </c>
      <c r="E478" s="3">
        <v>1</v>
      </c>
      <c r="F478" s="3" t="s">
        <v>1872</v>
      </c>
      <c r="G478" s="3">
        <v>41988.923831018517</v>
      </c>
      <c r="H478" s="3">
        <v>42066.885150462964</v>
      </c>
      <c r="I478" s="3">
        <v>41988.923831018517</v>
      </c>
      <c r="J478" s="3" t="s">
        <v>103</v>
      </c>
      <c r="K478" s="3" t="s">
        <v>105</v>
      </c>
      <c r="L478" s="3" t="s">
        <v>1873</v>
      </c>
      <c r="M478" s="3" t="s">
        <v>307</v>
      </c>
      <c r="N478" s="3" t="s">
        <v>1874</v>
      </c>
      <c r="P478" s="3" t="s">
        <v>1875</v>
      </c>
      <c r="Q478" t="str">
        <f t="shared" si="30"/>
        <v>http://roarmap.eprints.org/view/country/826.html</v>
      </c>
      <c r="R478" s="3">
        <v>826</v>
      </c>
      <c r="S478" s="6" t="s">
        <v>349</v>
      </c>
      <c r="T478" s="9">
        <v>826</v>
      </c>
      <c r="U478" s="7" t="s">
        <v>123</v>
      </c>
      <c r="V478" s="6" t="s">
        <v>125</v>
      </c>
      <c r="W478" s="3" t="s">
        <v>158</v>
      </c>
      <c r="X478" s="3" t="s">
        <v>160</v>
      </c>
      <c r="Y478" s="3" t="s">
        <v>1873</v>
      </c>
      <c r="Z478" s="8" t="str">
        <f>HYPERLINK("http://www.bangor.ac.uk/","http://www.bangor.ac.uk/")</f>
        <v>http://www.bangor.ac.uk/</v>
      </c>
      <c r="AA478" s="8" t="str">
        <f>HYPERLINK("http://www.bangor.ac.uk/library/resources/documents/Bangor-University-Publications-Policy-02-1D.pdf","http://www.bangor.ac.uk/library/resources/documents/Bangor-University-Publications-Policy-02-1D.pdf")</f>
        <v>http://www.bangor.ac.uk/library/resources/documents/Bangor-University-Publications-Policy-02-1D.pdf</v>
      </c>
      <c r="AB478" s="8" t="str">
        <f>HYPERLINK("http://dspace.bangor.ac.uk/dspace/","http://dspace.bangor.ac.uk/dspace/")</f>
        <v>http://dspace.bangor.ac.uk/dspace/</v>
      </c>
      <c r="AF478" s="3" t="s">
        <v>244</v>
      </c>
      <c r="AG478" s="3" t="s">
        <v>178</v>
      </c>
      <c r="AH478" s="3" t="s">
        <v>180</v>
      </c>
      <c r="AI478" s="3" t="s">
        <v>244</v>
      </c>
      <c r="AJ478" s="3" t="s">
        <v>182</v>
      </c>
      <c r="AK478" s="3" t="s">
        <v>393</v>
      </c>
      <c r="AL478" s="3" t="s">
        <v>244</v>
      </c>
      <c r="AM478" s="3" t="s">
        <v>247</v>
      </c>
      <c r="AN478" s="3" t="s">
        <v>244</v>
      </c>
      <c r="AO478" s="3" t="s">
        <v>247</v>
      </c>
      <c r="AP478" s="3" t="s">
        <v>244</v>
      </c>
      <c r="AQ478" s="3" t="s">
        <v>247</v>
      </c>
      <c r="AR478" s="3" t="s">
        <v>288</v>
      </c>
      <c r="AS478" s="3" t="s">
        <v>185</v>
      </c>
      <c r="AT478" s="3" t="s">
        <v>244</v>
      </c>
      <c r="AU478" s="3" t="s">
        <v>244</v>
      </c>
      <c r="AV478" s="3" t="s">
        <v>288</v>
      </c>
      <c r="AW478" s="3" t="s">
        <v>339</v>
      </c>
      <c r="AX478" s="3" t="s">
        <v>442</v>
      </c>
      <c r="AY478" s="3" t="s">
        <v>371</v>
      </c>
    </row>
    <row r="479" spans="1:52" ht="15.75" customHeight="1">
      <c r="A479" s="3">
        <v>730</v>
      </c>
      <c r="B479" s="5" t="str">
        <f t="shared" si="0"/>
        <v>http://roarmap.eprints.org/730/</v>
      </c>
      <c r="C479" s="3">
        <v>4</v>
      </c>
      <c r="D479" s="3" t="s">
        <v>98</v>
      </c>
      <c r="E479" s="3">
        <v>65</v>
      </c>
      <c r="F479" s="3" t="s">
        <v>1876</v>
      </c>
      <c r="G479" s="3">
        <v>42103.633402777778</v>
      </c>
      <c r="H479" s="3">
        <v>42103.633402777778</v>
      </c>
      <c r="I479" s="3">
        <v>42103.633402777778</v>
      </c>
      <c r="J479" s="3" t="s">
        <v>103</v>
      </c>
      <c r="K479" s="3" t="s">
        <v>105</v>
      </c>
      <c r="L479" s="3" t="s">
        <v>1877</v>
      </c>
      <c r="P479" s="3" t="s">
        <v>215</v>
      </c>
      <c r="Q479" t="str">
        <f t="shared" si="30"/>
        <v>http://roarmap.eprints.org/view/country/826.html</v>
      </c>
      <c r="R479" s="3">
        <v>826</v>
      </c>
      <c r="S479" s="6" t="s">
        <v>349</v>
      </c>
      <c r="T479" s="9">
        <v>826</v>
      </c>
      <c r="U479" s="7" t="s">
        <v>123</v>
      </c>
      <c r="V479" s="6" t="s">
        <v>125</v>
      </c>
      <c r="W479" s="3" t="s">
        <v>158</v>
      </c>
      <c r="X479" s="3" t="s">
        <v>160</v>
      </c>
      <c r="Y479" s="3" t="s">
        <v>1877</v>
      </c>
      <c r="Z479" s="8" t="str">
        <f>HYPERLINK("http://www.bathspa.ac.uk/","http://www.bathspa.ac.uk/")</f>
        <v>http://www.bathspa.ac.uk/</v>
      </c>
      <c r="AA479" s="8" t="str">
        <f>HYPERLINK("http://www.bathspa.ac.uk/regulations/open-access-policy","http://www.bathspa.ac.uk/regulations/open-access-policy")</f>
        <v>http://www.bathspa.ac.uk/regulations/open-access-policy</v>
      </c>
      <c r="AB479" s="8" t="str">
        <f>HYPERLINK("http://researchspace.bathspa.ac.uk/","http://researchspace.bathspa.ac.uk/")</f>
        <v>http://researchspace.bathspa.ac.uk/</v>
      </c>
      <c r="AC479" s="3">
        <v>42005</v>
      </c>
      <c r="AD479" s="3">
        <v>42064</v>
      </c>
      <c r="AE479" s="3">
        <v>42156</v>
      </c>
      <c r="AF479" s="3" t="s">
        <v>478</v>
      </c>
      <c r="AG479" s="3" t="s">
        <v>178</v>
      </c>
      <c r="AH479" s="3" t="s">
        <v>180</v>
      </c>
      <c r="AI479" s="3" t="s">
        <v>187</v>
      </c>
      <c r="AJ479" s="3" t="s">
        <v>182</v>
      </c>
      <c r="AK479" s="3" t="s">
        <v>393</v>
      </c>
      <c r="AL479" s="3" t="s">
        <v>185</v>
      </c>
      <c r="AM479" s="3" t="s">
        <v>178</v>
      </c>
      <c r="AN479" s="3" t="s">
        <v>189</v>
      </c>
      <c r="AO479" s="3" t="s">
        <v>181</v>
      </c>
      <c r="AQ479" s="3" t="s">
        <v>394</v>
      </c>
      <c r="AR479" s="3" t="s">
        <v>244</v>
      </c>
      <c r="AS479" s="3" t="s">
        <v>189</v>
      </c>
      <c r="AT479" s="3" t="s">
        <v>244</v>
      </c>
      <c r="AU479" s="3" t="s">
        <v>244</v>
      </c>
      <c r="AV479" s="3" t="s">
        <v>244</v>
      </c>
      <c r="AW479" s="3" t="s">
        <v>244</v>
      </c>
      <c r="AX479" s="3" t="s">
        <v>244</v>
      </c>
      <c r="AY479" s="3" t="s">
        <v>247</v>
      </c>
    </row>
    <row r="480" spans="1:52" ht="15.75" customHeight="1">
      <c r="A480" s="3">
        <v>345</v>
      </c>
      <c r="B480" s="5" t="str">
        <f t="shared" si="0"/>
        <v>http://roarmap.eprints.org/345/</v>
      </c>
      <c r="C480" s="3">
        <v>3</v>
      </c>
      <c r="D480" s="3" t="s">
        <v>98</v>
      </c>
      <c r="E480" s="3">
        <v>1</v>
      </c>
      <c r="F480" s="3" t="s">
        <v>1878</v>
      </c>
      <c r="G480" s="3">
        <v>41988.923831018517</v>
      </c>
      <c r="H480" s="3">
        <v>41988.923831018517</v>
      </c>
      <c r="I480" s="3">
        <v>41988.923831018517</v>
      </c>
      <c r="J480" s="3" t="s">
        <v>103</v>
      </c>
      <c r="K480" s="3" t="s">
        <v>105</v>
      </c>
      <c r="L480" s="3" t="s">
        <v>1879</v>
      </c>
      <c r="M480" s="3" t="s">
        <v>374</v>
      </c>
      <c r="N480" s="3" t="s">
        <v>1869</v>
      </c>
      <c r="P480" s="3" t="s">
        <v>215</v>
      </c>
      <c r="Q480" t="str">
        <f t="shared" si="30"/>
        <v>http://roarmap.eprints.org/view/country/826.html</v>
      </c>
      <c r="R480" s="3">
        <v>826</v>
      </c>
      <c r="S480" s="6" t="s">
        <v>349</v>
      </c>
      <c r="T480" s="9">
        <v>826</v>
      </c>
      <c r="U480" s="7" t="s">
        <v>123</v>
      </c>
      <c r="V480" s="6" t="s">
        <v>125</v>
      </c>
      <c r="W480" s="3" t="s">
        <v>158</v>
      </c>
      <c r="X480" s="3" t="s">
        <v>376</v>
      </c>
      <c r="Y480" s="3" t="s">
        <v>1879</v>
      </c>
      <c r="Z480" s="8" t="str">
        <f>HYPERLINK("http://www.bbsrc.ac.uk/home/home.aspx","http://www.bbsrc.ac.uk/home/home.aspx")</f>
        <v>http://www.bbsrc.ac.uk/home/home.aspx</v>
      </c>
      <c r="AA480" s="3" t="s">
        <v>1880</v>
      </c>
      <c r="AB480" s="8" t="str">
        <f>HYPERLINK("http://europepmc.org/","http://europepmc.org/")</f>
        <v>http://europepmc.org/</v>
      </c>
      <c r="AD480" s="3">
        <v>38991</v>
      </c>
      <c r="AE480" s="3">
        <v>41365</v>
      </c>
      <c r="AF480" s="3" t="s">
        <v>177</v>
      </c>
      <c r="AG480" s="3" t="s">
        <v>178</v>
      </c>
      <c r="AH480" s="3" t="s">
        <v>463</v>
      </c>
      <c r="AI480" s="3" t="s">
        <v>377</v>
      </c>
      <c r="AJ480" s="3" t="s">
        <v>182</v>
      </c>
      <c r="AK480" s="3" t="s">
        <v>393</v>
      </c>
      <c r="AL480" s="3" t="s">
        <v>185</v>
      </c>
      <c r="AM480" s="3" t="s">
        <v>178</v>
      </c>
      <c r="AN480" s="3" t="s">
        <v>244</v>
      </c>
      <c r="AO480" s="3" t="s">
        <v>378</v>
      </c>
      <c r="AP480" s="3" t="s">
        <v>185</v>
      </c>
      <c r="AQ480" s="3" t="s">
        <v>386</v>
      </c>
      <c r="AR480" s="3" t="s">
        <v>288</v>
      </c>
      <c r="AS480" s="3" t="s">
        <v>288</v>
      </c>
      <c r="AT480" s="3" t="s">
        <v>379</v>
      </c>
      <c r="AU480" s="3" t="s">
        <v>395</v>
      </c>
      <c r="AV480" s="3" t="s">
        <v>185</v>
      </c>
      <c r="AW480" s="3" t="s">
        <v>520</v>
      </c>
      <c r="AX480" s="3" t="s">
        <v>341</v>
      </c>
      <c r="AY480" s="3" t="s">
        <v>521</v>
      </c>
    </row>
    <row r="481" spans="1:52" ht="15.75" customHeight="1">
      <c r="A481" s="3">
        <v>347</v>
      </c>
      <c r="B481" s="5" t="str">
        <f t="shared" si="0"/>
        <v>http://roarmap.eprints.org/347/</v>
      </c>
      <c r="C481" s="3">
        <v>5</v>
      </c>
      <c r="D481" s="3" t="s">
        <v>98</v>
      </c>
      <c r="E481" s="3">
        <v>1</v>
      </c>
      <c r="F481" s="3" t="s">
        <v>1881</v>
      </c>
      <c r="G481" s="3">
        <v>41988.923842592594</v>
      </c>
      <c r="H481" s="3">
        <v>42020.68546296296</v>
      </c>
      <c r="I481" s="3">
        <v>41988.923842592594</v>
      </c>
      <c r="J481" s="3" t="s">
        <v>103</v>
      </c>
      <c r="K481" s="3" t="s">
        <v>105</v>
      </c>
      <c r="L481" s="3" t="s">
        <v>1882</v>
      </c>
      <c r="M481" s="3" t="s">
        <v>532</v>
      </c>
      <c r="N481" s="3" t="s">
        <v>1883</v>
      </c>
      <c r="P481" s="3" t="s">
        <v>215</v>
      </c>
      <c r="Q481" t="str">
        <f t="shared" si="30"/>
        <v>http://roarmap.eprints.org/view/country/826.html</v>
      </c>
      <c r="R481" s="3">
        <v>826</v>
      </c>
      <c r="S481" s="6" t="s">
        <v>349</v>
      </c>
      <c r="T481" s="9">
        <v>826</v>
      </c>
      <c r="U481" s="7" t="s">
        <v>123</v>
      </c>
      <c r="V481" s="6" t="s">
        <v>125</v>
      </c>
      <c r="W481" s="3" t="s">
        <v>158</v>
      </c>
      <c r="X481" s="3" t="s">
        <v>384</v>
      </c>
      <c r="Y481" s="3" t="s">
        <v>1882</v>
      </c>
      <c r="Z481" s="8" t="str">
        <f>HYPERLINK("http://www.bbk.ac.uk/law/","http://www.bbk.ac.uk/law/")</f>
        <v>http://www.bbk.ac.uk/law/</v>
      </c>
      <c r="AA481" s="8" t="str">
        <f t="shared" ref="AA481:AA482" si="31">HYPERLINK("http://www.bbk.ac.uk/lib/elib/BIROn/mandate-to-deposit","http://www.bbk.ac.uk/lib/elib/BIROn/mandate-to-deposit")</f>
        <v>http://www.bbk.ac.uk/lib/elib/BIROn/mandate-to-deposit</v>
      </c>
      <c r="AB481" s="8" t="str">
        <f t="shared" ref="AB481:AB482" si="32">HYPERLINK("http://eprints.bbk.ac.uk/","http://eprints.bbk.ac.uk/")</f>
        <v>http://eprints.bbk.ac.uk/</v>
      </c>
      <c r="AC481" s="3">
        <v>40819</v>
      </c>
      <c r="AD481" s="3">
        <v>40819</v>
      </c>
      <c r="AF481" s="3" t="s">
        <v>478</v>
      </c>
      <c r="AG481" s="3" t="s">
        <v>178</v>
      </c>
      <c r="AH481" s="3" t="s">
        <v>180</v>
      </c>
      <c r="AI481" s="3" t="s">
        <v>187</v>
      </c>
      <c r="AJ481" s="3" t="s">
        <v>182</v>
      </c>
      <c r="AK481" s="3" t="s">
        <v>393</v>
      </c>
      <c r="AL481" s="3" t="s">
        <v>185</v>
      </c>
      <c r="AM481" s="3" t="s">
        <v>178</v>
      </c>
      <c r="AN481" s="3" t="s">
        <v>189</v>
      </c>
      <c r="AO481" s="3" t="s">
        <v>181</v>
      </c>
      <c r="AP481" s="3" t="s">
        <v>244</v>
      </c>
      <c r="AQ481" s="3" t="s">
        <v>247</v>
      </c>
      <c r="AR481" s="3" t="s">
        <v>244</v>
      </c>
      <c r="AS481" s="3" t="s">
        <v>189</v>
      </c>
      <c r="AT481" s="3" t="s">
        <v>244</v>
      </c>
      <c r="AU481" s="3" t="s">
        <v>244</v>
      </c>
      <c r="AV481" s="3" t="s">
        <v>244</v>
      </c>
      <c r="AW481" s="3" t="s">
        <v>244</v>
      </c>
      <c r="AX481" s="3" t="s">
        <v>244</v>
      </c>
      <c r="AY481" s="3" t="s">
        <v>247</v>
      </c>
    </row>
    <row r="482" spans="1:52" ht="15.75" customHeight="1">
      <c r="A482" s="3">
        <v>346</v>
      </c>
      <c r="B482" s="5" t="str">
        <f t="shared" si="0"/>
        <v>http://roarmap.eprints.org/346/</v>
      </c>
      <c r="C482" s="3">
        <v>3</v>
      </c>
      <c r="D482" s="3" t="s">
        <v>98</v>
      </c>
      <c r="E482" s="3">
        <v>1</v>
      </c>
      <c r="F482" s="3" t="s">
        <v>1884</v>
      </c>
      <c r="G482" s="3">
        <v>41988.923831018517</v>
      </c>
      <c r="H482" s="3">
        <v>41988.923831018517</v>
      </c>
      <c r="I482" s="3">
        <v>41988.923831018517</v>
      </c>
      <c r="J482" s="3" t="s">
        <v>103</v>
      </c>
      <c r="K482" s="3" t="s">
        <v>105</v>
      </c>
      <c r="L482" s="3" t="s">
        <v>1885</v>
      </c>
      <c r="M482" s="3" t="s">
        <v>532</v>
      </c>
      <c r="N482" s="3" t="s">
        <v>1886</v>
      </c>
      <c r="P482" s="3" t="s">
        <v>215</v>
      </c>
      <c r="Q482" t="str">
        <f t="shared" si="30"/>
        <v>http://roarmap.eprints.org/view/country/826.html</v>
      </c>
      <c r="R482" s="3">
        <v>826</v>
      </c>
      <c r="S482" s="6" t="s">
        <v>349</v>
      </c>
      <c r="T482" s="9">
        <v>826</v>
      </c>
      <c r="U482" s="7" t="s">
        <v>123</v>
      </c>
      <c r="V482" s="6" t="s">
        <v>125</v>
      </c>
      <c r="W482" s="3" t="s">
        <v>158</v>
      </c>
      <c r="X482" s="3" t="s">
        <v>160</v>
      </c>
      <c r="Y482" s="3" t="s">
        <v>1885</v>
      </c>
      <c r="Z482" s="8" t="str">
        <f>HYPERLINK("http://www.bbk.ac.uk/front-page","http://www.bbk.ac.uk/front-page")</f>
        <v>http://www.bbk.ac.uk/front-page</v>
      </c>
      <c r="AA482" s="8" t="str">
        <f t="shared" si="31"/>
        <v>http://www.bbk.ac.uk/lib/elib/BIROn/mandate-to-deposit</v>
      </c>
      <c r="AB482" s="8" t="str">
        <f t="shared" si="32"/>
        <v>http://eprints.bbk.ac.uk/</v>
      </c>
      <c r="AC482" s="3">
        <v>40737</v>
      </c>
      <c r="AD482" s="3">
        <v>40819</v>
      </c>
      <c r="AF482" s="3" t="s">
        <v>177</v>
      </c>
      <c r="AG482" s="3" t="s">
        <v>178</v>
      </c>
      <c r="AH482" s="3" t="s">
        <v>180</v>
      </c>
      <c r="AI482" s="3" t="s">
        <v>187</v>
      </c>
      <c r="AJ482" s="3" t="s">
        <v>182</v>
      </c>
      <c r="AK482" s="3" t="s">
        <v>393</v>
      </c>
      <c r="AL482" s="3" t="s">
        <v>185</v>
      </c>
      <c r="AM482" s="3" t="s">
        <v>371</v>
      </c>
      <c r="AN482" s="3" t="s">
        <v>189</v>
      </c>
      <c r="AO482" s="3" t="s">
        <v>371</v>
      </c>
      <c r="AP482" s="3" t="s">
        <v>185</v>
      </c>
      <c r="AQ482" s="3" t="s">
        <v>386</v>
      </c>
      <c r="AR482" s="3" t="s">
        <v>288</v>
      </c>
      <c r="AS482" s="3" t="s">
        <v>189</v>
      </c>
      <c r="AT482" s="3" t="s">
        <v>244</v>
      </c>
      <c r="AU482" s="3" t="s">
        <v>244</v>
      </c>
      <c r="AV482" s="3" t="s">
        <v>288</v>
      </c>
      <c r="AW482" s="3" t="s">
        <v>339</v>
      </c>
      <c r="AX482" s="3" t="s">
        <v>244</v>
      </c>
      <c r="AY482" s="3" t="s">
        <v>247</v>
      </c>
    </row>
    <row r="483" spans="1:52" ht="15.75" customHeight="1">
      <c r="A483" s="3">
        <v>728</v>
      </c>
      <c r="B483" s="5" t="str">
        <f t="shared" si="0"/>
        <v>http://roarmap.eprints.org/728/</v>
      </c>
      <c r="C483" s="3">
        <v>4</v>
      </c>
      <c r="D483" s="3" t="s">
        <v>98</v>
      </c>
      <c r="E483" s="3">
        <v>65</v>
      </c>
      <c r="F483" s="3" t="s">
        <v>1887</v>
      </c>
      <c r="G483" s="3">
        <v>42103.614166666666</v>
      </c>
      <c r="H483" s="3">
        <v>42103.614166666666</v>
      </c>
      <c r="I483" s="3">
        <v>42103.614166666666</v>
      </c>
      <c r="J483" s="3" t="s">
        <v>103</v>
      </c>
      <c r="K483" s="3" t="s">
        <v>105</v>
      </c>
      <c r="L483" s="3" t="s">
        <v>1888</v>
      </c>
      <c r="P483" s="3" t="s">
        <v>215</v>
      </c>
      <c r="Q483" t="str">
        <f t="shared" si="30"/>
        <v>http://roarmap.eprints.org/view/country/826.html</v>
      </c>
      <c r="R483" s="3">
        <v>826</v>
      </c>
      <c r="S483" s="6" t="s">
        <v>349</v>
      </c>
      <c r="T483" s="9">
        <v>826</v>
      </c>
      <c r="U483" s="7" t="s">
        <v>123</v>
      </c>
      <c r="V483" s="6" t="s">
        <v>125</v>
      </c>
      <c r="W483" s="3" t="s">
        <v>158</v>
      </c>
      <c r="X483" s="3" t="s">
        <v>376</v>
      </c>
      <c r="Y483" s="3" t="s">
        <v>1888</v>
      </c>
      <c r="Z483" s="8" t="str">
        <f>HYPERLINK("http://www.breastcancercampaign.org/","http://www.breastcancercampaign.org/")</f>
        <v>http://www.breastcancercampaign.org/</v>
      </c>
      <c r="AA483" s="8" t="str">
        <f>HYPERLINK("http://www.breastcancercampaign.org/documents/research/open-access-policy-sept2014-update.pdf","http://www.breastcancercampaign.org/documents/research/open-access-policy-sept2014-update.pdf")</f>
        <v>http://www.breastcancercampaign.org/documents/research/open-access-policy-sept2014-update.pdf</v>
      </c>
      <c r="AB483" s="8" t="str">
        <f t="shared" ref="AB483:AB484" si="33">HYPERLINK("http://europepmc.org/","http://europepmc.org/")</f>
        <v>http://europepmc.org/</v>
      </c>
      <c r="AC483" s="3">
        <v>41883</v>
      </c>
      <c r="AD483" s="3">
        <v>41913</v>
      </c>
      <c r="AF483" s="3" t="s">
        <v>177</v>
      </c>
      <c r="AG483" s="3" t="s">
        <v>178</v>
      </c>
      <c r="AH483" s="3" t="s">
        <v>463</v>
      </c>
      <c r="AI483" s="3" t="s">
        <v>377</v>
      </c>
      <c r="AJ483" s="3" t="s">
        <v>182</v>
      </c>
      <c r="AK483" s="3" t="s">
        <v>393</v>
      </c>
      <c r="AL483" s="3" t="s">
        <v>185</v>
      </c>
      <c r="AM483" s="3" t="s">
        <v>178</v>
      </c>
      <c r="AN483" s="3" t="s">
        <v>185</v>
      </c>
      <c r="AO483" s="3" t="s">
        <v>378</v>
      </c>
      <c r="AP483" s="3" t="s">
        <v>244</v>
      </c>
      <c r="AQ483" s="3" t="s">
        <v>247</v>
      </c>
      <c r="AR483" s="3" t="s">
        <v>244</v>
      </c>
      <c r="AS483" s="3" t="s">
        <v>244</v>
      </c>
      <c r="AT483" s="3" t="s">
        <v>379</v>
      </c>
      <c r="AU483" s="3" t="s">
        <v>244</v>
      </c>
      <c r="AV483" s="3" t="s">
        <v>185</v>
      </c>
      <c r="AW483" s="3" t="s">
        <v>520</v>
      </c>
      <c r="AX483" s="3" t="s">
        <v>442</v>
      </c>
      <c r="AY483" s="3" t="s">
        <v>521</v>
      </c>
      <c r="AZ483" s="8" t="str">
        <f>HYPERLINK("http://www.wellcome.ac.uk/About-us/Policy/Spotlight-issues/Open-access/Charity-open-access-fund/","http://www.wellcome.ac.uk/About-us/Policy/Spotlight-issues/Open-access/Charity-open-access-fund/")</f>
        <v>http://www.wellcome.ac.uk/About-us/Policy/Spotlight-issues/Open-access/Charity-open-access-fund/</v>
      </c>
    </row>
    <row r="484" spans="1:52" ht="15.75" customHeight="1">
      <c r="A484" s="3">
        <v>348</v>
      </c>
      <c r="B484" s="5" t="str">
        <f t="shared" si="0"/>
        <v>http://roarmap.eprints.org/348/</v>
      </c>
      <c r="C484" s="3">
        <v>4</v>
      </c>
      <c r="D484" s="3" t="s">
        <v>98</v>
      </c>
      <c r="E484" s="3">
        <v>1</v>
      </c>
      <c r="F484" s="3" t="s">
        <v>1889</v>
      </c>
      <c r="G484" s="3">
        <v>41988.923842592594</v>
      </c>
      <c r="H484" s="3">
        <v>41988.923842592594</v>
      </c>
      <c r="I484" s="3">
        <v>41988.923842592594</v>
      </c>
      <c r="J484" s="3" t="s">
        <v>103</v>
      </c>
      <c r="K484" s="3" t="s">
        <v>105</v>
      </c>
      <c r="L484" s="3" t="s">
        <v>1890</v>
      </c>
      <c r="M484" s="3" t="s">
        <v>374</v>
      </c>
      <c r="O484" s="3" t="s">
        <v>1891</v>
      </c>
      <c r="P484" s="3" t="s">
        <v>215</v>
      </c>
      <c r="Q484" t="str">
        <f t="shared" si="30"/>
        <v>http://roarmap.eprints.org/view/country/826.html</v>
      </c>
      <c r="R484" s="3">
        <v>826</v>
      </c>
      <c r="S484" s="6" t="s">
        <v>349</v>
      </c>
      <c r="T484" s="9">
        <v>826</v>
      </c>
      <c r="U484" s="7" t="s">
        <v>123</v>
      </c>
      <c r="V484" s="6" t="s">
        <v>125</v>
      </c>
      <c r="W484" s="3" t="s">
        <v>158</v>
      </c>
      <c r="X484" s="3" t="s">
        <v>364</v>
      </c>
      <c r="Y484" s="3" t="s">
        <v>1890</v>
      </c>
      <c r="Z484" s="8" t="str">
        <f>HYPERLINK("http://www.bhf.org.uk/#&amp;panel1-2","http://www.bhf.org.uk/#&amp;panel1-2")</f>
        <v>http://www.bhf.org.uk/#&amp;panel1-2</v>
      </c>
      <c r="AA484" s="8" t="str">
        <f>HYPERLINK("http://www.bhf.org.uk/research/research-grants/managing-your-grant/open-access-policy.aspx","http://www.bhf.org.uk/research/research-grants/managing-your-grant/open-access-policy.aspx")</f>
        <v>http://www.bhf.org.uk/research/research-grants/managing-your-grant/open-access-policy.aspx</v>
      </c>
      <c r="AB484" s="8" t="str">
        <f t="shared" si="33"/>
        <v>http://europepmc.org/</v>
      </c>
      <c r="AC484" s="3">
        <v>39090</v>
      </c>
      <c r="AD484" s="3">
        <v>39090</v>
      </c>
      <c r="AF484" s="3" t="s">
        <v>177</v>
      </c>
      <c r="AG484" s="3" t="s">
        <v>178</v>
      </c>
      <c r="AH484" s="3" t="s">
        <v>463</v>
      </c>
      <c r="AI484" s="3" t="s">
        <v>377</v>
      </c>
      <c r="AJ484" s="3" t="s">
        <v>182</v>
      </c>
      <c r="AK484" s="3" t="s">
        <v>393</v>
      </c>
      <c r="AL484" s="3" t="s">
        <v>185</v>
      </c>
      <c r="AM484" s="3" t="s">
        <v>178</v>
      </c>
      <c r="AN484" s="3" t="s">
        <v>244</v>
      </c>
      <c r="AO484" s="3" t="s">
        <v>378</v>
      </c>
      <c r="AP484" s="3" t="s">
        <v>185</v>
      </c>
      <c r="AQ484" s="3" t="s">
        <v>386</v>
      </c>
      <c r="AR484" s="3" t="s">
        <v>288</v>
      </c>
      <c r="AS484" s="3" t="s">
        <v>288</v>
      </c>
      <c r="AT484" s="3" t="s">
        <v>379</v>
      </c>
      <c r="AU484" s="3" t="s">
        <v>244</v>
      </c>
      <c r="AV484" s="3" t="s">
        <v>244</v>
      </c>
      <c r="AW484" s="3" t="s">
        <v>520</v>
      </c>
      <c r="AX484" s="3" t="s">
        <v>341</v>
      </c>
      <c r="AY484" s="3" t="s">
        <v>521</v>
      </c>
    </row>
    <row r="485" spans="1:52" ht="15.75" customHeight="1">
      <c r="A485" s="3">
        <v>349</v>
      </c>
      <c r="B485" s="5" t="str">
        <f t="shared" si="0"/>
        <v>http://roarmap.eprints.org/349/</v>
      </c>
      <c r="C485" s="3">
        <v>4</v>
      </c>
      <c r="D485" s="3" t="s">
        <v>98</v>
      </c>
      <c r="E485" s="3">
        <v>1</v>
      </c>
      <c r="F485" s="3" t="s">
        <v>1892</v>
      </c>
      <c r="G485" s="3">
        <v>41988.923842592594</v>
      </c>
      <c r="H485" s="3">
        <v>42087.398506944446</v>
      </c>
      <c r="I485" s="3">
        <v>41988.923842592594</v>
      </c>
      <c r="J485" s="3" t="s">
        <v>103</v>
      </c>
      <c r="K485" s="3" t="s">
        <v>105</v>
      </c>
      <c r="L485" s="3" t="s">
        <v>1893</v>
      </c>
      <c r="M485" s="3" t="s">
        <v>532</v>
      </c>
      <c r="P485" s="3" t="s">
        <v>215</v>
      </c>
      <c r="Q485" t="str">
        <f t="shared" si="30"/>
        <v>http://roarmap.eprints.org/view/country/826.html</v>
      </c>
      <c r="R485" s="3">
        <v>826</v>
      </c>
      <c r="S485" s="6" t="s">
        <v>349</v>
      </c>
      <c r="T485" s="9">
        <v>826</v>
      </c>
      <c r="U485" s="7" t="s">
        <v>123</v>
      </c>
      <c r="V485" s="6" t="s">
        <v>125</v>
      </c>
      <c r="W485" s="3" t="s">
        <v>158</v>
      </c>
      <c r="X485" s="3" t="s">
        <v>160</v>
      </c>
      <c r="Y485" s="3" t="s">
        <v>1893</v>
      </c>
      <c r="Z485" s="8" t="str">
        <f>HYPERLINK("http://www.brunel.ac.uk/","http://www.brunel.ac.uk/")</f>
        <v>http://www.brunel.ac.uk/</v>
      </c>
      <c r="AA485" s="8" t="str">
        <f>HYPERLINK("http://www.brunel.ac.uk/__data/assets/pdf_file/0007/384235/research-integrity-code.pdf","http://www.brunel.ac.uk/__data/assets/pdf_file/0007/384235/research-integrity-code.pdf")</f>
        <v>http://www.brunel.ac.uk/__data/assets/pdf_file/0007/384235/research-integrity-code.pdf</v>
      </c>
      <c r="AB485" s="8" t="str">
        <f t="shared" ref="AB485:AB486" si="34">HYPERLINK("http://bura.brunel.ac.uk/","http://bura.brunel.ac.uk/")</f>
        <v>http://bura.brunel.ac.uk/</v>
      </c>
      <c r="AC485" s="3">
        <v>40057</v>
      </c>
      <c r="AD485" s="3">
        <v>40179</v>
      </c>
      <c r="AE485" s="3">
        <v>41883</v>
      </c>
      <c r="AF485" s="3" t="s">
        <v>177</v>
      </c>
      <c r="AG485" s="3" t="s">
        <v>178</v>
      </c>
      <c r="AH485" s="3" t="s">
        <v>180</v>
      </c>
      <c r="AI485" s="3" t="s">
        <v>392</v>
      </c>
      <c r="AJ485" s="3" t="s">
        <v>182</v>
      </c>
      <c r="AK485" s="3" t="s">
        <v>393</v>
      </c>
      <c r="AL485" s="3" t="s">
        <v>185</v>
      </c>
      <c r="AM485" s="3" t="s">
        <v>178</v>
      </c>
      <c r="AN485" s="3" t="s">
        <v>189</v>
      </c>
      <c r="AO485" s="3" t="s">
        <v>181</v>
      </c>
      <c r="AP485" s="3" t="s">
        <v>244</v>
      </c>
      <c r="AQ485" s="3" t="s">
        <v>394</v>
      </c>
      <c r="AR485" s="3" t="s">
        <v>244</v>
      </c>
      <c r="AS485" s="3" t="s">
        <v>189</v>
      </c>
      <c r="AT485" s="3" t="s">
        <v>379</v>
      </c>
      <c r="AU485" s="3" t="s">
        <v>395</v>
      </c>
      <c r="AV485" s="3" t="s">
        <v>189</v>
      </c>
      <c r="AW485" s="3" t="s">
        <v>520</v>
      </c>
      <c r="AX485" s="3" t="s">
        <v>442</v>
      </c>
      <c r="AY485" s="3" t="s">
        <v>428</v>
      </c>
      <c r="AZ485" s="8" t="str">
        <f>HYPERLINK("http://www.brunel.ac.uk/__data/assets/pdf_file/0007/101203/OA_Fund_AppForm.pdf#101203","http://www.brunel.ac.uk/__data/assets/pdf_file/0007/101203/OA_Fund_AppForm.pdf#101203")</f>
        <v>http://www.brunel.ac.uk/__data/assets/pdf_file/0007/101203/OA_Fund_AppForm.pdf#101203</v>
      </c>
    </row>
    <row r="486" spans="1:52" ht="15.75" customHeight="1">
      <c r="A486" s="3">
        <v>350</v>
      </c>
      <c r="B486" s="5" t="str">
        <f t="shared" si="0"/>
        <v>http://roarmap.eprints.org/350/</v>
      </c>
      <c r="C486" s="3">
        <v>3</v>
      </c>
      <c r="D486" s="3" t="s">
        <v>98</v>
      </c>
      <c r="E486" s="3">
        <v>1</v>
      </c>
      <c r="F486" s="3" t="s">
        <v>1894</v>
      </c>
      <c r="G486" s="3">
        <v>41988.923842592594</v>
      </c>
      <c r="H486" s="3">
        <v>41988.923842592594</v>
      </c>
      <c r="I486" s="3">
        <v>41988.923842592594</v>
      </c>
      <c r="J486" s="3" t="s">
        <v>103</v>
      </c>
      <c r="K486" s="3" t="s">
        <v>105</v>
      </c>
      <c r="L486" s="3" t="s">
        <v>1895</v>
      </c>
      <c r="M486" s="3" t="s">
        <v>352</v>
      </c>
      <c r="N486" s="3" t="s">
        <v>1896</v>
      </c>
      <c r="P486" s="3" t="s">
        <v>215</v>
      </c>
      <c r="Q486" t="str">
        <f t="shared" si="30"/>
        <v>http://roarmap.eprints.org/view/country/826.html</v>
      </c>
      <c r="R486" s="3">
        <v>826</v>
      </c>
      <c r="S486" s="6" t="s">
        <v>349</v>
      </c>
      <c r="T486" s="9">
        <v>826</v>
      </c>
      <c r="U486" s="7" t="s">
        <v>123</v>
      </c>
      <c r="V486" s="6" t="s">
        <v>125</v>
      </c>
      <c r="W486" s="3" t="s">
        <v>158</v>
      </c>
      <c r="X486" s="3" t="s">
        <v>384</v>
      </c>
      <c r="Y486" s="3" t="s">
        <v>1895</v>
      </c>
      <c r="Z486" s="8" t="str">
        <f>HYPERLINK("http://www.brunel.ac.uk/siscm","http://www.brunel.ac.uk/siscm")</f>
        <v>http://www.brunel.ac.uk/siscm</v>
      </c>
      <c r="AB486" s="8" t="str">
        <f t="shared" si="34"/>
        <v>http://bura.brunel.ac.uk/</v>
      </c>
      <c r="AG486" s="3" t="s">
        <v>244</v>
      </c>
      <c r="AH486" s="3" t="s">
        <v>244</v>
      </c>
      <c r="AI486" s="3" t="s">
        <v>244</v>
      </c>
      <c r="AJ486" s="3" t="s">
        <v>244</v>
      </c>
      <c r="AK486" s="3" t="s">
        <v>244</v>
      </c>
      <c r="AL486" s="3" t="s">
        <v>244</v>
      </c>
      <c r="AM486" s="3" t="s">
        <v>247</v>
      </c>
      <c r="AN486" s="3" t="s">
        <v>244</v>
      </c>
      <c r="AO486" s="3" t="s">
        <v>247</v>
      </c>
      <c r="AP486" s="3" t="s">
        <v>244</v>
      </c>
      <c r="AQ486" s="3" t="s">
        <v>247</v>
      </c>
      <c r="AR486" s="3" t="s">
        <v>288</v>
      </c>
      <c r="AS486" s="3" t="s">
        <v>244</v>
      </c>
      <c r="AT486" s="3" t="s">
        <v>244</v>
      </c>
      <c r="AU486" s="3" t="s">
        <v>244</v>
      </c>
      <c r="AV486" s="3" t="s">
        <v>288</v>
      </c>
      <c r="AW486" s="3" t="s">
        <v>244</v>
      </c>
      <c r="AX486" s="3" t="s">
        <v>244</v>
      </c>
      <c r="AY486" s="3" t="s">
        <v>247</v>
      </c>
    </row>
    <row r="487" spans="1:52" ht="15.75" customHeight="1">
      <c r="A487" s="3">
        <v>752</v>
      </c>
      <c r="B487" s="5" t="str">
        <f t="shared" si="0"/>
        <v>http://roarmap.eprints.org/752/</v>
      </c>
      <c r="C487" s="3">
        <v>6</v>
      </c>
      <c r="D487" s="3" t="s">
        <v>98</v>
      </c>
      <c r="E487" s="3">
        <v>751</v>
      </c>
      <c r="F487" s="3" t="s">
        <v>1897</v>
      </c>
      <c r="G487" s="3">
        <v>42121.478425925925</v>
      </c>
      <c r="H487" s="3">
        <v>42125.588194444441</v>
      </c>
      <c r="I487" s="3">
        <v>42121.478425925925</v>
      </c>
      <c r="J487" s="3" t="s">
        <v>103</v>
      </c>
      <c r="K487" s="3" t="s">
        <v>105</v>
      </c>
      <c r="L487" s="3" t="s">
        <v>1898</v>
      </c>
      <c r="P487" s="3" t="s">
        <v>215</v>
      </c>
      <c r="Q487" t="str">
        <f t="shared" si="30"/>
        <v>http://roarmap.eprints.org/view/country/826.html</v>
      </c>
      <c r="R487" s="3">
        <v>826</v>
      </c>
      <c r="S487" s="6" t="s">
        <v>349</v>
      </c>
      <c r="T487" s="9">
        <v>826</v>
      </c>
      <c r="U487" s="7" t="s">
        <v>123</v>
      </c>
      <c r="V487" s="6" t="s">
        <v>125</v>
      </c>
      <c r="W487" s="3" t="s">
        <v>158</v>
      </c>
      <c r="X487" s="3" t="s">
        <v>160</v>
      </c>
      <c r="Y487" s="3" t="s">
        <v>1898</v>
      </c>
      <c r="Z487" s="8" t="str">
        <f>HYPERLINK("http://bucks.ac.uk/","http://bucks.ac.uk/")</f>
        <v>http://bucks.ac.uk/</v>
      </c>
      <c r="AA487" s="8" t="str">
        <f>HYPERLINK("http://bucks.ac.uk/content/documents/Formal_Documents/Research/Open_Access_Policy.pdf","http://bucks.ac.uk/content/documents/Formal_Documents/Research/Open_Access_Policy.pdf")</f>
        <v>http://bucks.ac.uk/content/documents/Formal_Documents/Research/Open_Access_Policy.pdf</v>
      </c>
      <c r="AB487" s="8" t="str">
        <f>HYPERLINK("http://eprints.bucks.ac.uk/","http://eprints.bucks.ac.uk/")</f>
        <v>http://eprints.bucks.ac.uk/</v>
      </c>
      <c r="AC487" s="3">
        <v>42064</v>
      </c>
      <c r="AF487" s="3" t="s">
        <v>478</v>
      </c>
      <c r="AG487" s="3" t="s">
        <v>333</v>
      </c>
      <c r="AH487" s="3" t="s">
        <v>180</v>
      </c>
      <c r="AI487" s="3" t="s">
        <v>244</v>
      </c>
      <c r="AJ487" s="3" t="s">
        <v>182</v>
      </c>
      <c r="AK487" s="3" t="s">
        <v>393</v>
      </c>
      <c r="AL487" s="3" t="s">
        <v>244</v>
      </c>
      <c r="AM487" s="3" t="s">
        <v>479</v>
      </c>
      <c r="AN487" s="3" t="s">
        <v>244</v>
      </c>
      <c r="AO487" s="3" t="s">
        <v>247</v>
      </c>
      <c r="AP487" s="3" t="s">
        <v>244</v>
      </c>
      <c r="AQ487" s="3" t="s">
        <v>247</v>
      </c>
      <c r="AR487" s="3" t="s">
        <v>244</v>
      </c>
      <c r="AS487" s="3" t="s">
        <v>244</v>
      </c>
      <c r="AT487" s="3" t="s">
        <v>244</v>
      </c>
      <c r="AU487" s="3" t="s">
        <v>244</v>
      </c>
      <c r="AV487" s="3" t="s">
        <v>244</v>
      </c>
      <c r="AW487" s="3" t="s">
        <v>244</v>
      </c>
      <c r="AX487" s="3" t="s">
        <v>442</v>
      </c>
      <c r="AY487" s="3" t="s">
        <v>371</v>
      </c>
    </row>
    <row r="488" spans="1:52" ht="15.75" customHeight="1">
      <c r="A488" s="3">
        <v>351</v>
      </c>
      <c r="B488" s="5" t="str">
        <f t="shared" si="0"/>
        <v>http://roarmap.eprints.org/351/</v>
      </c>
      <c r="C488" s="3">
        <v>3</v>
      </c>
      <c r="D488" s="3" t="s">
        <v>98</v>
      </c>
      <c r="E488" s="3">
        <v>1</v>
      </c>
      <c r="F488" s="3" t="s">
        <v>1899</v>
      </c>
      <c r="G488" s="3">
        <v>41988.923842592594</v>
      </c>
      <c r="H488" s="3">
        <v>41988.923842592594</v>
      </c>
      <c r="I488" s="3">
        <v>41988.923842592594</v>
      </c>
      <c r="J488" s="3" t="s">
        <v>103</v>
      </c>
      <c r="K488" s="3" t="s">
        <v>105</v>
      </c>
      <c r="L488" s="3" t="s">
        <v>1900</v>
      </c>
      <c r="M488" s="3" t="s">
        <v>374</v>
      </c>
      <c r="P488" s="3" t="s">
        <v>215</v>
      </c>
      <c r="Q488" t="str">
        <f t="shared" si="30"/>
        <v>http://roarmap.eprints.org/view/country/826.html</v>
      </c>
      <c r="R488" s="3">
        <v>826</v>
      </c>
      <c r="S488" s="6" t="s">
        <v>349</v>
      </c>
      <c r="T488" s="9">
        <v>826</v>
      </c>
      <c r="U488" s="7" t="s">
        <v>123</v>
      </c>
      <c r="V488" s="6" t="s">
        <v>125</v>
      </c>
      <c r="W488" s="3" t="s">
        <v>158</v>
      </c>
      <c r="X488" s="3" t="s">
        <v>364</v>
      </c>
      <c r="Y488" s="3" t="s">
        <v>1900</v>
      </c>
      <c r="Z488" s="8" t="str">
        <f>HYPERLINK("http://www.cancerresearchuk.org/","http://www.cancerresearchuk.org/")</f>
        <v>http://www.cancerresearchuk.org/</v>
      </c>
      <c r="AA488" s="8" t="str">
        <f>HYPERLINK("http://www.cancerresearchuk.org/funding-for-researchers/applying-for-funding/policies-that-affect-your-grant/policy-on-open-access-and-pubmed-central","http://www.cancerresearchuk.org/funding-for-researchers/applying-for-funding/policies-that-affect-your-grant/policy-on-open-access-and-pubmed-central")</f>
        <v>http://www.cancerresearchuk.org/funding-for-researchers/applying-for-funding/policies-that-affect-your-grant/policy-on-open-access-and-pubmed-central</v>
      </c>
      <c r="AB488" s="8" t="str">
        <f>HYPERLINK("http://europepmc.org/","http://europepmc.org/")</f>
        <v>http://europepmc.org/</v>
      </c>
      <c r="AC488" s="3">
        <v>39091</v>
      </c>
      <c r="AD488" s="3">
        <v>39234</v>
      </c>
      <c r="AF488" s="3" t="s">
        <v>177</v>
      </c>
      <c r="AG488" s="3" t="s">
        <v>178</v>
      </c>
      <c r="AH488" s="3" t="s">
        <v>463</v>
      </c>
      <c r="AI488" s="3" t="s">
        <v>377</v>
      </c>
      <c r="AJ488" s="3" t="s">
        <v>182</v>
      </c>
      <c r="AK488" s="3" t="s">
        <v>393</v>
      </c>
      <c r="AL488" s="3" t="s">
        <v>189</v>
      </c>
      <c r="AM488" s="3" t="s">
        <v>178</v>
      </c>
      <c r="AN488" s="3" t="s">
        <v>189</v>
      </c>
      <c r="AO488" s="3" t="s">
        <v>378</v>
      </c>
      <c r="AP488" s="3" t="s">
        <v>185</v>
      </c>
      <c r="AQ488" s="3" t="s">
        <v>247</v>
      </c>
      <c r="AR488" s="3" t="s">
        <v>288</v>
      </c>
      <c r="AS488" s="3" t="s">
        <v>288</v>
      </c>
      <c r="AT488" s="3" t="s">
        <v>379</v>
      </c>
      <c r="AU488" s="3" t="s">
        <v>244</v>
      </c>
      <c r="AV488" s="3" t="s">
        <v>288</v>
      </c>
      <c r="AW488" s="3" t="s">
        <v>339</v>
      </c>
      <c r="AX488" s="3" t="s">
        <v>341</v>
      </c>
      <c r="AY488" s="3" t="s">
        <v>198</v>
      </c>
    </row>
    <row r="489" spans="1:52" ht="15.75" customHeight="1">
      <c r="A489" s="3">
        <v>689</v>
      </c>
      <c r="B489" s="5" t="str">
        <f t="shared" si="0"/>
        <v>http://roarmap.eprints.org/689/</v>
      </c>
      <c r="C489" s="3">
        <v>5</v>
      </c>
      <c r="D489" s="3" t="s">
        <v>98</v>
      </c>
      <c r="E489" s="3">
        <v>392</v>
      </c>
      <c r="F489" s="3" t="s">
        <v>1901</v>
      </c>
      <c r="G489" s="3">
        <v>42076.570914351854</v>
      </c>
      <c r="H489" s="3">
        <v>42076.571226851855</v>
      </c>
      <c r="I489" s="3">
        <v>42076.570914351854</v>
      </c>
      <c r="J489" s="3" t="s">
        <v>103</v>
      </c>
      <c r="K489" s="3" t="s">
        <v>105</v>
      </c>
      <c r="L489" s="3" t="s">
        <v>1902</v>
      </c>
      <c r="P489" s="3" t="s">
        <v>1903</v>
      </c>
      <c r="Q489" t="str">
        <f t="shared" si="30"/>
        <v>http://roarmap.eprints.org/view/country/826.html</v>
      </c>
      <c r="R489" s="3">
        <v>826</v>
      </c>
      <c r="S489" s="6" t="s">
        <v>349</v>
      </c>
      <c r="T489" s="9">
        <v>826</v>
      </c>
      <c r="U489" s="7" t="s">
        <v>123</v>
      </c>
      <c r="V489" s="6" t="s">
        <v>125</v>
      </c>
      <c r="W489" s="3" t="s">
        <v>158</v>
      </c>
      <c r="X489" s="3" t="s">
        <v>160</v>
      </c>
      <c r="Y489" s="3" t="s">
        <v>1902</v>
      </c>
      <c r="Z489" s="8" t="str">
        <f>HYPERLINK("http://www.canterbury.ac.uk/","http://www.canterbury.ac.uk/")</f>
        <v>http://www.canterbury.ac.uk/</v>
      </c>
      <c r="AA489" s="8" t="str">
        <f>HYPERLINK("http://www.canterbury.ac.uk/centres/red/open-access/open-access-policy-CCCU-Feb2015.pdf","http://www.canterbury.ac.uk/centres/red/open-access/open-access-policy-CCCU-Feb2015.pdf")</f>
        <v>http://www.canterbury.ac.uk/centres/red/open-access/open-access-policy-CCCU-Feb2015.pdf</v>
      </c>
      <c r="AB489" s="8" t="str">
        <f>HYPERLINK("http://create.canterbury.ac.uk/","http://create.canterbury.ac.uk/")</f>
        <v>http://create.canterbury.ac.uk/</v>
      </c>
      <c r="AF489" s="3" t="s">
        <v>177</v>
      </c>
      <c r="AG489" s="3" t="s">
        <v>178</v>
      </c>
      <c r="AH489" s="3" t="s">
        <v>180</v>
      </c>
      <c r="AI489" s="3" t="s">
        <v>392</v>
      </c>
      <c r="AJ489" s="3" t="s">
        <v>182</v>
      </c>
      <c r="AK489" s="3" t="s">
        <v>393</v>
      </c>
      <c r="AL489" s="3" t="s">
        <v>244</v>
      </c>
      <c r="AM489" s="3" t="s">
        <v>178</v>
      </c>
      <c r="AN489" s="3" t="s">
        <v>244</v>
      </c>
      <c r="AO489" s="3" t="s">
        <v>181</v>
      </c>
      <c r="AP489" s="3" t="s">
        <v>244</v>
      </c>
      <c r="AQ489" s="3" t="s">
        <v>247</v>
      </c>
      <c r="AR489" s="3" t="s">
        <v>244</v>
      </c>
      <c r="AS489" s="3" t="s">
        <v>244</v>
      </c>
      <c r="AT489" s="3" t="s">
        <v>244</v>
      </c>
      <c r="AU489" s="3" t="s">
        <v>244</v>
      </c>
      <c r="AV489" s="3" t="s">
        <v>185</v>
      </c>
      <c r="AW489" s="3" t="s">
        <v>244</v>
      </c>
      <c r="AX489" s="3" t="s">
        <v>442</v>
      </c>
      <c r="AY489" s="3" t="s">
        <v>247</v>
      </c>
    </row>
    <row r="490" spans="1:52" ht="15.75" customHeight="1">
      <c r="A490" s="3">
        <v>744</v>
      </c>
      <c r="B490" s="5" t="str">
        <f t="shared" si="0"/>
        <v>http://roarmap.eprints.org/744/</v>
      </c>
      <c r="C490" s="3">
        <v>5</v>
      </c>
      <c r="D490" s="3" t="s">
        <v>98</v>
      </c>
      <c r="E490" s="3">
        <v>642</v>
      </c>
      <c r="F490" s="3" t="s">
        <v>1904</v>
      </c>
      <c r="G490" s="3">
        <v>42114.556770833333</v>
      </c>
      <c r="H490" s="3">
        <v>42114.556770833333</v>
      </c>
      <c r="I490" s="3">
        <v>42114.556770833333</v>
      </c>
      <c r="J490" s="3" t="s">
        <v>103</v>
      </c>
      <c r="K490" s="3" t="s">
        <v>105</v>
      </c>
      <c r="L490" s="3" t="s">
        <v>1905</v>
      </c>
      <c r="P490" s="3" t="s">
        <v>1905</v>
      </c>
      <c r="Q490" t="str">
        <f t="shared" si="30"/>
        <v>http://roarmap.eprints.org/view/country/826.html</v>
      </c>
      <c r="R490" s="3">
        <v>826</v>
      </c>
      <c r="S490" s="6" t="s">
        <v>349</v>
      </c>
      <c r="T490" s="9">
        <v>826</v>
      </c>
      <c r="U490" s="7" t="s">
        <v>123</v>
      </c>
      <c r="V490" s="6" t="s">
        <v>125</v>
      </c>
      <c r="W490" s="3" t="s">
        <v>158</v>
      </c>
      <c r="X490" s="3" t="s">
        <v>160</v>
      </c>
      <c r="Y490" s="3" t="s">
        <v>1905</v>
      </c>
      <c r="Z490" s="8" t="str">
        <f>HYPERLINK("http://www.cardiff.ac.uk","http://www.cardiff.ac.uk")</f>
        <v>http://www.cardiff.ac.uk</v>
      </c>
      <c r="AA490" s="8" t="str">
        <f>HYPERLINK("http://www.cardiff.ac.uk/insrv/forresearchers/openaccess/policy/index.html","http://www.cardiff.ac.uk/insrv/forresearchers/openaccess/policy/index.html")</f>
        <v>http://www.cardiff.ac.uk/insrv/forresearchers/openaccess/policy/index.html</v>
      </c>
      <c r="AB490" s="8" t="str">
        <f>HYPERLINK("http://orca.cf.ac.uk/","http://orca.cf.ac.uk/")</f>
        <v>http://orca.cf.ac.uk/</v>
      </c>
      <c r="AC490" s="3">
        <v>41974</v>
      </c>
      <c r="AD490" s="3">
        <v>41974</v>
      </c>
      <c r="AE490" s="3">
        <v>41974</v>
      </c>
      <c r="AF490" s="3" t="s">
        <v>177</v>
      </c>
      <c r="AG490" s="3" t="s">
        <v>178</v>
      </c>
      <c r="AH490" s="3" t="s">
        <v>180</v>
      </c>
      <c r="AI490" s="3" t="s">
        <v>392</v>
      </c>
      <c r="AJ490" s="3" t="s">
        <v>244</v>
      </c>
      <c r="AK490" s="3" t="s">
        <v>393</v>
      </c>
      <c r="AL490" s="3" t="s">
        <v>244</v>
      </c>
      <c r="AM490" s="3" t="s">
        <v>479</v>
      </c>
      <c r="AN490" s="3" t="s">
        <v>244</v>
      </c>
      <c r="AO490" s="3" t="s">
        <v>181</v>
      </c>
      <c r="AP490" s="3" t="s">
        <v>244</v>
      </c>
      <c r="AQ490" s="3" t="s">
        <v>247</v>
      </c>
      <c r="AR490" s="3" t="s">
        <v>244</v>
      </c>
      <c r="AS490" s="3" t="s">
        <v>244</v>
      </c>
      <c r="AT490" s="3" t="s">
        <v>244</v>
      </c>
      <c r="AU490" s="3" t="s">
        <v>244</v>
      </c>
      <c r="AV490" s="3" t="s">
        <v>244</v>
      </c>
      <c r="AW490" s="3" t="s">
        <v>195</v>
      </c>
      <c r="AX490" s="3" t="s">
        <v>442</v>
      </c>
      <c r="AY490" s="3" t="s">
        <v>247</v>
      </c>
    </row>
    <row r="491" spans="1:52" ht="15.75" customHeight="1">
      <c r="A491" s="3">
        <v>352</v>
      </c>
      <c r="B491" s="5" t="str">
        <f t="shared" si="0"/>
        <v>http://roarmap.eprints.org/352/</v>
      </c>
      <c r="C491" s="3">
        <v>4</v>
      </c>
      <c r="D491" s="3" t="s">
        <v>98</v>
      </c>
      <c r="E491" s="3">
        <v>1</v>
      </c>
      <c r="F491" s="3" t="s">
        <v>1906</v>
      </c>
      <c r="G491" s="3">
        <v>41988.923854166664</v>
      </c>
      <c r="H491" s="3">
        <v>41988.923854166664</v>
      </c>
      <c r="I491" s="3">
        <v>41988.923854166664</v>
      </c>
      <c r="J491" s="3" t="s">
        <v>103</v>
      </c>
      <c r="K491" s="3" t="s">
        <v>105</v>
      </c>
      <c r="L491" s="3" t="s">
        <v>1907</v>
      </c>
      <c r="M491" s="3" t="s">
        <v>374</v>
      </c>
      <c r="O491" s="3" t="s">
        <v>1908</v>
      </c>
      <c r="P491" s="3" t="s">
        <v>215</v>
      </c>
      <c r="Q491" t="str">
        <f t="shared" si="30"/>
        <v>http://roarmap.eprints.org/view/country/826.html</v>
      </c>
      <c r="R491" s="3">
        <v>826</v>
      </c>
      <c r="S491" s="6" t="s">
        <v>349</v>
      </c>
      <c r="T491" s="9">
        <v>826</v>
      </c>
      <c r="U491" s="7" t="s">
        <v>123</v>
      </c>
      <c r="V491" s="6" t="s">
        <v>125</v>
      </c>
      <c r="W491" s="3" t="s">
        <v>158</v>
      </c>
      <c r="X491" s="3" t="s">
        <v>376</v>
      </c>
      <c r="Y491" s="3" t="s">
        <v>1907</v>
      </c>
      <c r="Z491" s="8" t="str">
        <f>HYPERLINK("http://www.cso.scot.nhs.uk/","http://www.cso.scot.nhs.uk/")</f>
        <v>http://www.cso.scot.nhs.uk/</v>
      </c>
      <c r="AA491" s="8" t="str">
        <f>HYPERLINK("http://www.cso.scot.nhs.uk/about/publications/cso-open-access-policy/compliance-with-cso-open-access-policy/","http://www.cso.scot.nhs.uk/about/publications/cso-open-access-policy/compliance-with-cso-open-access-policy/")</f>
        <v>http://www.cso.scot.nhs.uk/about/publications/cso-open-access-policy/compliance-with-cso-open-access-policy/</v>
      </c>
      <c r="AB491" s="8" t="str">
        <f>HYPERLINK("http://europepmc.org/","http://europepmc.org/")</f>
        <v>http://europepmc.org/</v>
      </c>
      <c r="AD491" s="3">
        <v>38718</v>
      </c>
      <c r="AE491" s="3">
        <v>41274</v>
      </c>
      <c r="AF491" s="3" t="s">
        <v>177</v>
      </c>
      <c r="AG491" s="3" t="s">
        <v>178</v>
      </c>
      <c r="AH491" s="3" t="s">
        <v>463</v>
      </c>
      <c r="AI491" s="3" t="s">
        <v>377</v>
      </c>
      <c r="AJ491" s="3" t="s">
        <v>182</v>
      </c>
      <c r="AK491" s="3" t="s">
        <v>393</v>
      </c>
      <c r="AL491" s="3" t="s">
        <v>185</v>
      </c>
      <c r="AM491" s="3" t="s">
        <v>178</v>
      </c>
      <c r="AN491" s="3" t="s">
        <v>185</v>
      </c>
      <c r="AO491" s="3" t="s">
        <v>378</v>
      </c>
      <c r="AP491" s="3" t="s">
        <v>185</v>
      </c>
      <c r="AQ491" s="3" t="s">
        <v>386</v>
      </c>
      <c r="AR491" s="3" t="s">
        <v>288</v>
      </c>
      <c r="AS491" s="3" t="s">
        <v>185</v>
      </c>
      <c r="AT491" s="3" t="s">
        <v>379</v>
      </c>
      <c r="AU491" s="3" t="s">
        <v>244</v>
      </c>
      <c r="AV491" s="3" t="s">
        <v>185</v>
      </c>
      <c r="AW491" s="3" t="s">
        <v>339</v>
      </c>
      <c r="AX491" s="3" t="s">
        <v>442</v>
      </c>
      <c r="AY491" s="3" t="s">
        <v>521</v>
      </c>
      <c r="AZ491" s="8" t="str">
        <f>HYPERLINK("http://www.cso.scot.nhs.uk/wp-content/uploads/2013/02/Form-6a-Application-for-publication-costs.doc","http://www.cso.scot.nhs.uk/wp-content/uploads/2013/02/Form-6a-Application-for-publication-costs.doc")</f>
        <v>http://www.cso.scot.nhs.uk/wp-content/uploads/2013/02/Form-6a-Application-for-publication-costs.doc</v>
      </c>
    </row>
    <row r="492" spans="1:52" ht="15.75" customHeight="1">
      <c r="A492" s="3">
        <v>353</v>
      </c>
      <c r="B492" s="5" t="str">
        <f t="shared" si="0"/>
        <v>http://roarmap.eprints.org/353/</v>
      </c>
      <c r="C492" s="3">
        <v>5</v>
      </c>
      <c r="D492" s="3" t="s">
        <v>98</v>
      </c>
      <c r="E492" s="3">
        <v>299</v>
      </c>
      <c r="F492" s="3" t="s">
        <v>1909</v>
      </c>
      <c r="G492" s="3">
        <v>41988.923854166664</v>
      </c>
      <c r="H492" s="3">
        <v>42086.921319444446</v>
      </c>
      <c r="I492" s="3">
        <v>41988.923854166664</v>
      </c>
      <c r="J492" s="3" t="s">
        <v>103</v>
      </c>
      <c r="K492" s="3" t="s">
        <v>105</v>
      </c>
      <c r="L492" s="3" t="s">
        <v>1910</v>
      </c>
      <c r="M492" s="3" t="s">
        <v>352</v>
      </c>
      <c r="N492" s="3" t="s">
        <v>1911</v>
      </c>
      <c r="P492" s="3" t="s">
        <v>215</v>
      </c>
      <c r="Q492" t="str">
        <f t="shared" si="30"/>
        <v>http://roarmap.eprints.org/view/country/826.html</v>
      </c>
      <c r="R492" s="3">
        <v>826</v>
      </c>
      <c r="S492" s="6" t="s">
        <v>349</v>
      </c>
      <c r="T492" s="9">
        <v>826</v>
      </c>
      <c r="U492" s="7" t="s">
        <v>123</v>
      </c>
      <c r="V492" s="6" t="s">
        <v>125</v>
      </c>
      <c r="W492" s="3" t="s">
        <v>158</v>
      </c>
      <c r="X492" s="3" t="s">
        <v>160</v>
      </c>
      <c r="Y492" s="3" t="s">
        <v>1910</v>
      </c>
      <c r="Z492" s="8" t="str">
        <f>HYPERLINK("http://www.city.ac.uk/","http://www.city.ac.uk/")</f>
        <v>http://www.city.ac.uk/</v>
      </c>
      <c r="AA492" s="8" t="str">
        <f>HYPERLINK("http://www.city.ac.uk/research/research/support-for-staff/open-access-to-research","http://www.city.ac.uk/research/research/support-for-staff/open-access-to-research")</f>
        <v>http://www.city.ac.uk/research/research/support-for-staff/open-access-to-research</v>
      </c>
      <c r="AB492" s="8" t="str">
        <f>HYPERLINK("http://openaccess.city.ac.uk/","http://openaccess.city.ac.uk/")</f>
        <v>http://openaccess.city.ac.uk/</v>
      </c>
      <c r="AC492" s="3">
        <v>41214</v>
      </c>
      <c r="AD492" s="3">
        <v>41275</v>
      </c>
      <c r="AF492" s="3" t="s">
        <v>177</v>
      </c>
      <c r="AG492" s="3" t="s">
        <v>178</v>
      </c>
      <c r="AH492" s="3" t="s">
        <v>180</v>
      </c>
      <c r="AI492" s="3" t="s">
        <v>244</v>
      </c>
      <c r="AJ492" s="3" t="s">
        <v>182</v>
      </c>
      <c r="AK492" s="3" t="s">
        <v>244</v>
      </c>
      <c r="AL492" s="3" t="s">
        <v>185</v>
      </c>
      <c r="AM492" s="3" t="s">
        <v>178</v>
      </c>
      <c r="AN492" s="3" t="s">
        <v>189</v>
      </c>
      <c r="AO492" s="3" t="s">
        <v>181</v>
      </c>
      <c r="AP492" s="3" t="s">
        <v>185</v>
      </c>
      <c r="AQ492" s="3" t="s">
        <v>386</v>
      </c>
      <c r="AR492" s="3" t="s">
        <v>288</v>
      </c>
      <c r="AS492" s="3" t="s">
        <v>288</v>
      </c>
      <c r="AT492" s="3" t="s">
        <v>244</v>
      </c>
      <c r="AU492" s="3" t="s">
        <v>244</v>
      </c>
      <c r="AV492" s="3" t="s">
        <v>288</v>
      </c>
      <c r="AW492" s="3" t="s">
        <v>339</v>
      </c>
      <c r="AX492" s="3" t="s">
        <v>244</v>
      </c>
      <c r="AY492" s="3" t="s">
        <v>428</v>
      </c>
    </row>
    <row r="493" spans="1:52" ht="15.75" customHeight="1">
      <c r="A493" s="3">
        <v>354</v>
      </c>
      <c r="B493" s="5" t="str">
        <f t="shared" si="0"/>
        <v>http://roarmap.eprints.org/354/</v>
      </c>
      <c r="C493" s="3">
        <v>3</v>
      </c>
      <c r="D493" s="3" t="s">
        <v>98</v>
      </c>
      <c r="E493" s="3">
        <v>1</v>
      </c>
      <c r="F493" s="3" t="s">
        <v>1912</v>
      </c>
      <c r="G493" s="3">
        <v>41988.923854166664</v>
      </c>
      <c r="H493" s="3">
        <v>41988.923854166664</v>
      </c>
      <c r="I493" s="3">
        <v>41988.923854166664</v>
      </c>
      <c r="J493" s="3" t="s">
        <v>103</v>
      </c>
      <c r="K493" s="3" t="s">
        <v>105</v>
      </c>
      <c r="L493" s="3" t="s">
        <v>1913</v>
      </c>
      <c r="M493" s="3" t="s">
        <v>352</v>
      </c>
      <c r="P493" s="3" t="s">
        <v>215</v>
      </c>
      <c r="Q493" t="str">
        <f t="shared" si="30"/>
        <v>http://roarmap.eprints.org/view/country/826.html</v>
      </c>
      <c r="R493" s="3">
        <v>826</v>
      </c>
      <c r="S493" s="6" t="s">
        <v>349</v>
      </c>
      <c r="T493" s="9">
        <v>826</v>
      </c>
      <c r="U493" s="7" t="s">
        <v>123</v>
      </c>
      <c r="V493" s="6" t="s">
        <v>125</v>
      </c>
      <c r="W493" s="3" t="s">
        <v>158</v>
      </c>
      <c r="X493" s="3" t="s">
        <v>384</v>
      </c>
      <c r="Y493" s="3" t="s">
        <v>1913</v>
      </c>
      <c r="Z493" s="8" t="str">
        <f>HYPERLINK("http://www.coventry.ac.uk/life-on-campus/faculties-and-schools/coventry-school-of-art-and-design/departments/media/","http://www.coventry.ac.uk/life-on-campus/faculties-and-schools/coventry-school-of-art-and-design/departments/media/")</f>
        <v>http://www.coventry.ac.uk/life-on-campus/faculties-and-schools/coventry-school-of-art-and-design/departments/media/</v>
      </c>
      <c r="AB493" s="8" t="str">
        <f>HYPERLINK("https://curve.coventry.ac.uk/open/access/home.do","https://curve.coventry.ac.uk/open/access/home.do")</f>
        <v>https://curve.coventry.ac.uk/open/access/home.do</v>
      </c>
      <c r="AC493" s="3">
        <v>40011</v>
      </c>
      <c r="AD493" s="3">
        <v>40057</v>
      </c>
      <c r="AF493" s="3" t="s">
        <v>177</v>
      </c>
      <c r="AG493" s="3" t="s">
        <v>178</v>
      </c>
      <c r="AH493" s="3" t="s">
        <v>180</v>
      </c>
      <c r="AI493" s="3" t="s">
        <v>187</v>
      </c>
      <c r="AJ493" s="3" t="s">
        <v>182</v>
      </c>
      <c r="AK493" s="3" t="s">
        <v>393</v>
      </c>
      <c r="AL493" s="3" t="s">
        <v>185</v>
      </c>
      <c r="AM493" s="3" t="s">
        <v>178</v>
      </c>
      <c r="AN493" s="3" t="s">
        <v>185</v>
      </c>
      <c r="AO493" s="3" t="s">
        <v>378</v>
      </c>
      <c r="AP493" s="3" t="s">
        <v>185</v>
      </c>
      <c r="AQ493" s="3" t="s">
        <v>247</v>
      </c>
      <c r="AR493" s="3" t="s">
        <v>288</v>
      </c>
      <c r="AS493" s="3" t="s">
        <v>288</v>
      </c>
      <c r="AT493" s="3" t="s">
        <v>244</v>
      </c>
      <c r="AU493" s="3" t="s">
        <v>459</v>
      </c>
      <c r="AV493" s="3" t="s">
        <v>244</v>
      </c>
      <c r="AW493" s="3" t="s">
        <v>339</v>
      </c>
      <c r="AX493" s="3" t="s">
        <v>244</v>
      </c>
      <c r="AY493" s="3" t="s">
        <v>247</v>
      </c>
    </row>
    <row r="494" spans="1:52" ht="15.75" customHeight="1">
      <c r="A494" s="3">
        <v>355</v>
      </c>
      <c r="B494" s="5" t="str">
        <f t="shared" si="0"/>
        <v>http://roarmap.eprints.org/355/</v>
      </c>
      <c r="C494" s="3">
        <v>3</v>
      </c>
      <c r="D494" s="3" t="s">
        <v>98</v>
      </c>
      <c r="E494" s="3">
        <v>1</v>
      </c>
      <c r="F494" s="3" t="s">
        <v>1914</v>
      </c>
      <c r="G494" s="3">
        <v>41988.923854166664</v>
      </c>
      <c r="H494" s="3">
        <v>41988.923854166664</v>
      </c>
      <c r="I494" s="3">
        <v>41988.923854166664</v>
      </c>
      <c r="J494" s="3" t="s">
        <v>103</v>
      </c>
      <c r="K494" s="3" t="s">
        <v>105</v>
      </c>
      <c r="L494" s="3" t="s">
        <v>1915</v>
      </c>
      <c r="M494" s="3" t="s">
        <v>352</v>
      </c>
      <c r="Q494" t="str">
        <f t="shared" si="30"/>
        <v>http://roarmap.eprints.org/view/country/826.html</v>
      </c>
      <c r="R494" s="3">
        <v>826</v>
      </c>
      <c r="S494" s="6" t="s">
        <v>349</v>
      </c>
      <c r="T494" s="9">
        <v>826</v>
      </c>
      <c r="U494" s="7" t="s">
        <v>123</v>
      </c>
      <c r="V494" s="6" t="s">
        <v>125</v>
      </c>
      <c r="W494" s="3" t="s">
        <v>158</v>
      </c>
      <c r="X494" s="3" t="s">
        <v>160</v>
      </c>
      <c r="Y494" s="3" t="s">
        <v>1915</v>
      </c>
      <c r="Z494" s="8" t="str">
        <f>HYPERLINK("http://www.cranfield.ac.uk/","http://www.cranfield.ac.uk/")</f>
        <v>http://www.cranfield.ac.uk/</v>
      </c>
      <c r="AB494" s="8" t="str">
        <f>HYPERLINK("https://dspace.lib.cranfield.ac.uk/","https://dspace.lib.cranfield.ac.uk/")</f>
        <v>https://dspace.lib.cranfield.ac.uk/</v>
      </c>
      <c r="AG494" s="3" t="s">
        <v>244</v>
      </c>
      <c r="AH494" s="3" t="s">
        <v>244</v>
      </c>
      <c r="AI494" s="3" t="s">
        <v>244</v>
      </c>
      <c r="AJ494" s="3" t="s">
        <v>244</v>
      </c>
      <c r="AK494" s="3" t="s">
        <v>244</v>
      </c>
      <c r="AL494" s="3" t="s">
        <v>244</v>
      </c>
      <c r="AM494" s="3" t="s">
        <v>247</v>
      </c>
      <c r="AN494" s="3" t="s">
        <v>244</v>
      </c>
      <c r="AO494" s="3" t="s">
        <v>247</v>
      </c>
      <c r="AP494" s="3" t="s">
        <v>244</v>
      </c>
      <c r="AQ494" s="3" t="s">
        <v>247</v>
      </c>
      <c r="AR494" s="3" t="s">
        <v>288</v>
      </c>
      <c r="AS494" s="3" t="s">
        <v>244</v>
      </c>
      <c r="AT494" s="3" t="s">
        <v>244</v>
      </c>
      <c r="AU494" s="3" t="s">
        <v>244</v>
      </c>
      <c r="AV494" s="3" t="s">
        <v>288</v>
      </c>
      <c r="AW494" s="3" t="s">
        <v>244</v>
      </c>
      <c r="AX494" s="3" t="s">
        <v>244</v>
      </c>
      <c r="AY494" s="3" t="s">
        <v>247</v>
      </c>
    </row>
    <row r="495" spans="1:52" ht="15.75" customHeight="1">
      <c r="A495" s="3">
        <v>357</v>
      </c>
      <c r="B495" s="5" t="str">
        <f t="shared" si="0"/>
        <v>http://roarmap.eprints.org/357/</v>
      </c>
      <c r="C495" s="3">
        <v>6</v>
      </c>
      <c r="D495" s="3" t="s">
        <v>98</v>
      </c>
      <c r="E495" s="3">
        <v>300</v>
      </c>
      <c r="F495" s="3" t="s">
        <v>1916</v>
      </c>
      <c r="G495" s="3">
        <v>41988.923854166664</v>
      </c>
      <c r="H495" s="3">
        <v>42066.885648148149</v>
      </c>
      <c r="I495" s="3">
        <v>41988.923854166664</v>
      </c>
      <c r="J495" s="3" t="s">
        <v>103</v>
      </c>
      <c r="K495" s="3" t="s">
        <v>105</v>
      </c>
      <c r="L495" s="3" t="s">
        <v>1917</v>
      </c>
      <c r="M495" s="3" t="s">
        <v>374</v>
      </c>
      <c r="P495" s="3" t="s">
        <v>1875</v>
      </c>
      <c r="Q495" t="str">
        <f t="shared" si="30"/>
        <v>http://roarmap.eprints.org/view/country/826.html</v>
      </c>
      <c r="R495" s="3">
        <v>826</v>
      </c>
      <c r="S495" s="6" t="s">
        <v>349</v>
      </c>
      <c r="T495" s="9">
        <v>826</v>
      </c>
      <c r="U495" s="7" t="s">
        <v>123</v>
      </c>
      <c r="V495" s="6" t="s">
        <v>125</v>
      </c>
      <c r="W495" s="3" t="s">
        <v>158</v>
      </c>
      <c r="X495" s="3" t="s">
        <v>160</v>
      </c>
      <c r="Y495" s="3" t="s">
        <v>1917</v>
      </c>
      <c r="Z495" s="8" t="str">
        <f>HYPERLINK("http://www.dmu.ac.uk","http://www.dmu.ac.uk")</f>
        <v>http://www.dmu.ac.uk</v>
      </c>
      <c r="AA495" s="8" t="str">
        <f>HYPERLINK("http://www.dmu.ac.uk/documents/research-documents/research-support/doramandaterevisedmarch13.docx","http://www.dmu.ac.uk/documents/research-documents/research-support/doramandaterevisedmarch13.docx")</f>
        <v>http://www.dmu.ac.uk/documents/research-documents/research-support/doramandaterevisedmarch13.docx</v>
      </c>
      <c r="AB495" s="8" t="str">
        <f>HYPERLINK("https://www.dora.dmu.ac.uk/","https://www.dora.dmu.ac.uk/")</f>
        <v>https://www.dora.dmu.ac.uk/</v>
      </c>
      <c r="AC495" s="3">
        <v>2008</v>
      </c>
      <c r="AE495" s="3">
        <v>41365</v>
      </c>
      <c r="AF495" s="3" t="s">
        <v>244</v>
      </c>
      <c r="AG495" s="3" t="s">
        <v>178</v>
      </c>
      <c r="AH495" s="3" t="s">
        <v>180</v>
      </c>
      <c r="AI495" s="3" t="s">
        <v>392</v>
      </c>
      <c r="AJ495" s="3" t="s">
        <v>244</v>
      </c>
      <c r="AK495" s="3" t="s">
        <v>244</v>
      </c>
      <c r="AL495" s="3" t="s">
        <v>244</v>
      </c>
      <c r="AM495" s="3" t="s">
        <v>247</v>
      </c>
      <c r="AN495" s="3" t="s">
        <v>244</v>
      </c>
      <c r="AO495" s="3" t="s">
        <v>247</v>
      </c>
      <c r="AP495" s="3" t="s">
        <v>244</v>
      </c>
      <c r="AQ495" s="3" t="s">
        <v>247</v>
      </c>
      <c r="AR495" s="3" t="s">
        <v>288</v>
      </c>
      <c r="AS495" s="3" t="s">
        <v>288</v>
      </c>
      <c r="AT495" s="3" t="s">
        <v>244</v>
      </c>
      <c r="AU495" s="3" t="s">
        <v>244</v>
      </c>
      <c r="AV495" s="3" t="s">
        <v>288</v>
      </c>
      <c r="AW495" s="3" t="s">
        <v>339</v>
      </c>
      <c r="AX495" s="3" t="s">
        <v>244</v>
      </c>
      <c r="AY495" s="3" t="s">
        <v>247</v>
      </c>
    </row>
    <row r="496" spans="1:52" ht="15.75" customHeight="1">
      <c r="A496" s="3">
        <v>356</v>
      </c>
      <c r="B496" s="5" t="str">
        <f t="shared" si="0"/>
        <v>http://roarmap.eprints.org/356/</v>
      </c>
      <c r="C496" s="3">
        <v>3</v>
      </c>
      <c r="D496" s="3" t="s">
        <v>98</v>
      </c>
      <c r="E496" s="3">
        <v>1</v>
      </c>
      <c r="F496" s="3" t="s">
        <v>1918</v>
      </c>
      <c r="G496" s="3">
        <v>41988.923854166664</v>
      </c>
      <c r="H496" s="3">
        <v>41988.923854166664</v>
      </c>
      <c r="I496" s="3">
        <v>41988.923854166664</v>
      </c>
      <c r="J496" s="3" t="s">
        <v>103</v>
      </c>
      <c r="K496" s="3" t="s">
        <v>105</v>
      </c>
      <c r="L496" s="3" t="s">
        <v>1919</v>
      </c>
      <c r="M496" s="3" t="s">
        <v>374</v>
      </c>
      <c r="N496" s="3" t="s">
        <v>1920</v>
      </c>
      <c r="P496" s="3" t="s">
        <v>215</v>
      </c>
      <c r="Q496" t="str">
        <f t="shared" si="30"/>
        <v>http://roarmap.eprints.org/view/country/826.html</v>
      </c>
      <c r="R496" s="3">
        <v>826</v>
      </c>
      <c r="S496" s="6" t="s">
        <v>349</v>
      </c>
      <c r="T496" s="9">
        <v>826</v>
      </c>
      <c r="U496" s="7" t="s">
        <v>123</v>
      </c>
      <c r="V496" s="6" t="s">
        <v>125</v>
      </c>
      <c r="W496" s="3" t="s">
        <v>158</v>
      </c>
      <c r="X496" s="3" t="s">
        <v>376</v>
      </c>
      <c r="Y496" s="3" t="s">
        <v>1919</v>
      </c>
      <c r="Z496" s="8" t="str">
        <f>HYPERLINK("https://www.gov.uk/government/organisations/department-of-health","https://www.gov.uk/government/organisations/department-of-health")</f>
        <v>https://www.gov.uk/government/organisations/department-of-health</v>
      </c>
      <c r="AA496" s="3" t="s">
        <v>1921</v>
      </c>
      <c r="AB496" s="8" t="str">
        <f>HYPERLINK("http://europepmc.org/","http://europepmc.org/")</f>
        <v>http://europepmc.org/</v>
      </c>
      <c r="AC496" s="3">
        <v>39089</v>
      </c>
      <c r="AD496" s="3">
        <v>39173</v>
      </c>
      <c r="AE496" s="3">
        <v>41730</v>
      </c>
      <c r="AF496" s="3" t="s">
        <v>177</v>
      </c>
      <c r="AG496" s="3" t="s">
        <v>178</v>
      </c>
      <c r="AH496" s="3" t="s">
        <v>463</v>
      </c>
      <c r="AI496" s="3" t="s">
        <v>392</v>
      </c>
      <c r="AJ496" s="3" t="s">
        <v>182</v>
      </c>
      <c r="AK496" s="3" t="s">
        <v>393</v>
      </c>
      <c r="AL496" s="3" t="s">
        <v>189</v>
      </c>
      <c r="AM496" s="3" t="s">
        <v>178</v>
      </c>
      <c r="AN496" s="3" t="s">
        <v>244</v>
      </c>
      <c r="AO496" s="3" t="s">
        <v>378</v>
      </c>
      <c r="AP496" s="3" t="s">
        <v>185</v>
      </c>
      <c r="AQ496" s="3" t="s">
        <v>386</v>
      </c>
      <c r="AR496" s="3" t="s">
        <v>288</v>
      </c>
      <c r="AS496" s="3" t="s">
        <v>288</v>
      </c>
      <c r="AT496" s="3" t="s">
        <v>379</v>
      </c>
      <c r="AU496" s="3" t="s">
        <v>244</v>
      </c>
      <c r="AV496" s="3" t="s">
        <v>288</v>
      </c>
      <c r="AW496" s="3" t="s">
        <v>520</v>
      </c>
      <c r="AX496" s="3" t="s">
        <v>341</v>
      </c>
      <c r="AY496" s="3" t="s">
        <v>198</v>
      </c>
    </row>
    <row r="497" spans="1:52" ht="15.75" customHeight="1">
      <c r="A497" s="3">
        <v>729</v>
      </c>
      <c r="B497" s="5" t="str">
        <f t="shared" si="0"/>
        <v>http://roarmap.eprints.org/729/</v>
      </c>
      <c r="C497" s="3">
        <v>5</v>
      </c>
      <c r="D497" s="3" t="s">
        <v>98</v>
      </c>
      <c r="E497" s="3">
        <v>65</v>
      </c>
      <c r="F497" s="3" t="s">
        <v>1922</v>
      </c>
      <c r="G497" s="3">
        <v>42103.62568287037</v>
      </c>
      <c r="H497" s="3">
        <v>42103.62568287037</v>
      </c>
      <c r="I497" s="3">
        <v>42103.62568287037</v>
      </c>
      <c r="J497" s="3" t="s">
        <v>103</v>
      </c>
      <c r="K497" s="3" t="s">
        <v>105</v>
      </c>
      <c r="L497" s="3" t="s">
        <v>1923</v>
      </c>
      <c r="N497" s="3" t="s">
        <v>1924</v>
      </c>
      <c r="P497" s="3" t="s">
        <v>215</v>
      </c>
      <c r="Q497" t="str">
        <f t="shared" si="30"/>
        <v>http://roarmap.eprints.org/view/country/826.html</v>
      </c>
      <c r="R497" s="3">
        <v>826</v>
      </c>
      <c r="S497" s="6" t="s">
        <v>349</v>
      </c>
      <c r="T497" s="9">
        <v>826</v>
      </c>
      <c r="U497" s="7" t="s">
        <v>123</v>
      </c>
      <c r="V497" s="6" t="s">
        <v>125</v>
      </c>
      <c r="W497" s="3" t="s">
        <v>158</v>
      </c>
      <c r="X497" s="3" t="s">
        <v>376</v>
      </c>
      <c r="Y497" s="3" t="s">
        <v>1923</v>
      </c>
      <c r="Z497" s="8" t="str">
        <f>HYPERLINK("http://www.diabetes.org.uk/","http://www.diabetes.org.uk/")</f>
        <v>http://www.diabetes.org.uk/</v>
      </c>
      <c r="AA497" s="8" t="str">
        <f>HYPERLINK("http://www.diabetes.org.uk/Research/For-researchers/Apply-for-a-grant/Grant-conditions/","http://www.diabetes.org.uk/Research/For-researchers/Apply-for-a-grant/Grant-conditions/")</f>
        <v>http://www.diabetes.org.uk/Research/For-researchers/Apply-for-a-grant/Grant-conditions/</v>
      </c>
      <c r="AC497" s="3">
        <v>41791</v>
      </c>
      <c r="AD497" s="3">
        <v>41791</v>
      </c>
      <c r="AE497" s="3">
        <v>41944</v>
      </c>
      <c r="AF497" s="3" t="s">
        <v>177</v>
      </c>
      <c r="AG497" s="3" t="s">
        <v>178</v>
      </c>
      <c r="AH497" s="3" t="s">
        <v>463</v>
      </c>
      <c r="AI497" s="3" t="s">
        <v>377</v>
      </c>
      <c r="AJ497" s="3" t="s">
        <v>182</v>
      </c>
      <c r="AK497" s="3" t="s">
        <v>393</v>
      </c>
      <c r="AL497" s="3" t="s">
        <v>185</v>
      </c>
      <c r="AM497" s="3" t="s">
        <v>178</v>
      </c>
      <c r="AN497" s="3" t="s">
        <v>185</v>
      </c>
      <c r="AO497" s="3" t="s">
        <v>378</v>
      </c>
      <c r="AP497" s="3" t="s">
        <v>244</v>
      </c>
      <c r="AQ497" s="3" t="s">
        <v>247</v>
      </c>
      <c r="AR497" s="3" t="s">
        <v>244</v>
      </c>
      <c r="AS497" s="3" t="s">
        <v>244</v>
      </c>
      <c r="AT497" s="3" t="s">
        <v>379</v>
      </c>
      <c r="AU497" s="3" t="s">
        <v>244</v>
      </c>
      <c r="AV497" s="3" t="s">
        <v>189</v>
      </c>
      <c r="AW497" s="3" t="s">
        <v>244</v>
      </c>
      <c r="AX497" s="3" t="s">
        <v>341</v>
      </c>
      <c r="AY497" s="3" t="s">
        <v>371</v>
      </c>
    </row>
    <row r="498" spans="1:52" ht="15.75" customHeight="1">
      <c r="A498" s="3">
        <v>358</v>
      </c>
      <c r="B498" s="5" t="str">
        <f t="shared" si="0"/>
        <v>http://roarmap.eprints.org/358/</v>
      </c>
      <c r="C498" s="3">
        <v>6</v>
      </c>
      <c r="D498" s="3" t="s">
        <v>98</v>
      </c>
      <c r="E498" s="3">
        <v>301</v>
      </c>
      <c r="F498" s="3" t="s">
        <v>1925</v>
      </c>
      <c r="G498" s="3">
        <v>41988.92386574074</v>
      </c>
      <c r="H498" s="3">
        <v>42046.981712962966</v>
      </c>
      <c r="I498" s="3">
        <v>41988.92386574074</v>
      </c>
      <c r="J498" s="3" t="s">
        <v>103</v>
      </c>
      <c r="K498" s="3" t="s">
        <v>105</v>
      </c>
      <c r="L498" s="3" t="s">
        <v>1926</v>
      </c>
      <c r="M498" s="3" t="s">
        <v>374</v>
      </c>
      <c r="O498" s="3" t="s">
        <v>1927</v>
      </c>
      <c r="P498" s="3" t="s">
        <v>215</v>
      </c>
      <c r="Q498" t="str">
        <f t="shared" si="30"/>
        <v>http://roarmap.eprints.org/view/country/826.html</v>
      </c>
      <c r="R498" s="3">
        <v>826</v>
      </c>
      <c r="S498" s="6" t="s">
        <v>349</v>
      </c>
      <c r="T498" s="9">
        <v>826</v>
      </c>
      <c r="U498" s="7" t="s">
        <v>123</v>
      </c>
      <c r="V498" s="6" t="s">
        <v>125</v>
      </c>
      <c r="W498" s="3" t="s">
        <v>158</v>
      </c>
      <c r="X498" s="3" t="s">
        <v>160</v>
      </c>
      <c r="Y498" s="3" t="s">
        <v>1926</v>
      </c>
      <c r="Z498" s="8" t="str">
        <f>HYPERLINK("https://www.dur.ac.uk/","https://www.dur.ac.uk/")</f>
        <v>https://www.dur.ac.uk/</v>
      </c>
      <c r="AA498" s="8" t="str">
        <f>HYPERLINK("http://dro.dur.ac.uk/du_oa_policy_summary.pdf","http://dro.dur.ac.uk/du_oa_policy_summary.pdf")</f>
        <v>http://dro.dur.ac.uk/du_oa_policy_summary.pdf</v>
      </c>
      <c r="AB498" s="8" t="str">
        <f>HYPERLINK("http://dro.dur.ac.uk/","http://dro.dur.ac.uk/")</f>
        <v>http://dro.dur.ac.uk/</v>
      </c>
      <c r="AC498" s="3">
        <v>41338</v>
      </c>
      <c r="AD498" s="3">
        <v>41365</v>
      </c>
      <c r="AE498" s="3">
        <v>41760</v>
      </c>
      <c r="AF498" s="3" t="s">
        <v>177</v>
      </c>
      <c r="AG498" s="3" t="s">
        <v>178</v>
      </c>
      <c r="AH498" s="3" t="s">
        <v>180</v>
      </c>
      <c r="AI498" s="3" t="s">
        <v>371</v>
      </c>
      <c r="AJ498" s="3" t="s">
        <v>182</v>
      </c>
      <c r="AK498" s="3" t="s">
        <v>393</v>
      </c>
      <c r="AL498" s="3" t="s">
        <v>244</v>
      </c>
      <c r="AM498" s="3" t="s">
        <v>178</v>
      </c>
      <c r="AN498" s="3" t="s">
        <v>244</v>
      </c>
      <c r="AO498" s="3" t="s">
        <v>181</v>
      </c>
      <c r="AP498" s="3" t="s">
        <v>189</v>
      </c>
      <c r="AQ498" s="3" t="s">
        <v>247</v>
      </c>
      <c r="AR498" s="3" t="s">
        <v>244</v>
      </c>
      <c r="AS498" s="3" t="s">
        <v>244</v>
      </c>
      <c r="AT498" s="3" t="s">
        <v>379</v>
      </c>
      <c r="AU498" s="3" t="s">
        <v>379</v>
      </c>
      <c r="AV498" s="3" t="s">
        <v>189</v>
      </c>
      <c r="AW498" s="3" t="s">
        <v>371</v>
      </c>
      <c r="AX498" s="3" t="s">
        <v>442</v>
      </c>
      <c r="AY498" s="3" t="s">
        <v>521</v>
      </c>
    </row>
    <row r="499" spans="1:52" ht="15.75" customHeight="1">
      <c r="A499" s="3">
        <v>359</v>
      </c>
      <c r="B499" s="5" t="str">
        <f t="shared" si="0"/>
        <v>http://roarmap.eprints.org/359/</v>
      </c>
      <c r="C499" s="3">
        <v>3</v>
      </c>
      <c r="D499" s="3" t="s">
        <v>98</v>
      </c>
      <c r="E499" s="3">
        <v>1</v>
      </c>
      <c r="F499" s="3" t="s">
        <v>1928</v>
      </c>
      <c r="G499" s="3">
        <v>41988.92386574074</v>
      </c>
      <c r="H499" s="3">
        <v>41988.92386574074</v>
      </c>
      <c r="I499" s="3">
        <v>41988.92386574074</v>
      </c>
      <c r="J499" s="3" t="s">
        <v>103</v>
      </c>
      <c r="K499" s="3" t="s">
        <v>105</v>
      </c>
      <c r="L499" s="3" t="s">
        <v>1929</v>
      </c>
      <c r="M499" s="3" t="s">
        <v>374</v>
      </c>
      <c r="N499" s="3" t="s">
        <v>1869</v>
      </c>
      <c r="P499" s="3" t="s">
        <v>215</v>
      </c>
      <c r="Q499" t="str">
        <f t="shared" si="30"/>
        <v>http://roarmap.eprints.org/view/country/826.html</v>
      </c>
      <c r="R499" s="3">
        <v>826</v>
      </c>
      <c r="S499" s="6" t="s">
        <v>349</v>
      </c>
      <c r="T499" s="9">
        <v>826</v>
      </c>
      <c r="U499" s="7" t="s">
        <v>123</v>
      </c>
      <c r="V499" s="6" t="s">
        <v>125</v>
      </c>
      <c r="W499" s="3" t="s">
        <v>158</v>
      </c>
      <c r="X499" s="3" t="s">
        <v>376</v>
      </c>
      <c r="Y499" s="3" t="s">
        <v>1929</v>
      </c>
      <c r="Z499" s="8" t="str">
        <f>HYPERLINK("http://www.esrc.ac.uk/","http://www.esrc.ac.uk/")</f>
        <v>http://www.esrc.ac.uk/</v>
      </c>
      <c r="AA499" s="3" t="s">
        <v>1930</v>
      </c>
      <c r="AB499" s="8" t="str">
        <f>HYPERLINK("http://www.esrc.ac.uk/research/research-catalogue/index.aspx","http://www.esrc.ac.uk/research/research-catalogue/index.aspx")</f>
        <v>http://www.esrc.ac.uk/research/research-catalogue/index.aspx</v>
      </c>
      <c r="AC499" s="3">
        <v>38921</v>
      </c>
      <c r="AD499" s="3">
        <v>38991</v>
      </c>
      <c r="AE499" s="3">
        <v>41365</v>
      </c>
      <c r="AF499" s="3" t="s">
        <v>177</v>
      </c>
      <c r="AG499" s="3" t="s">
        <v>178</v>
      </c>
      <c r="AH499" s="3" t="s">
        <v>370</v>
      </c>
      <c r="AI499" s="3" t="s">
        <v>377</v>
      </c>
      <c r="AJ499" s="3" t="s">
        <v>182</v>
      </c>
      <c r="AK499" s="3" t="s">
        <v>393</v>
      </c>
      <c r="AL499" s="3" t="s">
        <v>185</v>
      </c>
      <c r="AM499" s="3" t="s">
        <v>178</v>
      </c>
      <c r="AN499" s="3" t="s">
        <v>244</v>
      </c>
      <c r="AO499" s="3" t="s">
        <v>378</v>
      </c>
      <c r="AP499" s="3" t="s">
        <v>185</v>
      </c>
      <c r="AQ499" s="3" t="s">
        <v>386</v>
      </c>
      <c r="AR499" s="3" t="s">
        <v>288</v>
      </c>
      <c r="AS499" s="3" t="s">
        <v>288</v>
      </c>
      <c r="AT499" s="3" t="s">
        <v>379</v>
      </c>
      <c r="AU499" s="3" t="s">
        <v>395</v>
      </c>
      <c r="AV499" s="3" t="s">
        <v>185</v>
      </c>
      <c r="AW499" s="3" t="s">
        <v>520</v>
      </c>
      <c r="AX499" s="3" t="s">
        <v>341</v>
      </c>
      <c r="AY499" s="3" t="s">
        <v>521</v>
      </c>
    </row>
    <row r="500" spans="1:52" ht="15.75" customHeight="1">
      <c r="A500" s="3">
        <v>360</v>
      </c>
      <c r="B500" s="5" t="str">
        <f t="shared" si="0"/>
        <v>http://roarmap.eprints.org/360/</v>
      </c>
      <c r="C500" s="3">
        <v>3</v>
      </c>
      <c r="D500" s="3" t="s">
        <v>98</v>
      </c>
      <c r="E500" s="3">
        <v>1</v>
      </c>
      <c r="F500" s="3" t="s">
        <v>1931</v>
      </c>
      <c r="G500" s="3">
        <v>41988.92386574074</v>
      </c>
      <c r="H500" s="3">
        <v>41988.92386574074</v>
      </c>
      <c r="I500" s="3">
        <v>41988.92386574074</v>
      </c>
      <c r="J500" s="3" t="s">
        <v>103</v>
      </c>
      <c r="K500" s="3" t="s">
        <v>105</v>
      </c>
      <c r="L500" s="3" t="s">
        <v>1932</v>
      </c>
      <c r="M500" s="3" t="s">
        <v>374</v>
      </c>
      <c r="N500" s="3" t="s">
        <v>1869</v>
      </c>
      <c r="P500" s="3" t="s">
        <v>215</v>
      </c>
      <c r="Q500" t="str">
        <f t="shared" si="30"/>
        <v>http://roarmap.eprints.org/view/country/826.html</v>
      </c>
      <c r="R500" s="3">
        <v>826</v>
      </c>
      <c r="S500" s="6" t="s">
        <v>349</v>
      </c>
      <c r="T500" s="9">
        <v>826</v>
      </c>
      <c r="U500" s="7" t="s">
        <v>123</v>
      </c>
      <c r="V500" s="6" t="s">
        <v>125</v>
      </c>
      <c r="W500" s="3" t="s">
        <v>158</v>
      </c>
      <c r="X500" s="3" t="s">
        <v>376</v>
      </c>
      <c r="Y500" s="3" t="s">
        <v>1932</v>
      </c>
      <c r="Z500" s="8" t="str">
        <f>HYPERLINK("http://www.epsrc.ac.uk/Pages/default.aspx","http://www.epsrc.ac.uk/Pages/default.aspx")</f>
        <v>http://www.epsrc.ac.uk/Pages/default.aspx</v>
      </c>
      <c r="AA500" s="3" t="s">
        <v>1933</v>
      </c>
      <c r="AC500" s="3">
        <v>40815</v>
      </c>
      <c r="AD500" s="3">
        <v>40787</v>
      </c>
      <c r="AE500" s="3">
        <v>41365</v>
      </c>
      <c r="AF500" s="3" t="s">
        <v>177</v>
      </c>
      <c r="AG500" s="3" t="s">
        <v>178</v>
      </c>
      <c r="AH500" s="3" t="s">
        <v>370</v>
      </c>
      <c r="AI500" s="3" t="s">
        <v>377</v>
      </c>
      <c r="AJ500" s="3" t="s">
        <v>182</v>
      </c>
      <c r="AK500" s="3" t="s">
        <v>393</v>
      </c>
      <c r="AL500" s="3" t="s">
        <v>185</v>
      </c>
      <c r="AM500" s="3" t="s">
        <v>178</v>
      </c>
      <c r="AN500" s="3" t="s">
        <v>244</v>
      </c>
      <c r="AO500" s="3" t="s">
        <v>378</v>
      </c>
      <c r="AP500" s="3" t="s">
        <v>185</v>
      </c>
      <c r="AQ500" s="3" t="s">
        <v>386</v>
      </c>
      <c r="AR500" s="3" t="s">
        <v>288</v>
      </c>
      <c r="AS500" s="3" t="s">
        <v>288</v>
      </c>
      <c r="AT500" s="3" t="s">
        <v>379</v>
      </c>
      <c r="AU500" s="3" t="s">
        <v>395</v>
      </c>
      <c r="AV500" s="3" t="s">
        <v>185</v>
      </c>
      <c r="AW500" s="3" t="s">
        <v>520</v>
      </c>
      <c r="AX500" s="3" t="s">
        <v>341</v>
      </c>
      <c r="AY500" s="3" t="s">
        <v>521</v>
      </c>
    </row>
    <row r="501" spans="1:52" ht="15.75" customHeight="1">
      <c r="A501" s="3">
        <v>361</v>
      </c>
      <c r="B501" s="5" t="str">
        <f t="shared" si="0"/>
        <v>http://roarmap.eprints.org/361/</v>
      </c>
      <c r="C501" s="3">
        <v>5</v>
      </c>
      <c r="D501" s="3" t="s">
        <v>98</v>
      </c>
      <c r="E501" s="3">
        <v>1</v>
      </c>
      <c r="F501" s="3" t="s">
        <v>1934</v>
      </c>
      <c r="G501" s="3">
        <v>41988.92386574074</v>
      </c>
      <c r="H501" s="3">
        <v>42066.886064814818</v>
      </c>
      <c r="I501" s="3">
        <v>41988.92386574074</v>
      </c>
      <c r="J501" s="3" t="s">
        <v>103</v>
      </c>
      <c r="K501" s="3" t="s">
        <v>105</v>
      </c>
      <c r="L501" s="3" t="s">
        <v>1935</v>
      </c>
      <c r="M501" s="3" t="s">
        <v>374</v>
      </c>
      <c r="N501" s="3" t="s">
        <v>1936</v>
      </c>
      <c r="O501" s="3" t="s">
        <v>1937</v>
      </c>
      <c r="P501" s="3" t="s">
        <v>1875</v>
      </c>
      <c r="Q501" t="str">
        <f t="shared" si="30"/>
        <v>http://roarmap.eprints.org/view/country/826.html</v>
      </c>
      <c r="R501" s="3">
        <v>826</v>
      </c>
      <c r="S501" s="6" t="s">
        <v>349</v>
      </c>
      <c r="T501" s="9">
        <v>826</v>
      </c>
      <c r="U501" s="7" t="s">
        <v>123</v>
      </c>
      <c r="V501" s="6" t="s">
        <v>125</v>
      </c>
      <c r="W501" s="3" t="s">
        <v>158</v>
      </c>
      <c r="X501" s="3" t="s">
        <v>160</v>
      </c>
      <c r="Y501" s="3" t="s">
        <v>1935</v>
      </c>
      <c r="Z501" s="8" t="str">
        <f>HYPERLINK("http://www.falmouth.ac.uk/","http://www.falmouth.ac.uk/")</f>
        <v>http://www.falmouth.ac.uk/</v>
      </c>
      <c r="AA501" s="8" t="str">
        <f>HYPERLINK("http://www.falmouth.ac.uk/repository/policies","http://www.falmouth.ac.uk/repository/policies")</f>
        <v>http://www.falmouth.ac.uk/repository/policies</v>
      </c>
      <c r="AC501" s="3">
        <v>41845</v>
      </c>
      <c r="AD501" s="3">
        <v>41970</v>
      </c>
      <c r="AF501" s="3" t="s">
        <v>244</v>
      </c>
      <c r="AG501" s="3" t="s">
        <v>178</v>
      </c>
      <c r="AH501" s="3" t="s">
        <v>180</v>
      </c>
      <c r="AI501" s="3" t="s">
        <v>181</v>
      </c>
      <c r="AJ501" s="3" t="s">
        <v>371</v>
      </c>
      <c r="AK501" s="3" t="s">
        <v>371</v>
      </c>
      <c r="AL501" s="3" t="s">
        <v>189</v>
      </c>
      <c r="AM501" s="3" t="s">
        <v>479</v>
      </c>
      <c r="AN501" s="3" t="s">
        <v>189</v>
      </c>
      <c r="AO501" s="3" t="s">
        <v>378</v>
      </c>
      <c r="AP501" s="3" t="s">
        <v>244</v>
      </c>
      <c r="AQ501" s="3" t="s">
        <v>247</v>
      </c>
      <c r="AR501" s="3" t="s">
        <v>288</v>
      </c>
      <c r="AS501" s="3" t="s">
        <v>189</v>
      </c>
      <c r="AT501" s="3" t="s">
        <v>244</v>
      </c>
      <c r="AU501" s="3" t="s">
        <v>244</v>
      </c>
      <c r="AV501" s="3" t="s">
        <v>288</v>
      </c>
      <c r="AW501" s="3" t="s">
        <v>339</v>
      </c>
      <c r="AX501" s="3" t="s">
        <v>244</v>
      </c>
      <c r="AY501" s="3" t="s">
        <v>247</v>
      </c>
    </row>
    <row r="502" spans="1:52" ht="15.75" customHeight="1">
      <c r="A502" s="3">
        <v>362</v>
      </c>
      <c r="B502" s="5" t="str">
        <f t="shared" si="0"/>
        <v>http://roarmap.eprints.org/362/</v>
      </c>
      <c r="C502" s="3">
        <v>3</v>
      </c>
      <c r="D502" s="3" t="s">
        <v>98</v>
      </c>
      <c r="E502" s="3">
        <v>1</v>
      </c>
      <c r="F502" s="3" t="s">
        <v>1938</v>
      </c>
      <c r="G502" s="3">
        <v>41988.92386574074</v>
      </c>
      <c r="H502" s="3">
        <v>41988.92386574074</v>
      </c>
      <c r="I502" s="3">
        <v>41988.92386574074</v>
      </c>
      <c r="J502" s="3" t="s">
        <v>103</v>
      </c>
      <c r="K502" s="3" t="s">
        <v>105</v>
      </c>
      <c r="L502" s="3" t="s">
        <v>1939</v>
      </c>
      <c r="M502" s="3" t="s">
        <v>374</v>
      </c>
      <c r="P502" s="3" t="s">
        <v>215</v>
      </c>
      <c r="Q502" t="str">
        <f t="shared" si="30"/>
        <v>http://roarmap.eprints.org/view/country/826.html</v>
      </c>
      <c r="R502" s="3">
        <v>826</v>
      </c>
      <c r="S502" s="6" t="s">
        <v>349</v>
      </c>
      <c r="T502" s="9">
        <v>826</v>
      </c>
      <c r="U502" s="7" t="s">
        <v>123</v>
      </c>
      <c r="V502" s="6" t="s">
        <v>125</v>
      </c>
      <c r="W502" s="3" t="s">
        <v>158</v>
      </c>
      <c r="X502" s="3" t="s">
        <v>376</v>
      </c>
      <c r="Y502" s="3" t="s">
        <v>1939</v>
      </c>
      <c r="Z502" s="8" t="str">
        <f>HYPERLINK("http://www.hefce.ac.uk/","http://www.hefce.ac.uk/")</f>
        <v>http://www.hefce.ac.uk/</v>
      </c>
      <c r="AA502" s="8" t="str">
        <f>HYPERLINK("https://www.hefce.ac.uk/pubs/year/2014/201407/name,86771,en.html","https://www.hefce.ac.uk/pubs/year/2014/201407/name,86771,en.html")</f>
        <v>https://www.hefce.ac.uk/pubs/year/2014/201407/name,86771,en.html</v>
      </c>
      <c r="AC502" s="3">
        <v>41726</v>
      </c>
      <c r="AD502" s="3">
        <v>42461</v>
      </c>
      <c r="AF502" s="3" t="s">
        <v>177</v>
      </c>
      <c r="AG502" s="3" t="s">
        <v>178</v>
      </c>
      <c r="AH502" s="3" t="s">
        <v>370</v>
      </c>
      <c r="AI502" s="3" t="s">
        <v>187</v>
      </c>
      <c r="AJ502" s="3" t="s">
        <v>182</v>
      </c>
      <c r="AK502" s="3" t="s">
        <v>393</v>
      </c>
      <c r="AL502" s="3" t="s">
        <v>185</v>
      </c>
      <c r="AM502" s="3" t="s">
        <v>178</v>
      </c>
      <c r="AN502" s="3" t="s">
        <v>189</v>
      </c>
      <c r="AO502" s="3" t="s">
        <v>378</v>
      </c>
      <c r="AP502" s="3" t="s">
        <v>189</v>
      </c>
      <c r="AQ502" s="3" t="s">
        <v>386</v>
      </c>
      <c r="AR502" s="3" t="s">
        <v>288</v>
      </c>
      <c r="AS502" s="3" t="s">
        <v>288</v>
      </c>
      <c r="AT502" s="3" t="s">
        <v>395</v>
      </c>
      <c r="AU502" s="3" t="s">
        <v>459</v>
      </c>
      <c r="AV502" s="3" t="s">
        <v>288</v>
      </c>
      <c r="AW502" s="3" t="s">
        <v>339</v>
      </c>
      <c r="AX502" s="3" t="s">
        <v>244</v>
      </c>
      <c r="AY502" s="3" t="s">
        <v>247</v>
      </c>
    </row>
    <row r="503" spans="1:52" ht="15.75" customHeight="1">
      <c r="A503" s="3">
        <v>363</v>
      </c>
      <c r="B503" s="5" t="str">
        <f t="shared" si="0"/>
        <v>http://roarmap.eprints.org/363/</v>
      </c>
      <c r="C503" s="3">
        <v>3</v>
      </c>
      <c r="D503" s="3" t="s">
        <v>98</v>
      </c>
      <c r="E503" s="3">
        <v>1</v>
      </c>
      <c r="F503" s="3" t="s">
        <v>1940</v>
      </c>
      <c r="G503" s="3">
        <v>41988.92386574074</v>
      </c>
      <c r="H503" s="3">
        <v>41988.92386574074</v>
      </c>
      <c r="I503" s="3">
        <v>41988.92386574074</v>
      </c>
      <c r="J503" s="3" t="s">
        <v>103</v>
      </c>
      <c r="K503" s="3" t="s">
        <v>105</v>
      </c>
      <c r="L503" s="3" t="s">
        <v>1941</v>
      </c>
      <c r="M503" s="3" t="s">
        <v>637</v>
      </c>
      <c r="P503" s="3" t="s">
        <v>215</v>
      </c>
      <c r="Q503" t="str">
        <f t="shared" si="30"/>
        <v>http://roarmap.eprints.org/view/country/826.html</v>
      </c>
      <c r="R503" s="3">
        <v>826</v>
      </c>
      <c r="S503" s="6" t="s">
        <v>349</v>
      </c>
      <c r="T503" s="9">
        <v>826</v>
      </c>
      <c r="U503" s="7" t="s">
        <v>123</v>
      </c>
      <c r="V503" s="6" t="s">
        <v>125</v>
      </c>
      <c r="W503" s="3" t="s">
        <v>158</v>
      </c>
      <c r="X503" s="3" t="s">
        <v>160</v>
      </c>
      <c r="Y503" s="3" t="s">
        <v>1941</v>
      </c>
      <c r="Z503" s="8" t="str">
        <f>HYPERLINK("http://www3.imperial.ac.uk/","http://www3.imperial.ac.uk/")</f>
        <v>http://www3.imperial.ac.uk/</v>
      </c>
      <c r="AA503" s="8" t="str">
        <f>HYPERLINK("http://www3.imperial.ac.uk/library/subjectsandsupport/spiral/oamandate","http://www3.imperial.ac.uk/library/subjectsandsupport/spiral/oamandate")</f>
        <v>http://www3.imperial.ac.uk/library/subjectsandsupport/spiral/oamandate</v>
      </c>
      <c r="AB503" s="8" t="str">
        <f>HYPERLINK("http://www3.imperial.ac.uk/library/subjectsandsupport/spiral","http://www3.imperial.ac.uk/library/subjectsandsupport/spiral")</f>
        <v>http://www3.imperial.ac.uk/library/subjectsandsupport/spiral</v>
      </c>
      <c r="AD503" s="3">
        <v>40909</v>
      </c>
      <c r="AF503" s="3" t="s">
        <v>177</v>
      </c>
      <c r="AG503" s="3" t="s">
        <v>178</v>
      </c>
      <c r="AH503" s="3" t="s">
        <v>180</v>
      </c>
      <c r="AI503" s="3" t="s">
        <v>244</v>
      </c>
      <c r="AJ503" s="3" t="s">
        <v>182</v>
      </c>
      <c r="AK503" s="3" t="s">
        <v>393</v>
      </c>
      <c r="AL503" s="3" t="s">
        <v>244</v>
      </c>
      <c r="AM503" s="3" t="s">
        <v>178</v>
      </c>
      <c r="AN503" s="3" t="s">
        <v>244</v>
      </c>
      <c r="AO503" s="3" t="s">
        <v>181</v>
      </c>
      <c r="AP503" s="3" t="s">
        <v>185</v>
      </c>
      <c r="AQ503" s="3" t="s">
        <v>386</v>
      </c>
      <c r="AR503" s="3" t="s">
        <v>288</v>
      </c>
      <c r="AS503" s="3" t="s">
        <v>288</v>
      </c>
      <c r="AT503" s="3" t="s">
        <v>244</v>
      </c>
      <c r="AU503" s="3" t="s">
        <v>244</v>
      </c>
      <c r="AV503" s="3" t="s">
        <v>288</v>
      </c>
      <c r="AW503" s="3" t="s">
        <v>339</v>
      </c>
      <c r="AX503" s="3" t="s">
        <v>442</v>
      </c>
      <c r="AY503" s="3" t="s">
        <v>428</v>
      </c>
      <c r="AZ503" s="8" t="str">
        <f>HYPERLINK("http://www3.imperial.ac.uk/library/subjectsandsupport/openaccess/oafund","http://www3.imperial.ac.uk/library/subjectsandsupport/openaccess/oafund")</f>
        <v>http://www3.imperial.ac.uk/library/subjectsandsupport/openaccess/oafund</v>
      </c>
    </row>
    <row r="504" spans="1:52" ht="15.75" customHeight="1">
      <c r="A504" s="3">
        <v>364</v>
      </c>
      <c r="B504" s="5" t="str">
        <f t="shared" si="0"/>
        <v>http://roarmap.eprints.org/364/</v>
      </c>
      <c r="C504" s="3">
        <v>3</v>
      </c>
      <c r="D504" s="3" t="s">
        <v>98</v>
      </c>
      <c r="E504" s="3">
        <v>1</v>
      </c>
      <c r="F504" s="3" t="s">
        <v>1942</v>
      </c>
      <c r="G504" s="3">
        <v>41988.92386574074</v>
      </c>
      <c r="H504" s="3">
        <v>41988.92386574074</v>
      </c>
      <c r="I504" s="3">
        <v>41988.92386574074</v>
      </c>
      <c r="J504" s="3" t="s">
        <v>103</v>
      </c>
      <c r="K504" s="3" t="s">
        <v>105</v>
      </c>
      <c r="L504" s="3" t="s">
        <v>1875</v>
      </c>
      <c r="M504" s="3" t="s">
        <v>352</v>
      </c>
      <c r="N504" s="3" t="s">
        <v>1943</v>
      </c>
      <c r="P504" s="3" t="s">
        <v>215</v>
      </c>
      <c r="Q504" t="str">
        <f t="shared" si="30"/>
        <v>http://roarmap.eprints.org/view/country/826.html</v>
      </c>
      <c r="R504" s="3">
        <v>826</v>
      </c>
      <c r="S504" s="6" t="s">
        <v>349</v>
      </c>
      <c r="T504" s="9">
        <v>826</v>
      </c>
      <c r="U504" s="7" t="s">
        <v>123</v>
      </c>
      <c r="V504" s="6" t="s">
        <v>125</v>
      </c>
      <c r="W504" s="3" t="s">
        <v>158</v>
      </c>
      <c r="X504" s="3" t="s">
        <v>364</v>
      </c>
      <c r="Y504" s="3" t="s">
        <v>1875</v>
      </c>
      <c r="Z504" s="8" t="str">
        <f>HYPERLINK("http://www.jisc.ac.uk/","http://www.jisc.ac.uk/")</f>
        <v>http://www.jisc.ac.uk/</v>
      </c>
      <c r="AG504" s="3" t="s">
        <v>244</v>
      </c>
      <c r="AH504" s="3" t="s">
        <v>244</v>
      </c>
      <c r="AI504" s="3" t="s">
        <v>244</v>
      </c>
      <c r="AJ504" s="3" t="s">
        <v>244</v>
      </c>
      <c r="AK504" s="3" t="s">
        <v>244</v>
      </c>
      <c r="AL504" s="3" t="s">
        <v>244</v>
      </c>
      <c r="AM504" s="3" t="s">
        <v>247</v>
      </c>
      <c r="AN504" s="3" t="s">
        <v>244</v>
      </c>
      <c r="AO504" s="3" t="s">
        <v>247</v>
      </c>
      <c r="AP504" s="3" t="s">
        <v>244</v>
      </c>
      <c r="AQ504" s="3" t="s">
        <v>247</v>
      </c>
      <c r="AR504" s="3" t="s">
        <v>288</v>
      </c>
      <c r="AS504" s="3" t="s">
        <v>244</v>
      </c>
      <c r="AT504" s="3" t="s">
        <v>244</v>
      </c>
      <c r="AU504" s="3" t="s">
        <v>244</v>
      </c>
      <c r="AV504" s="3" t="s">
        <v>288</v>
      </c>
      <c r="AW504" s="3" t="s">
        <v>244</v>
      </c>
      <c r="AX504" s="3" t="s">
        <v>244</v>
      </c>
      <c r="AY504" s="3" t="s">
        <v>247</v>
      </c>
    </row>
    <row r="505" spans="1:52" ht="15.75" customHeight="1">
      <c r="A505" s="3">
        <v>690</v>
      </c>
      <c r="B505" s="5" t="str">
        <f t="shared" si="0"/>
        <v>http://roarmap.eprints.org/690/</v>
      </c>
      <c r="C505" s="3">
        <v>4</v>
      </c>
      <c r="D505" s="3" t="s">
        <v>98</v>
      </c>
      <c r="E505" s="3">
        <v>392</v>
      </c>
      <c r="F505" s="3" t="s">
        <v>1944</v>
      </c>
      <c r="G505" s="3">
        <v>42076.571099537039</v>
      </c>
      <c r="H505" s="3">
        <v>42076.571099537039</v>
      </c>
      <c r="I505" s="3">
        <v>42076.571099537039</v>
      </c>
      <c r="J505" s="3" t="s">
        <v>103</v>
      </c>
      <c r="K505" s="3" t="s">
        <v>105</v>
      </c>
      <c r="L505" s="3" t="s">
        <v>1945</v>
      </c>
      <c r="P505" s="3" t="s">
        <v>1903</v>
      </c>
      <c r="Q505" t="str">
        <f t="shared" si="30"/>
        <v>http://roarmap.eprints.org/view/country/826.html</v>
      </c>
      <c r="R505" s="3">
        <v>826</v>
      </c>
      <c r="S505" s="6" t="s">
        <v>349</v>
      </c>
      <c r="T505" s="9">
        <v>826</v>
      </c>
      <c r="U505" s="7" t="s">
        <v>123</v>
      </c>
      <c r="V505" s="6" t="s">
        <v>125</v>
      </c>
      <c r="W505" s="3" t="s">
        <v>158</v>
      </c>
      <c r="X505" s="3" t="s">
        <v>160</v>
      </c>
      <c r="Y505" s="3" t="s">
        <v>1945</v>
      </c>
      <c r="Z505" s="8" t="str">
        <f>HYPERLINK("http://www.kcl.ac.uk/index.aspx","http://www.kcl.ac.uk/index.aspx")</f>
        <v>http://www.kcl.ac.uk/index.aspx</v>
      </c>
      <c r="AA505" s="8" t="str">
        <f>HYPERLINK("http://www.kcl.ac.uk/college/policyzone/assets/files/information_policies/Kings_Open_Access_Policy.pdf","http://www.kcl.ac.uk/college/policyzone/assets/files/information_policies/Kings_Open_Access_Policy.pdf")</f>
        <v>http://www.kcl.ac.uk/college/policyzone/assets/files/information_policies/Kings_Open_Access_Policy.pdf</v>
      </c>
      <c r="AB505" s="8" t="str">
        <f>HYPERLINK("https://kclpure.kcl.ac.uk/portal/en/","https://kclpure.kcl.ac.uk/portal/en/")</f>
        <v>https://kclpure.kcl.ac.uk/portal/en/</v>
      </c>
      <c r="AC505" s="3">
        <v>41106</v>
      </c>
      <c r="AF505" s="3" t="s">
        <v>177</v>
      </c>
      <c r="AG505" s="3" t="s">
        <v>178</v>
      </c>
      <c r="AH505" s="3" t="s">
        <v>180</v>
      </c>
      <c r="AI505" s="3" t="s">
        <v>181</v>
      </c>
      <c r="AJ505" s="3" t="s">
        <v>182</v>
      </c>
      <c r="AK505" s="3" t="s">
        <v>244</v>
      </c>
      <c r="AL505" s="3" t="s">
        <v>244</v>
      </c>
      <c r="AM505" s="3" t="s">
        <v>178</v>
      </c>
      <c r="AN505" s="3" t="s">
        <v>244</v>
      </c>
      <c r="AO505" s="3" t="s">
        <v>181</v>
      </c>
      <c r="AP505" s="3" t="s">
        <v>189</v>
      </c>
      <c r="AQ505" s="3" t="s">
        <v>247</v>
      </c>
      <c r="AR505" s="3" t="s">
        <v>244</v>
      </c>
      <c r="AS505" s="3" t="s">
        <v>244</v>
      </c>
      <c r="AT505" s="3" t="s">
        <v>379</v>
      </c>
      <c r="AU505" s="3" t="s">
        <v>395</v>
      </c>
      <c r="AV505" s="3" t="s">
        <v>189</v>
      </c>
      <c r="AW505" s="3" t="s">
        <v>371</v>
      </c>
      <c r="AX505" s="3" t="s">
        <v>442</v>
      </c>
      <c r="AY505" s="3" t="s">
        <v>521</v>
      </c>
      <c r="AZ505" s="8" t="str">
        <f>HYPERLINK("http://www.kcl.ac.uk/library/researchsupport/openaccess/funding.aspx","http://www.kcl.ac.uk/library/researchsupport/openaccess/funding.aspx")</f>
        <v>http://www.kcl.ac.uk/library/researchsupport/openaccess/funding.aspx</v>
      </c>
    </row>
    <row r="506" spans="1:52" ht="15.75" customHeight="1">
      <c r="A506" s="3">
        <v>365</v>
      </c>
      <c r="B506" s="5" t="str">
        <f t="shared" si="0"/>
        <v>http://roarmap.eprints.org/365/</v>
      </c>
      <c r="C506" s="3">
        <v>7</v>
      </c>
      <c r="D506" s="3" t="s">
        <v>98</v>
      </c>
      <c r="E506" s="3">
        <v>1</v>
      </c>
      <c r="F506" s="3" t="s">
        <v>1946</v>
      </c>
      <c r="G506" s="3">
        <v>41988.92386574074</v>
      </c>
      <c r="H506" s="3">
        <v>42066.886319444442</v>
      </c>
      <c r="I506" s="3">
        <v>41988.92386574074</v>
      </c>
      <c r="J506" s="3" t="s">
        <v>103</v>
      </c>
      <c r="K506" s="3" t="s">
        <v>105</v>
      </c>
      <c r="L506" s="3" t="s">
        <v>1947</v>
      </c>
      <c r="M506" s="3" t="s">
        <v>374</v>
      </c>
      <c r="N506" s="3" t="s">
        <v>1948</v>
      </c>
      <c r="P506" s="3" t="s">
        <v>1875</v>
      </c>
      <c r="Q506" t="str">
        <f t="shared" si="30"/>
        <v>http://roarmap.eprints.org/view/country/826.html</v>
      </c>
      <c r="R506" s="3">
        <v>826</v>
      </c>
      <c r="S506" s="6" t="s">
        <v>349</v>
      </c>
      <c r="T506" s="9">
        <v>826</v>
      </c>
      <c r="U506" s="7" t="s">
        <v>123</v>
      </c>
      <c r="V506" s="6" t="s">
        <v>125</v>
      </c>
      <c r="W506" s="3" t="s">
        <v>158</v>
      </c>
      <c r="X506" s="3" t="s">
        <v>160</v>
      </c>
      <c r="Y506" s="3" t="s">
        <v>1947</v>
      </c>
      <c r="Z506" s="8" t="str">
        <f>HYPERLINK("http://www.lancaster.ac.uk/","http://www.lancaster.ac.uk/")</f>
        <v>http://www.lancaster.ac.uk/</v>
      </c>
      <c r="AA506" s="8" t="str">
        <f>HYPERLINK("http://lancaster.libguides.com/loader.php?type=d&amp;id=702037","http://lancaster.libguides.com/loader.php?type=d&amp;id=702037")</f>
        <v>http://lancaster.libguides.com/loader.php?type=d&amp;id=702037</v>
      </c>
      <c r="AB506" s="8" t="str">
        <f>HYPERLINK("http://eprints.lancs.ac.uk/","http://eprints.lancs.ac.uk/")</f>
        <v>http://eprints.lancs.ac.uk/</v>
      </c>
      <c r="AC506" s="3">
        <v>41275</v>
      </c>
      <c r="AF506" s="3" t="s">
        <v>177</v>
      </c>
      <c r="AG506" s="3" t="s">
        <v>178</v>
      </c>
      <c r="AH506" s="3" t="s">
        <v>180</v>
      </c>
      <c r="AI506" s="3" t="s">
        <v>377</v>
      </c>
      <c r="AJ506" s="3" t="s">
        <v>182</v>
      </c>
      <c r="AK506" s="3" t="s">
        <v>393</v>
      </c>
      <c r="AL506" s="3" t="s">
        <v>244</v>
      </c>
      <c r="AM506" s="3" t="s">
        <v>178</v>
      </c>
      <c r="AN506" s="3" t="s">
        <v>244</v>
      </c>
      <c r="AO506" s="3" t="s">
        <v>378</v>
      </c>
      <c r="AP506" s="3" t="s">
        <v>189</v>
      </c>
      <c r="AQ506" s="3" t="s">
        <v>247</v>
      </c>
      <c r="AR506" s="3" t="s">
        <v>288</v>
      </c>
      <c r="AS506" s="3" t="s">
        <v>185</v>
      </c>
      <c r="AT506" s="3" t="s">
        <v>379</v>
      </c>
      <c r="AU506" s="3" t="s">
        <v>395</v>
      </c>
      <c r="AV506" s="3" t="s">
        <v>288</v>
      </c>
      <c r="AW506" s="3" t="s">
        <v>244</v>
      </c>
      <c r="AX506" s="3" t="s">
        <v>442</v>
      </c>
      <c r="AY506" s="3" t="s">
        <v>428</v>
      </c>
      <c r="AZ506" s="8" t="str">
        <f>HYPERLINK("http://www.lancaster.ac.uk/library/open-access/funding/","http://www.lancaster.ac.uk/library/open-access/funding/")</f>
        <v>http://www.lancaster.ac.uk/library/open-access/funding/</v>
      </c>
    </row>
    <row r="507" spans="1:52" ht="15.75" customHeight="1">
      <c r="A507" s="3">
        <v>727</v>
      </c>
      <c r="B507" s="5" t="str">
        <f t="shared" si="0"/>
        <v>http://roarmap.eprints.org/727/</v>
      </c>
      <c r="C507" s="3">
        <v>4</v>
      </c>
      <c r="D507" s="3" t="s">
        <v>98</v>
      </c>
      <c r="E507" s="3">
        <v>65</v>
      </c>
      <c r="F507" s="3" t="s">
        <v>1949</v>
      </c>
      <c r="G507" s="3">
        <v>42103.606828703705</v>
      </c>
      <c r="H507" s="3">
        <v>42103.606828703705</v>
      </c>
      <c r="I507" s="3">
        <v>42103.606828703705</v>
      </c>
      <c r="J507" s="3" t="s">
        <v>103</v>
      </c>
      <c r="K507" s="3" t="s">
        <v>105</v>
      </c>
      <c r="L507" s="3" t="s">
        <v>1950</v>
      </c>
      <c r="P507" s="3" t="s">
        <v>215</v>
      </c>
      <c r="Q507" t="str">
        <f t="shared" si="30"/>
        <v>http://roarmap.eprints.org/view/country/826.html</v>
      </c>
      <c r="R507" s="3">
        <v>826</v>
      </c>
      <c r="S507" s="6" t="s">
        <v>349</v>
      </c>
      <c r="T507" s="9">
        <v>826</v>
      </c>
      <c r="U507" s="7" t="s">
        <v>123</v>
      </c>
      <c r="V507" s="6" t="s">
        <v>125</v>
      </c>
      <c r="W507" s="3" t="s">
        <v>158</v>
      </c>
      <c r="X507" s="3" t="s">
        <v>376</v>
      </c>
      <c r="Y507" s="3" t="s">
        <v>1950</v>
      </c>
      <c r="Z507" s="8" t="str">
        <f>HYPERLINK("https://leukaemialymphomaresearch.org.uk","https://leukaemialymphomaresearch.org.uk")</f>
        <v>https://leukaemialymphomaresearch.org.uk</v>
      </c>
      <c r="AA507" s="8" t="str">
        <f>HYPERLINK("https://leukaemialymphomaresearch.org.uk/node/58188","https://leukaemialymphomaresearch.org.uk/node/58188")</f>
        <v>https://leukaemialymphomaresearch.org.uk/node/58188</v>
      </c>
      <c r="AB507" s="8" t="str">
        <f>HYPERLINK("http://europepmc.org/","http://europepmc.org/")</f>
        <v>http://europepmc.org/</v>
      </c>
      <c r="AC507" s="3">
        <v>41913</v>
      </c>
      <c r="AD507" s="3">
        <v>41913</v>
      </c>
      <c r="AF507" s="3" t="s">
        <v>177</v>
      </c>
      <c r="AG507" s="3" t="s">
        <v>178</v>
      </c>
      <c r="AH507" s="3" t="s">
        <v>463</v>
      </c>
      <c r="AI507" s="3" t="s">
        <v>377</v>
      </c>
      <c r="AJ507" s="3" t="s">
        <v>182</v>
      </c>
      <c r="AK507" s="3" t="s">
        <v>183</v>
      </c>
      <c r="AL507" s="3" t="s">
        <v>185</v>
      </c>
      <c r="AM507" s="3" t="s">
        <v>178</v>
      </c>
      <c r="AN507" s="3" t="s">
        <v>185</v>
      </c>
      <c r="AO507" s="3" t="s">
        <v>378</v>
      </c>
      <c r="AP507" s="3" t="s">
        <v>244</v>
      </c>
      <c r="AQ507" s="3" t="s">
        <v>247</v>
      </c>
      <c r="AS507" s="3" t="s">
        <v>244</v>
      </c>
      <c r="AT507" s="3" t="s">
        <v>379</v>
      </c>
      <c r="AU507" s="3" t="s">
        <v>244</v>
      </c>
      <c r="AV507" s="3" t="s">
        <v>185</v>
      </c>
      <c r="AW507" s="3" t="s">
        <v>520</v>
      </c>
      <c r="AX507" s="3" t="s">
        <v>442</v>
      </c>
      <c r="AY507" s="3" t="s">
        <v>521</v>
      </c>
      <c r="AZ507" s="8" t="str">
        <f>HYPERLINK("http://www.wellcome.ac.uk/About-us/Policy/Spotlight-issues/Open-access/Charity-open-access-fund/","http://www.wellcome.ac.uk/About-us/Policy/Spotlight-issues/Open-access/Charity-open-access-fund/")</f>
        <v>http://www.wellcome.ac.uk/About-us/Policy/Spotlight-issues/Open-access/Charity-open-access-fund/</v>
      </c>
    </row>
    <row r="508" spans="1:52" ht="15.75" customHeight="1">
      <c r="A508" s="3">
        <v>366</v>
      </c>
      <c r="B508" s="5" t="str">
        <f t="shared" si="0"/>
        <v>http://roarmap.eprints.org/366/</v>
      </c>
      <c r="C508" s="3">
        <v>6</v>
      </c>
      <c r="D508" s="3" t="s">
        <v>98</v>
      </c>
      <c r="E508" s="3">
        <v>1</v>
      </c>
      <c r="F508" s="3" t="s">
        <v>1951</v>
      </c>
      <c r="G508" s="3">
        <v>41988.92386574074</v>
      </c>
      <c r="H508" s="3">
        <v>42066.798900462964</v>
      </c>
      <c r="I508" s="3">
        <v>41988.92386574074</v>
      </c>
      <c r="J508" s="3" t="s">
        <v>103</v>
      </c>
      <c r="K508" s="3" t="s">
        <v>105</v>
      </c>
      <c r="L508" s="3" t="s">
        <v>1952</v>
      </c>
      <c r="M508" s="3" t="s">
        <v>374</v>
      </c>
      <c r="N508" s="3" t="s">
        <v>1953</v>
      </c>
      <c r="P508" s="3" t="s">
        <v>215</v>
      </c>
      <c r="Q508" t="str">
        <f t="shared" si="30"/>
        <v>http://roarmap.eprints.org/view/country/826.html</v>
      </c>
      <c r="R508" s="3">
        <v>826</v>
      </c>
      <c r="S508" s="6" t="s">
        <v>349</v>
      </c>
      <c r="T508" s="9">
        <v>826</v>
      </c>
      <c r="U508" s="7" t="s">
        <v>123</v>
      </c>
      <c r="V508" s="6" t="s">
        <v>125</v>
      </c>
      <c r="W508" s="3" t="s">
        <v>158</v>
      </c>
      <c r="X508" s="3" t="s">
        <v>160</v>
      </c>
      <c r="Y508" s="3" t="s">
        <v>1952</v>
      </c>
      <c r="Z508" s="8" t="str">
        <f>HYPERLINK("http://www.lboro.ac.uk/","http://www.lboro.ac.uk/")</f>
        <v>http://www.lboro.ac.uk/</v>
      </c>
      <c r="AA508" s="8" t="str">
        <f>HYPERLINK("http://www.lboro.ac.uk/media/wwwlboroacuk/content/library/downloads/researchsupport/Lboro-OA-Policy.pdf","http://www.lboro.ac.uk/media/wwwlboroacuk/content/library/downloads/researchsupport/Lboro-OA-Policy.pdf")</f>
        <v>http://www.lboro.ac.uk/media/wwwlboroacuk/content/library/downloads/researchsupport/Lboro-OA-Policy.pdf</v>
      </c>
      <c r="AB508" s="8" t="str">
        <f>HYPERLINK("https://dspace.lboro.ac.uk/dspace-jspui/","https://dspace.lboro.ac.uk/dspace-jspui/")</f>
        <v>https://dspace.lboro.ac.uk/dspace-jspui/</v>
      </c>
      <c r="AC508" s="3">
        <v>2006</v>
      </c>
      <c r="AE508" s="3">
        <v>2014</v>
      </c>
      <c r="AF508" s="3" t="s">
        <v>177</v>
      </c>
      <c r="AG508" s="3" t="s">
        <v>178</v>
      </c>
      <c r="AH508" s="3" t="s">
        <v>180</v>
      </c>
      <c r="AI508" s="3" t="s">
        <v>371</v>
      </c>
      <c r="AJ508" s="3" t="s">
        <v>182</v>
      </c>
      <c r="AK508" s="3" t="s">
        <v>393</v>
      </c>
      <c r="AL508" s="3" t="s">
        <v>244</v>
      </c>
      <c r="AM508" s="3" t="s">
        <v>247</v>
      </c>
      <c r="AN508" s="3" t="s">
        <v>244</v>
      </c>
      <c r="AO508" s="3" t="s">
        <v>181</v>
      </c>
      <c r="AP508" s="3" t="s">
        <v>244</v>
      </c>
      <c r="AQ508" s="3" t="s">
        <v>386</v>
      </c>
      <c r="AR508" s="3" t="s">
        <v>288</v>
      </c>
      <c r="AS508" s="3" t="s">
        <v>288</v>
      </c>
      <c r="AT508" s="3" t="s">
        <v>244</v>
      </c>
      <c r="AU508" s="3" t="s">
        <v>244</v>
      </c>
      <c r="AV508" s="3" t="s">
        <v>288</v>
      </c>
      <c r="AW508" s="3" t="s">
        <v>244</v>
      </c>
      <c r="AX508" s="3" t="s">
        <v>341</v>
      </c>
      <c r="AY508" s="3" t="s">
        <v>428</v>
      </c>
      <c r="AZ508" s="8" t="str">
        <f>HYPERLINK("http://www.lboro.ac.uk/services/library/research/openaccess/rcukfundedresearchandopenaccess/","http://www.lboro.ac.uk/services/library/research/openaccess/rcukfundedresearchandopenaccess/")</f>
        <v>http://www.lboro.ac.uk/services/library/research/openaccess/rcukfundedresearchandopenaccess/</v>
      </c>
    </row>
    <row r="509" spans="1:52" ht="15.75" customHeight="1">
      <c r="A509" s="3">
        <v>692</v>
      </c>
      <c r="B509" s="5" t="str">
        <f t="shared" si="0"/>
        <v>http://roarmap.eprints.org/692/</v>
      </c>
      <c r="C509" s="3">
        <v>4</v>
      </c>
      <c r="D509" s="3" t="s">
        <v>98</v>
      </c>
      <c r="E509" s="3">
        <v>392</v>
      </c>
      <c r="F509" s="3" t="s">
        <v>1954</v>
      </c>
      <c r="G509" s="3">
        <v>42076.571840277778</v>
      </c>
      <c r="H509" s="3">
        <v>42076.571840277778</v>
      </c>
      <c r="I509" s="3">
        <v>42076.571840277778</v>
      </c>
      <c r="J509" s="3" t="s">
        <v>103</v>
      </c>
      <c r="K509" s="3" t="s">
        <v>105</v>
      </c>
      <c r="L509" s="3" t="s">
        <v>1955</v>
      </c>
      <c r="P509" s="3" t="s">
        <v>1903</v>
      </c>
      <c r="Q509" t="str">
        <f t="shared" si="30"/>
        <v>http://roarmap.eprints.org/view/country/826.html</v>
      </c>
      <c r="R509" s="3">
        <v>826</v>
      </c>
      <c r="S509" s="6" t="s">
        <v>349</v>
      </c>
      <c r="T509" s="9">
        <v>826</v>
      </c>
      <c r="U509" s="7" t="s">
        <v>123</v>
      </c>
      <c r="V509" s="6" t="s">
        <v>125</v>
      </c>
      <c r="W509" s="3" t="s">
        <v>158</v>
      </c>
      <c r="X509" s="3" t="s">
        <v>160</v>
      </c>
      <c r="Y509" s="3" t="s">
        <v>1955</v>
      </c>
      <c r="Z509" s="8" t="str">
        <f>HYPERLINK("http://www2.mmu.ac.uk/","http://www2.mmu.ac.uk/")</f>
        <v>http://www2.mmu.ac.uk/</v>
      </c>
      <c r="AA509" s="8" t="str">
        <f>HYPERLINK("http://libguides.mmu.ac.uk/openaccess/policy","http://libguides.mmu.ac.uk/openaccess/policy")</f>
        <v>http://libguides.mmu.ac.uk/openaccess/policy</v>
      </c>
      <c r="AB509" s="8" t="str">
        <f>HYPERLINK("http://www.e-space.mmu.ac.uk/e-space/","http://www.e-space.mmu.ac.uk/e-space/")</f>
        <v>http://www.e-space.mmu.ac.uk/e-space/</v>
      </c>
      <c r="AC509" s="3">
        <v>41548</v>
      </c>
      <c r="AF509" s="3" t="s">
        <v>177</v>
      </c>
      <c r="AG509" s="3" t="s">
        <v>178</v>
      </c>
      <c r="AH509" s="3" t="s">
        <v>180</v>
      </c>
      <c r="AI509" s="3" t="s">
        <v>392</v>
      </c>
      <c r="AJ509" s="3" t="s">
        <v>182</v>
      </c>
      <c r="AK509" s="3" t="s">
        <v>393</v>
      </c>
      <c r="AL509" s="3" t="s">
        <v>244</v>
      </c>
      <c r="AM509" s="3" t="s">
        <v>178</v>
      </c>
      <c r="AN509" s="3" t="s">
        <v>189</v>
      </c>
      <c r="AO509" s="3" t="s">
        <v>181</v>
      </c>
      <c r="AP509" s="3" t="s">
        <v>244</v>
      </c>
      <c r="AQ509" s="3" t="s">
        <v>247</v>
      </c>
      <c r="AR509" s="3" t="s">
        <v>244</v>
      </c>
      <c r="AS509" s="3" t="s">
        <v>244</v>
      </c>
      <c r="AT509" s="3" t="s">
        <v>244</v>
      </c>
      <c r="AU509" s="3" t="s">
        <v>244</v>
      </c>
      <c r="AV509" s="3" t="s">
        <v>244</v>
      </c>
      <c r="AW509" s="3" t="s">
        <v>244</v>
      </c>
      <c r="AX509" s="3" t="s">
        <v>442</v>
      </c>
      <c r="AY509" s="3" t="s">
        <v>428</v>
      </c>
      <c r="AZ509" s="8" t="str">
        <f>HYPERLINK("http://libguides.mmu.ac.uk/openaccess/apply","http://libguides.mmu.ac.uk/openaccess/apply")</f>
        <v>http://libguides.mmu.ac.uk/openaccess/apply</v>
      </c>
    </row>
    <row r="510" spans="1:52" ht="15.75" customHeight="1">
      <c r="A510" s="3">
        <v>367</v>
      </c>
      <c r="B510" s="5" t="str">
        <f t="shared" si="0"/>
        <v>http://roarmap.eprints.org/367/</v>
      </c>
      <c r="C510" s="3">
        <v>3</v>
      </c>
      <c r="D510" s="3" t="s">
        <v>98</v>
      </c>
      <c r="E510" s="3">
        <v>1</v>
      </c>
      <c r="F510" s="3" t="s">
        <v>1956</v>
      </c>
      <c r="G510" s="3">
        <v>41988.923877314817</v>
      </c>
      <c r="H510" s="3">
        <v>41988.923877314817</v>
      </c>
      <c r="I510" s="3">
        <v>41988.923877314817</v>
      </c>
      <c r="J510" s="3" t="s">
        <v>103</v>
      </c>
      <c r="K510" s="3" t="s">
        <v>105</v>
      </c>
      <c r="L510" s="3" t="s">
        <v>1957</v>
      </c>
      <c r="M510" s="3" t="s">
        <v>374</v>
      </c>
      <c r="N510" s="3" t="s">
        <v>1958</v>
      </c>
      <c r="P510" s="3" t="s">
        <v>1875</v>
      </c>
      <c r="Q510" t="str">
        <f t="shared" si="30"/>
        <v>http://roarmap.eprints.org/view/country/826.html</v>
      </c>
      <c r="R510" s="3">
        <v>826</v>
      </c>
      <c r="S510" s="6" t="s">
        <v>349</v>
      </c>
      <c r="T510" s="9">
        <v>826</v>
      </c>
      <c r="U510" s="7" t="s">
        <v>123</v>
      </c>
      <c r="V510" s="6" t="s">
        <v>125</v>
      </c>
      <c r="W510" s="3" t="s">
        <v>158</v>
      </c>
      <c r="X510" s="3" t="s">
        <v>364</v>
      </c>
      <c r="Y510" s="3" t="s">
        <v>1957</v>
      </c>
      <c r="Z510" s="8" t="str">
        <f>HYPERLINK("http://www.mariecurie.org.uk/","http://www.mariecurie.org.uk/")</f>
        <v>http://www.mariecurie.org.uk/</v>
      </c>
      <c r="AA510" s="8" t="str">
        <f>HYPERLINK("http://www.mariecurie.org.uk/Global/Research/Open-Access-policy-March_2014.pdf","http://www.mariecurie.org.uk/Global/Research/Open-Access-policy-March_2014.pdf")</f>
        <v>http://www.mariecurie.org.uk/Global/Research/Open-Access-policy-March_2014.pdf</v>
      </c>
      <c r="AC510" s="3">
        <v>41122</v>
      </c>
      <c r="AE510" s="3">
        <v>41699</v>
      </c>
      <c r="AF510" s="3" t="s">
        <v>177</v>
      </c>
      <c r="AG510" s="3" t="s">
        <v>178</v>
      </c>
      <c r="AH510" s="3" t="s">
        <v>463</v>
      </c>
      <c r="AI510" s="3" t="s">
        <v>371</v>
      </c>
      <c r="AJ510" s="3" t="s">
        <v>182</v>
      </c>
      <c r="AK510" s="3" t="s">
        <v>244</v>
      </c>
      <c r="AL510" s="3" t="s">
        <v>244</v>
      </c>
      <c r="AM510" s="3" t="s">
        <v>178</v>
      </c>
      <c r="AN510" s="3" t="s">
        <v>244</v>
      </c>
      <c r="AO510" s="3" t="s">
        <v>371</v>
      </c>
      <c r="AP510" s="3" t="s">
        <v>244</v>
      </c>
      <c r="AQ510" s="3" t="s">
        <v>247</v>
      </c>
      <c r="AR510" s="3" t="s">
        <v>288</v>
      </c>
      <c r="AS510" s="3" t="s">
        <v>185</v>
      </c>
      <c r="AT510" s="3" t="s">
        <v>379</v>
      </c>
      <c r="AU510" s="3" t="s">
        <v>244</v>
      </c>
      <c r="AV510" s="3" t="s">
        <v>244</v>
      </c>
      <c r="AW510" s="3" t="s">
        <v>339</v>
      </c>
      <c r="AX510" s="3" t="s">
        <v>371</v>
      </c>
      <c r="AY510" s="3" t="s">
        <v>198</v>
      </c>
    </row>
    <row r="511" spans="1:52" ht="15.75" customHeight="1">
      <c r="A511" s="3">
        <v>368</v>
      </c>
      <c r="B511" s="5" t="str">
        <f t="shared" si="0"/>
        <v>http://roarmap.eprints.org/368/</v>
      </c>
      <c r="C511" s="3">
        <v>4</v>
      </c>
      <c r="D511" s="3" t="s">
        <v>98</v>
      </c>
      <c r="E511" s="3">
        <v>1</v>
      </c>
      <c r="F511" s="3" t="s">
        <v>1959</v>
      </c>
      <c r="G511" s="3">
        <v>41988.923877314817</v>
      </c>
      <c r="H511" s="3">
        <v>42020.536620370367</v>
      </c>
      <c r="I511" s="3">
        <v>41988.923877314817</v>
      </c>
      <c r="J511" s="3" t="s">
        <v>103</v>
      </c>
      <c r="K511" s="3" t="s">
        <v>105</v>
      </c>
      <c r="L511" s="3" t="s">
        <v>1960</v>
      </c>
      <c r="M511" s="3" t="s">
        <v>374</v>
      </c>
      <c r="N511" s="3" t="s">
        <v>1869</v>
      </c>
      <c r="P511" s="3" t="s">
        <v>215</v>
      </c>
      <c r="Q511" t="str">
        <f t="shared" si="30"/>
        <v>http://roarmap.eprints.org/view/country/826.html</v>
      </c>
      <c r="R511" s="3">
        <v>826</v>
      </c>
      <c r="S511" s="6" t="s">
        <v>349</v>
      </c>
      <c r="T511" s="9">
        <v>826</v>
      </c>
      <c r="U511" s="7" t="s">
        <v>123</v>
      </c>
      <c r="V511" s="6" t="s">
        <v>125</v>
      </c>
      <c r="W511" s="3" t="s">
        <v>158</v>
      </c>
      <c r="X511" s="3" t="s">
        <v>376</v>
      </c>
      <c r="Y511" s="3" t="s">
        <v>1960</v>
      </c>
      <c r="Z511" s="8" t="str">
        <f>HYPERLINK("http://www.mrc.ac.uk/index.htm","http://www.mrc.ac.uk/index.htm")</f>
        <v>http://www.mrc.ac.uk/index.htm</v>
      </c>
      <c r="AA511" s="8" t="str">
        <f>HYPERLINK("http://www.rcuk.ac.uk/RCUK-prod/assets/documents/documents/RCUKOpenAccessPolicy.pdf","http://www.rcuk.ac.uk/RCUK-prod/assets/documents/documents/RCUKOpenAccessPolicy.pdf")</f>
        <v>http://www.rcuk.ac.uk/RCUK-prod/assets/documents/documents/RCUKOpenAccessPolicy.pdf</v>
      </c>
      <c r="AB511" s="8" t="str">
        <f>HYPERLINK("http://europepmc.org/","http://europepmc.org/")</f>
        <v>http://europepmc.org/</v>
      </c>
      <c r="AC511" s="3">
        <v>38921</v>
      </c>
      <c r="AD511" s="3">
        <v>38991</v>
      </c>
      <c r="AE511" s="3">
        <v>41365</v>
      </c>
      <c r="AF511" s="3" t="s">
        <v>177</v>
      </c>
      <c r="AG511" s="3" t="s">
        <v>178</v>
      </c>
      <c r="AH511" s="3" t="s">
        <v>463</v>
      </c>
      <c r="AI511" s="3" t="s">
        <v>377</v>
      </c>
      <c r="AJ511" s="3" t="s">
        <v>182</v>
      </c>
      <c r="AK511" s="3" t="s">
        <v>393</v>
      </c>
      <c r="AL511" s="3" t="s">
        <v>185</v>
      </c>
      <c r="AM511" s="3" t="s">
        <v>178</v>
      </c>
      <c r="AN511" s="3" t="s">
        <v>244</v>
      </c>
      <c r="AO511" s="3" t="s">
        <v>378</v>
      </c>
      <c r="AP511" s="3" t="s">
        <v>185</v>
      </c>
      <c r="AQ511" s="3" t="s">
        <v>386</v>
      </c>
      <c r="AR511" s="3" t="s">
        <v>288</v>
      </c>
      <c r="AS511" s="3" t="s">
        <v>288</v>
      </c>
      <c r="AT511" s="3" t="s">
        <v>379</v>
      </c>
      <c r="AU511" s="3" t="s">
        <v>395</v>
      </c>
      <c r="AV511" s="3" t="s">
        <v>185</v>
      </c>
      <c r="AW511" s="3" t="s">
        <v>520</v>
      </c>
      <c r="AX511" s="3" t="s">
        <v>341</v>
      </c>
      <c r="AY511" s="3" t="s">
        <v>521</v>
      </c>
    </row>
    <row r="512" spans="1:52" ht="15.75" customHeight="1">
      <c r="A512" s="3">
        <v>369</v>
      </c>
      <c r="B512" s="5" t="str">
        <f t="shared" si="0"/>
        <v>http://roarmap.eprints.org/369/</v>
      </c>
      <c r="C512" s="3">
        <v>5</v>
      </c>
      <c r="D512" s="3" t="s">
        <v>98</v>
      </c>
      <c r="E512" s="3">
        <v>1</v>
      </c>
      <c r="F512" s="3" t="s">
        <v>1961</v>
      </c>
      <c r="G512" s="3">
        <v>41988.923877314817</v>
      </c>
      <c r="H512" s="3">
        <v>42066.887256944443</v>
      </c>
      <c r="I512" s="3">
        <v>41988.923877314817</v>
      </c>
      <c r="J512" s="3" t="s">
        <v>103</v>
      </c>
      <c r="K512" s="3" t="s">
        <v>105</v>
      </c>
      <c r="L512" s="3" t="s">
        <v>1962</v>
      </c>
      <c r="M512" s="3" t="s">
        <v>532</v>
      </c>
      <c r="N512" s="3" t="s">
        <v>1963</v>
      </c>
      <c r="P512" s="3" t="s">
        <v>1875</v>
      </c>
      <c r="Q512" t="str">
        <f t="shared" si="30"/>
        <v>http://roarmap.eprints.org/view/country/826.html</v>
      </c>
      <c r="R512" s="3">
        <v>826</v>
      </c>
      <c r="S512" s="6" t="s">
        <v>349</v>
      </c>
      <c r="T512" s="9">
        <v>826</v>
      </c>
      <c r="U512" s="7" t="s">
        <v>123</v>
      </c>
      <c r="V512" s="6" t="s">
        <v>125</v>
      </c>
      <c r="W512" s="3" t="s">
        <v>158</v>
      </c>
      <c r="X512" s="3" t="s">
        <v>160</v>
      </c>
      <c r="Y512" s="3" t="s">
        <v>1962</v>
      </c>
      <c r="Z512" s="8" t="str">
        <f>HYPERLINK("http://www.mdx.ac.uk/","http://www.mdx.ac.uk/")</f>
        <v>http://www.mdx.ac.uk/</v>
      </c>
      <c r="AA512" s="8" t="str">
        <f>HYPERLINK("http://eprints.mdx.ac.uk/policies.html","http://eprints.mdx.ac.uk/policies.html")</f>
        <v>http://eprints.mdx.ac.uk/policies.html</v>
      </c>
      <c r="AB512" s="8" t="str">
        <f>HYPERLINK("http://eprints.mdx.ac.uk/","http://eprints.mdx.ac.uk/")</f>
        <v>http://eprints.mdx.ac.uk/</v>
      </c>
      <c r="AC512" s="3">
        <v>40817</v>
      </c>
      <c r="AF512" s="3" t="s">
        <v>371</v>
      </c>
      <c r="AG512" s="3" t="s">
        <v>178</v>
      </c>
      <c r="AH512" s="3" t="s">
        <v>180</v>
      </c>
      <c r="AI512" s="3" t="s">
        <v>187</v>
      </c>
      <c r="AJ512" s="3" t="s">
        <v>371</v>
      </c>
      <c r="AK512" s="3" t="s">
        <v>371</v>
      </c>
      <c r="AL512" s="3" t="s">
        <v>189</v>
      </c>
      <c r="AM512" s="3" t="s">
        <v>479</v>
      </c>
      <c r="AN512" s="3" t="s">
        <v>189</v>
      </c>
      <c r="AO512" s="3" t="s">
        <v>187</v>
      </c>
      <c r="AP512" s="3" t="s">
        <v>244</v>
      </c>
      <c r="AQ512" s="3" t="s">
        <v>394</v>
      </c>
      <c r="AR512" s="3" t="s">
        <v>288</v>
      </c>
      <c r="AS512" s="3" t="s">
        <v>189</v>
      </c>
      <c r="AT512" s="3" t="s">
        <v>244</v>
      </c>
      <c r="AU512" s="3" t="s">
        <v>244</v>
      </c>
      <c r="AV512" s="3" t="s">
        <v>288</v>
      </c>
      <c r="AW512" s="3" t="s">
        <v>339</v>
      </c>
      <c r="AX512" s="3" t="s">
        <v>244</v>
      </c>
      <c r="AY512" s="3" t="s">
        <v>247</v>
      </c>
    </row>
    <row r="513" spans="1:52" ht="15.75" customHeight="1">
      <c r="A513" s="3">
        <v>725</v>
      </c>
      <c r="B513" s="5" t="str">
        <f t="shared" si="0"/>
        <v>http://roarmap.eprints.org/725/</v>
      </c>
      <c r="C513" s="3">
        <v>4</v>
      </c>
      <c r="D513" s="3" t="s">
        <v>98</v>
      </c>
      <c r="E513" s="3">
        <v>65</v>
      </c>
      <c r="F513" s="3" t="s">
        <v>1964</v>
      </c>
      <c r="G513" s="3">
        <v>42103.586643518516</v>
      </c>
      <c r="H513" s="3">
        <v>42103.586643518516</v>
      </c>
      <c r="I513" s="3">
        <v>42103.586643518516</v>
      </c>
      <c r="J513" s="3" t="s">
        <v>103</v>
      </c>
      <c r="K513" s="3" t="s">
        <v>105</v>
      </c>
      <c r="L513" s="3" t="s">
        <v>1965</v>
      </c>
      <c r="P513" s="3" t="s">
        <v>215</v>
      </c>
      <c r="Q513" t="str">
        <f t="shared" si="30"/>
        <v>http://roarmap.eprints.org/view/country/826.html</v>
      </c>
      <c r="R513" s="3">
        <v>826</v>
      </c>
      <c r="S513" s="6" t="s">
        <v>349</v>
      </c>
      <c r="T513" s="9">
        <v>826</v>
      </c>
      <c r="U513" s="7" t="s">
        <v>123</v>
      </c>
      <c r="V513" s="6" t="s">
        <v>125</v>
      </c>
      <c r="W513" s="3" t="s">
        <v>158</v>
      </c>
      <c r="X513" s="3" t="s">
        <v>376</v>
      </c>
      <c r="Y513" s="3" t="s">
        <v>1965</v>
      </c>
      <c r="Z513" s="8" t="str">
        <f>HYPERLINK("http://www.mndassociation.org/","http://www.mndassociation.org/")</f>
        <v>http://www.mndassociation.org/</v>
      </c>
      <c r="AA513" s="8" t="str">
        <f>HYPERLINK("http://www.mndassociation.org/Resources/MNDA/Research/MND-Association-Grantee-Guide-to-Open-Access---30Oct12-v1.pdf","http://www.mndassociation.org/Resources/MNDA/Research/MND-Association-Grantee-Guide-to-Open-Access---30Oct12-v1.pdf")</f>
        <v>http://www.mndassociation.org/Resources/MNDA/Research/MND-Association-Grantee-Guide-to-Open-Access---30Oct12-v1.pdf</v>
      </c>
      <c r="AB513" s="8" t="str">
        <f t="shared" ref="AB513:AB515" si="35">HYPERLINK("http://europepmc.org/","http://europepmc.org/")</f>
        <v>http://europepmc.org/</v>
      </c>
      <c r="AC513" s="3">
        <v>41212</v>
      </c>
      <c r="AD513" s="3">
        <v>40634</v>
      </c>
      <c r="AE513" s="3">
        <v>41877</v>
      </c>
      <c r="AF513" s="3" t="s">
        <v>177</v>
      </c>
      <c r="AG513" s="3" t="s">
        <v>178</v>
      </c>
      <c r="AH513" s="3" t="s">
        <v>463</v>
      </c>
      <c r="AI513" s="3" t="s">
        <v>377</v>
      </c>
      <c r="AJ513" s="3" t="s">
        <v>182</v>
      </c>
      <c r="AK513" s="3" t="s">
        <v>393</v>
      </c>
      <c r="AL513" s="3" t="s">
        <v>244</v>
      </c>
      <c r="AM513" s="3" t="s">
        <v>247</v>
      </c>
      <c r="AN513" s="3" t="s">
        <v>244</v>
      </c>
      <c r="AO513" s="3" t="s">
        <v>378</v>
      </c>
      <c r="AP513" s="3" t="s">
        <v>244</v>
      </c>
      <c r="AQ513" s="3" t="s">
        <v>247</v>
      </c>
      <c r="AR513" s="3" t="s">
        <v>244</v>
      </c>
      <c r="AS513" s="3" t="s">
        <v>244</v>
      </c>
      <c r="AT513" s="3" t="s">
        <v>379</v>
      </c>
      <c r="AU513" s="3" t="s">
        <v>244</v>
      </c>
      <c r="AV513" s="3" t="s">
        <v>185</v>
      </c>
      <c r="AW513" s="3" t="s">
        <v>371</v>
      </c>
      <c r="AX513" s="3" t="s">
        <v>442</v>
      </c>
      <c r="AY513" s="3" t="s">
        <v>521</v>
      </c>
    </row>
    <row r="514" spans="1:52" ht="15.75" customHeight="1">
      <c r="A514" s="3">
        <v>370</v>
      </c>
      <c r="B514" s="5" t="str">
        <f t="shared" si="0"/>
        <v>http://roarmap.eprints.org/370/</v>
      </c>
      <c r="C514" s="3">
        <v>3</v>
      </c>
      <c r="D514" s="3" t="s">
        <v>98</v>
      </c>
      <c r="E514" s="3">
        <v>1</v>
      </c>
      <c r="F514" s="3" t="s">
        <v>1966</v>
      </c>
      <c r="G514" s="3">
        <v>41988.923877314817</v>
      </c>
      <c r="H514" s="3">
        <v>41988.923877314817</v>
      </c>
      <c r="I514" s="3">
        <v>41988.923877314817</v>
      </c>
      <c r="J514" s="3" t="s">
        <v>103</v>
      </c>
      <c r="K514" s="3" t="s">
        <v>105</v>
      </c>
      <c r="L514" s="3" t="s">
        <v>1967</v>
      </c>
      <c r="M514" s="3" t="s">
        <v>374</v>
      </c>
      <c r="P514" s="3" t="s">
        <v>215</v>
      </c>
      <c r="Q514" t="str">
        <f t="shared" si="30"/>
        <v>http://roarmap.eprints.org/view/country/826.html</v>
      </c>
      <c r="R514" s="3">
        <v>826</v>
      </c>
      <c r="S514" s="6" t="s">
        <v>349</v>
      </c>
      <c r="T514" s="9">
        <v>826</v>
      </c>
      <c r="U514" s="7" t="s">
        <v>123</v>
      </c>
      <c r="V514" s="6" t="s">
        <v>125</v>
      </c>
      <c r="W514" s="3" t="s">
        <v>158</v>
      </c>
      <c r="X514" s="3" t="s">
        <v>376</v>
      </c>
      <c r="Y514" s="3" t="s">
        <v>1967</v>
      </c>
      <c r="Z514" s="8" t="str">
        <f>HYPERLINK("http://www.mssociety.org.uk/","http://www.mssociety.org.uk/")</f>
        <v>http://www.mssociety.org.uk/</v>
      </c>
      <c r="AA514" s="8" t="str">
        <f>HYPERLINK("http://www.mssociety.org.uk/sites/default/files/MS%20Society%20Policy%20for%20Publishing%20Research.pdf","http://www.mssociety.org.uk/sites/default/files/MS%20Society%20Policy%20for%20Publishing%20Research.pdf")</f>
        <v>http://www.mssociety.org.uk/sites/default/files/MS%20Society%20Policy%20for%20Publishing%20Research.pdf</v>
      </c>
      <c r="AB514" s="8" t="str">
        <f t="shared" si="35"/>
        <v>http://europepmc.org/</v>
      </c>
      <c r="AC514" s="3">
        <v>41305</v>
      </c>
      <c r="AD514" s="3">
        <v>41305</v>
      </c>
      <c r="AF514" s="3" t="s">
        <v>177</v>
      </c>
      <c r="AG514" s="3" t="s">
        <v>178</v>
      </c>
      <c r="AH514" s="3" t="s">
        <v>463</v>
      </c>
      <c r="AI514" s="3" t="s">
        <v>377</v>
      </c>
      <c r="AJ514" s="3" t="s">
        <v>182</v>
      </c>
      <c r="AK514" s="3" t="s">
        <v>393</v>
      </c>
      <c r="AL514" s="3" t="s">
        <v>189</v>
      </c>
      <c r="AM514" s="3" t="s">
        <v>178</v>
      </c>
      <c r="AN514" s="3" t="s">
        <v>244</v>
      </c>
      <c r="AO514" s="3" t="s">
        <v>378</v>
      </c>
      <c r="AP514" s="3" t="s">
        <v>185</v>
      </c>
      <c r="AQ514" s="3" t="s">
        <v>386</v>
      </c>
      <c r="AR514" s="3" t="s">
        <v>288</v>
      </c>
      <c r="AS514" s="3" t="s">
        <v>288</v>
      </c>
      <c r="AT514" s="3" t="s">
        <v>379</v>
      </c>
      <c r="AU514" s="3" t="s">
        <v>244</v>
      </c>
      <c r="AV514" s="3" t="s">
        <v>288</v>
      </c>
      <c r="AW514" s="3" t="s">
        <v>339</v>
      </c>
      <c r="AX514" s="3" t="s">
        <v>244</v>
      </c>
      <c r="AY514" s="3" t="s">
        <v>247</v>
      </c>
    </row>
    <row r="515" spans="1:52" ht="15.75" customHeight="1">
      <c r="A515" s="3">
        <v>723</v>
      </c>
      <c r="B515" s="5" t="str">
        <f t="shared" si="0"/>
        <v>http://roarmap.eprints.org/723/</v>
      </c>
      <c r="C515" s="3">
        <v>6</v>
      </c>
      <c r="D515" s="3" t="s">
        <v>98</v>
      </c>
      <c r="E515" s="3">
        <v>65</v>
      </c>
      <c r="F515" s="3" t="s">
        <v>1968</v>
      </c>
      <c r="G515" s="3">
        <v>42102.351817129631</v>
      </c>
      <c r="H515" s="3">
        <v>42121.434189814812</v>
      </c>
      <c r="I515" s="3">
        <v>42102.351817129631</v>
      </c>
      <c r="J515" s="3" t="s">
        <v>103</v>
      </c>
      <c r="K515" s="3" t="s">
        <v>105</v>
      </c>
      <c r="L515" s="3" t="s">
        <v>1969</v>
      </c>
      <c r="P515" s="3" t="s">
        <v>215</v>
      </c>
      <c r="Q515" t="str">
        <f t="shared" ref="Q515:Q578" si="36">CONCATENATE("http://roarmap.eprints.org/view/country/",T515,".html")</f>
        <v>http://roarmap.eprints.org/view/country/826.html</v>
      </c>
      <c r="R515" s="3">
        <v>826</v>
      </c>
      <c r="S515" s="6" t="s">
        <v>349</v>
      </c>
      <c r="T515" s="9">
        <v>826</v>
      </c>
      <c r="U515" s="7" t="s">
        <v>123</v>
      </c>
      <c r="V515" s="6" t="s">
        <v>125</v>
      </c>
      <c r="W515" s="3" t="s">
        <v>158</v>
      </c>
      <c r="X515" s="3" t="s">
        <v>376</v>
      </c>
      <c r="Y515" s="3" t="s">
        <v>1969</v>
      </c>
      <c r="Z515" s="8" t="str">
        <f>HYPERLINK("http://www.myrovlytistrust.org","http://www.myrovlytistrust.org")</f>
        <v>http://www.myrovlytistrust.org</v>
      </c>
      <c r="AA515" s="8" t="str">
        <f>HYPERLINK("http://www.myrovlytistrust.org/wp-content/uploads/2011/06/Open-Access-Policy-20122.pdf","http://www.myrovlytistrust.org/wp-content/uploads/2011/06/Open-Access-Policy-20122.pdf")</f>
        <v>http://www.myrovlytistrust.org/wp-content/uploads/2011/06/Open-Access-Policy-20122.pdf</v>
      </c>
      <c r="AB515" s="8" t="str">
        <f t="shared" si="35"/>
        <v>http://europepmc.org/</v>
      </c>
      <c r="AC515" s="3">
        <v>40969</v>
      </c>
      <c r="AD515" s="3">
        <v>40756</v>
      </c>
      <c r="AF515" s="3" t="s">
        <v>177</v>
      </c>
      <c r="AG515" s="3" t="s">
        <v>178</v>
      </c>
      <c r="AH515" s="3" t="s">
        <v>463</v>
      </c>
      <c r="AI515" s="3" t="s">
        <v>377</v>
      </c>
      <c r="AJ515" s="3" t="s">
        <v>182</v>
      </c>
      <c r="AK515" s="3" t="s">
        <v>393</v>
      </c>
      <c r="AL515" s="3" t="s">
        <v>185</v>
      </c>
      <c r="AM515" s="3" t="s">
        <v>178</v>
      </c>
      <c r="AN515" s="3" t="s">
        <v>244</v>
      </c>
      <c r="AO515" s="3" t="s">
        <v>378</v>
      </c>
      <c r="AP515" s="3" t="s">
        <v>244</v>
      </c>
      <c r="AQ515" s="3" t="s">
        <v>247</v>
      </c>
      <c r="AR515" s="3" t="s">
        <v>244</v>
      </c>
      <c r="AS515" s="3" t="s">
        <v>244</v>
      </c>
      <c r="AT515" s="3" t="s">
        <v>379</v>
      </c>
      <c r="AU515" s="3" t="s">
        <v>244</v>
      </c>
      <c r="AV515" s="3" t="s">
        <v>185</v>
      </c>
      <c r="AW515" s="3" t="s">
        <v>195</v>
      </c>
      <c r="AX515" s="3" t="s">
        <v>442</v>
      </c>
      <c r="AY515" s="3" t="s">
        <v>521</v>
      </c>
    </row>
    <row r="516" spans="1:52" ht="15.75" customHeight="1">
      <c r="A516" s="3">
        <v>371</v>
      </c>
      <c r="B516" s="5" t="str">
        <f t="shared" si="0"/>
        <v>http://roarmap.eprints.org/371/</v>
      </c>
      <c r="C516" s="3">
        <v>3</v>
      </c>
      <c r="D516" s="3" t="s">
        <v>98</v>
      </c>
      <c r="E516" s="3">
        <v>1</v>
      </c>
      <c r="F516" s="3" t="s">
        <v>1970</v>
      </c>
      <c r="G516" s="3">
        <v>41988.923877314817</v>
      </c>
      <c r="H516" s="3">
        <v>41988.923877314817</v>
      </c>
      <c r="I516" s="3">
        <v>41988.923877314817</v>
      </c>
      <c r="J516" s="3" t="s">
        <v>103</v>
      </c>
      <c r="K516" s="3" t="s">
        <v>105</v>
      </c>
      <c r="L516" s="3" t="s">
        <v>1971</v>
      </c>
      <c r="M516" s="3" t="s">
        <v>374</v>
      </c>
      <c r="N516" s="3" t="s">
        <v>1972</v>
      </c>
      <c r="P516" s="3" t="s">
        <v>215</v>
      </c>
      <c r="Q516" t="str">
        <f t="shared" si="36"/>
        <v>http://roarmap.eprints.org/view/country/826.html</v>
      </c>
      <c r="R516" s="3">
        <v>826</v>
      </c>
      <c r="S516" s="6" t="s">
        <v>349</v>
      </c>
      <c r="T516" s="9">
        <v>826</v>
      </c>
      <c r="U516" s="7" t="s">
        <v>123</v>
      </c>
      <c r="V516" s="6" t="s">
        <v>125</v>
      </c>
      <c r="W516" s="3" t="s">
        <v>158</v>
      </c>
      <c r="X516" s="3" t="s">
        <v>160</v>
      </c>
      <c r="Y516" s="3" t="s">
        <v>1971</v>
      </c>
      <c r="Z516" s="8" t="str">
        <f>HYPERLINK("http://www.napier.ac.uk/Pages/home.aspx","http://www.napier.ac.uk/Pages/home.aspx")</f>
        <v>http://www.napier.ac.uk/Pages/home.aspx</v>
      </c>
      <c r="AA516" s="8" t="str">
        <f>HYPERLINK("http://researchrepository.napier.ac.uk/mandate.html","http://researchrepository.napier.ac.uk/mandate.html")</f>
        <v>http://researchrepository.napier.ac.uk/mandate.html</v>
      </c>
      <c r="AB516" s="8" t="str">
        <f>HYPERLINK("http://www.napier.ac.uk/research/Pages/Research-repository.aspx","http://www.napier.ac.uk/research/Pages/Research-repository.aspx")</f>
        <v>http://www.napier.ac.uk/research/Pages/Research-repository.aspx</v>
      </c>
      <c r="AC516" s="3">
        <v>39563</v>
      </c>
      <c r="AD516" s="3">
        <v>39563</v>
      </c>
      <c r="AF516" s="3" t="s">
        <v>177</v>
      </c>
      <c r="AG516" s="3" t="s">
        <v>178</v>
      </c>
      <c r="AH516" s="3" t="s">
        <v>180</v>
      </c>
      <c r="AI516" s="3" t="s">
        <v>181</v>
      </c>
      <c r="AJ516" s="3" t="s">
        <v>182</v>
      </c>
      <c r="AK516" s="3" t="s">
        <v>393</v>
      </c>
      <c r="AL516" s="3" t="s">
        <v>185</v>
      </c>
      <c r="AM516" s="3" t="s">
        <v>178</v>
      </c>
      <c r="AN516" s="3" t="s">
        <v>244</v>
      </c>
      <c r="AO516" s="3" t="s">
        <v>181</v>
      </c>
      <c r="AP516" s="3" t="s">
        <v>185</v>
      </c>
      <c r="AQ516" s="3" t="s">
        <v>247</v>
      </c>
      <c r="AR516" s="3" t="s">
        <v>288</v>
      </c>
      <c r="AS516" s="3" t="s">
        <v>185</v>
      </c>
      <c r="AT516" s="3" t="s">
        <v>244</v>
      </c>
      <c r="AU516" s="3" t="s">
        <v>244</v>
      </c>
      <c r="AV516" s="3" t="s">
        <v>288</v>
      </c>
      <c r="AW516" s="3" t="s">
        <v>339</v>
      </c>
      <c r="AX516" s="3" t="s">
        <v>244</v>
      </c>
      <c r="AY516" s="3" t="s">
        <v>247</v>
      </c>
    </row>
    <row r="517" spans="1:52" ht="15.75" customHeight="1">
      <c r="A517" s="3">
        <v>372</v>
      </c>
      <c r="B517" s="5" t="str">
        <f t="shared" si="0"/>
        <v>http://roarmap.eprints.org/372/</v>
      </c>
      <c r="C517" s="3">
        <v>3</v>
      </c>
      <c r="D517" s="3" t="s">
        <v>98</v>
      </c>
      <c r="E517" s="3">
        <v>1</v>
      </c>
      <c r="F517" s="3" t="s">
        <v>1973</v>
      </c>
      <c r="G517" s="3">
        <v>41988.923877314817</v>
      </c>
      <c r="H517" s="3">
        <v>41988.923877314817</v>
      </c>
      <c r="I517" s="3">
        <v>41988.923877314817</v>
      </c>
      <c r="J517" s="3" t="s">
        <v>103</v>
      </c>
      <c r="K517" s="3" t="s">
        <v>105</v>
      </c>
      <c r="L517" s="3" t="s">
        <v>1974</v>
      </c>
      <c r="M517" s="3" t="s">
        <v>374</v>
      </c>
      <c r="N517" s="3" t="s">
        <v>1975</v>
      </c>
      <c r="P517" s="3" t="s">
        <v>215</v>
      </c>
      <c r="Q517" t="str">
        <f t="shared" si="36"/>
        <v>http://roarmap.eprints.org/view/country/826.html</v>
      </c>
      <c r="R517" s="3">
        <v>826</v>
      </c>
      <c r="S517" s="6" t="s">
        <v>349</v>
      </c>
      <c r="T517" s="9">
        <v>826</v>
      </c>
      <c r="U517" s="7" t="s">
        <v>123</v>
      </c>
      <c r="V517" s="6" t="s">
        <v>125</v>
      </c>
      <c r="W517" s="3" t="s">
        <v>158</v>
      </c>
      <c r="X517" s="3" t="s">
        <v>376</v>
      </c>
      <c r="Y517" s="3" t="s">
        <v>1974</v>
      </c>
      <c r="Z517" s="8" t="str">
        <f>HYPERLINK("http://www.nerc.ac.uk/","http://www.nerc.ac.uk/")</f>
        <v>http://www.nerc.ac.uk/</v>
      </c>
      <c r="AA517" s="8" t="str">
        <f>HYPERLINK("http://www.rcuk.ac.uk/RCUK-prod/assets/documents/documents/RCUKOpenAccessPolicy.pdf","http://www.rcuk.ac.uk/RCUK-prod/assets/documents/documents/RCUKOpenAccessPolicy.pdf")</f>
        <v>http://www.rcuk.ac.uk/RCUK-prod/assets/documents/documents/RCUKOpenAccessPolicy.pdf</v>
      </c>
      <c r="AB517" s="8" t="str">
        <f>HYPERLINK("http://nora.nerc.ac.uk/","http://nora.nerc.ac.uk/")</f>
        <v>http://nora.nerc.ac.uk/</v>
      </c>
      <c r="AC517" s="3">
        <v>38945</v>
      </c>
      <c r="AD517" s="3">
        <v>38991</v>
      </c>
      <c r="AE517" s="3">
        <v>41365</v>
      </c>
      <c r="AF517" s="3" t="s">
        <v>177</v>
      </c>
      <c r="AG517" s="3" t="s">
        <v>178</v>
      </c>
      <c r="AH517" s="3" t="s">
        <v>370</v>
      </c>
      <c r="AI517" s="3" t="s">
        <v>377</v>
      </c>
      <c r="AJ517" s="3" t="s">
        <v>182</v>
      </c>
      <c r="AK517" s="3" t="s">
        <v>393</v>
      </c>
      <c r="AL517" s="3" t="s">
        <v>185</v>
      </c>
      <c r="AM517" s="3" t="s">
        <v>178</v>
      </c>
      <c r="AN517" s="3" t="s">
        <v>244</v>
      </c>
      <c r="AO517" s="3" t="s">
        <v>378</v>
      </c>
      <c r="AP517" s="3" t="s">
        <v>185</v>
      </c>
      <c r="AQ517" s="3" t="s">
        <v>386</v>
      </c>
      <c r="AR517" s="3" t="s">
        <v>288</v>
      </c>
      <c r="AS517" s="3" t="s">
        <v>288</v>
      </c>
      <c r="AT517" s="3" t="s">
        <v>379</v>
      </c>
      <c r="AU517" s="3" t="s">
        <v>395</v>
      </c>
      <c r="AV517" s="3" t="s">
        <v>185</v>
      </c>
      <c r="AW517" s="3" t="s">
        <v>520</v>
      </c>
      <c r="AX517" s="3" t="s">
        <v>341</v>
      </c>
      <c r="AY517" s="3" t="s">
        <v>521</v>
      </c>
    </row>
    <row r="518" spans="1:52" ht="15.75" customHeight="1">
      <c r="A518" s="3">
        <v>373</v>
      </c>
      <c r="B518" s="5" t="str">
        <f t="shared" si="0"/>
        <v>http://roarmap.eprints.org/373/</v>
      </c>
      <c r="C518" s="3">
        <v>5</v>
      </c>
      <c r="D518" s="3" t="s">
        <v>98</v>
      </c>
      <c r="E518" s="3">
        <v>302</v>
      </c>
      <c r="F518" s="3" t="s">
        <v>1976</v>
      </c>
      <c r="G518" s="3">
        <v>41988.923877314817</v>
      </c>
      <c r="H518" s="3">
        <v>42046.981712962966</v>
      </c>
      <c r="I518" s="3">
        <v>41988.923877314817</v>
      </c>
      <c r="J518" s="3" t="s">
        <v>103</v>
      </c>
      <c r="K518" s="3" t="s">
        <v>105</v>
      </c>
      <c r="L518" s="3" t="s">
        <v>1977</v>
      </c>
      <c r="M518" s="3" t="s">
        <v>637</v>
      </c>
      <c r="O518" s="3" t="s">
        <v>1978</v>
      </c>
      <c r="P518" s="3" t="s">
        <v>215</v>
      </c>
      <c r="Q518" t="str">
        <f t="shared" si="36"/>
        <v>http://roarmap.eprints.org/view/country/826.html</v>
      </c>
      <c r="R518" s="3">
        <v>826</v>
      </c>
      <c r="S518" s="6" t="s">
        <v>349</v>
      </c>
      <c r="T518" s="9">
        <v>826</v>
      </c>
      <c r="U518" s="7" t="s">
        <v>123</v>
      </c>
      <c r="V518" s="6" t="s">
        <v>125</v>
      </c>
      <c r="W518" s="3" t="s">
        <v>158</v>
      </c>
      <c r="X518" s="3" t="s">
        <v>160</v>
      </c>
      <c r="Y518" s="3" t="s">
        <v>1977</v>
      </c>
      <c r="Z518" s="8" t="str">
        <f>HYPERLINK("http://www.northumbria.ac.uk/","http://www.northumbria.ac.uk/")</f>
        <v>http://www.northumbria.ac.uk/</v>
      </c>
      <c r="AA518" s="8" t="str">
        <f>HYPERLINK("http://nrl.northumbria.ac.uk/depositpolicy.html","http://nrl.northumbria.ac.uk/depositpolicy.html")</f>
        <v>http://nrl.northumbria.ac.uk/depositpolicy.html</v>
      </c>
      <c r="AB518" s="8" t="str">
        <f>HYPERLINK("http://nrl.northumbria.ac.uk/","http://nrl.northumbria.ac.uk/")</f>
        <v>http://nrl.northumbria.ac.uk/</v>
      </c>
      <c r="AC518" s="3">
        <v>41030</v>
      </c>
      <c r="AF518" s="3" t="s">
        <v>177</v>
      </c>
      <c r="AG518" s="3" t="s">
        <v>333</v>
      </c>
      <c r="AH518" s="3" t="s">
        <v>180</v>
      </c>
      <c r="AI518" s="3" t="s">
        <v>244</v>
      </c>
      <c r="AJ518" s="3" t="s">
        <v>182</v>
      </c>
      <c r="AK518" s="3" t="s">
        <v>393</v>
      </c>
      <c r="AL518" s="3" t="s">
        <v>288</v>
      </c>
      <c r="AM518" s="3" t="s">
        <v>479</v>
      </c>
      <c r="AN518" s="3" t="s">
        <v>189</v>
      </c>
      <c r="AO518" s="3" t="s">
        <v>247</v>
      </c>
      <c r="AP518" s="3" t="s">
        <v>189</v>
      </c>
      <c r="AQ518" s="3" t="s">
        <v>247</v>
      </c>
      <c r="AR518" s="3" t="s">
        <v>288</v>
      </c>
      <c r="AS518" s="3" t="s">
        <v>288</v>
      </c>
      <c r="AT518" s="3" t="s">
        <v>244</v>
      </c>
      <c r="AU518" s="3" t="s">
        <v>244</v>
      </c>
      <c r="AV518" s="3" t="s">
        <v>288</v>
      </c>
      <c r="AW518" s="3" t="s">
        <v>339</v>
      </c>
      <c r="AX518" s="3" t="s">
        <v>244</v>
      </c>
      <c r="AY518" s="3" t="s">
        <v>247</v>
      </c>
    </row>
    <row r="519" spans="1:52" ht="15.75" customHeight="1">
      <c r="A519" s="3">
        <v>374</v>
      </c>
      <c r="B519" s="5" t="str">
        <f t="shared" si="0"/>
        <v>http://roarmap.eprints.org/374/</v>
      </c>
      <c r="C519" s="3">
        <v>6</v>
      </c>
      <c r="D519" s="3" t="s">
        <v>98</v>
      </c>
      <c r="E519" s="3">
        <v>1</v>
      </c>
      <c r="F519" s="3" t="s">
        <v>1979</v>
      </c>
      <c r="G519" s="3">
        <v>41988.923877314817</v>
      </c>
      <c r="H519" s="3">
        <v>42066.88753472222</v>
      </c>
      <c r="I519" s="3">
        <v>41988.923877314817</v>
      </c>
      <c r="J519" s="3" t="s">
        <v>103</v>
      </c>
      <c r="K519" s="3" t="s">
        <v>105</v>
      </c>
      <c r="L519" s="3" t="s">
        <v>1980</v>
      </c>
      <c r="M519" s="3" t="s">
        <v>532</v>
      </c>
      <c r="N519" s="3" t="s">
        <v>1981</v>
      </c>
      <c r="P519" s="3" t="s">
        <v>1875</v>
      </c>
      <c r="Q519" t="str">
        <f t="shared" si="36"/>
        <v>http://roarmap.eprints.org/view/country/826.html</v>
      </c>
      <c r="R519" s="3">
        <v>826</v>
      </c>
      <c r="S519" s="6" t="s">
        <v>349</v>
      </c>
      <c r="T519" s="9">
        <v>826</v>
      </c>
      <c r="U519" s="7" t="s">
        <v>123</v>
      </c>
      <c r="V519" s="6" t="s">
        <v>125</v>
      </c>
      <c r="W519" s="3" t="s">
        <v>158</v>
      </c>
      <c r="X519" s="3" t="s">
        <v>160</v>
      </c>
      <c r="Y519" s="3" t="s">
        <v>1980</v>
      </c>
      <c r="Z519" s="8" t="str">
        <f>HYPERLINK("http://www.ntu.ac.uk","http://www.ntu.ac.uk")</f>
        <v>http://www.ntu.ac.uk</v>
      </c>
      <c r="AA519" s="8" t="str">
        <f>HYPERLINK("http://www.ntu.ac.uk/library/resources_collections/irep/general_faqs/index.html","http://www.ntu.ac.uk/library/resources_collections/irep/general_faqs/index.html")</f>
        <v>http://www.ntu.ac.uk/library/resources_collections/irep/general_faqs/index.html</v>
      </c>
      <c r="AB519" s="8" t="str">
        <f>HYPERLINK("http://irep.ntu.ac.uk/","http://irep.ntu.ac.uk/")</f>
        <v>http://irep.ntu.ac.uk/</v>
      </c>
      <c r="AC519" s="3">
        <v>41640</v>
      </c>
      <c r="AF519" s="3" t="s">
        <v>244</v>
      </c>
      <c r="AG519" s="3" t="s">
        <v>178</v>
      </c>
      <c r="AH519" s="3" t="s">
        <v>180</v>
      </c>
      <c r="AI519" s="3" t="s">
        <v>392</v>
      </c>
      <c r="AJ519" s="3" t="s">
        <v>182</v>
      </c>
      <c r="AK519" s="3" t="s">
        <v>371</v>
      </c>
      <c r="AL519" s="3" t="s">
        <v>185</v>
      </c>
      <c r="AM519" s="3" t="s">
        <v>178</v>
      </c>
      <c r="AN519" s="3" t="s">
        <v>189</v>
      </c>
      <c r="AO519" s="3" t="s">
        <v>392</v>
      </c>
      <c r="AP519" s="3" t="s">
        <v>244</v>
      </c>
      <c r="AQ519" s="3" t="s">
        <v>247</v>
      </c>
      <c r="AR519" s="3" t="s">
        <v>288</v>
      </c>
      <c r="AS519" s="3" t="s">
        <v>189</v>
      </c>
      <c r="AT519" s="3" t="s">
        <v>244</v>
      </c>
      <c r="AU519" s="3" t="s">
        <v>244</v>
      </c>
      <c r="AV519" s="3" t="s">
        <v>288</v>
      </c>
      <c r="AW519" s="3" t="s">
        <v>339</v>
      </c>
      <c r="AX519" s="3" t="s">
        <v>442</v>
      </c>
      <c r="AY519" s="3" t="s">
        <v>247</v>
      </c>
    </row>
    <row r="520" spans="1:52" ht="15.75" customHeight="1">
      <c r="A520" s="3">
        <v>376</v>
      </c>
      <c r="B520" s="5" t="str">
        <f t="shared" si="0"/>
        <v>http://roarmap.eprints.org/376/</v>
      </c>
      <c r="C520" s="3">
        <v>3</v>
      </c>
      <c r="D520" s="3" t="s">
        <v>98</v>
      </c>
      <c r="E520" s="3">
        <v>1</v>
      </c>
      <c r="F520" s="3" t="s">
        <v>1982</v>
      </c>
      <c r="G520" s="3">
        <v>41988.923888888887</v>
      </c>
      <c r="H520" s="3">
        <v>41988.923888888887</v>
      </c>
      <c r="I520" s="3">
        <v>41988.923888888887</v>
      </c>
      <c r="J520" s="3" t="s">
        <v>103</v>
      </c>
      <c r="K520" s="3" t="s">
        <v>105</v>
      </c>
      <c r="L520" s="3" t="s">
        <v>1983</v>
      </c>
      <c r="M520" s="3" t="s">
        <v>532</v>
      </c>
      <c r="P520" s="3" t="s">
        <v>215</v>
      </c>
      <c r="Q520" t="str">
        <f t="shared" si="36"/>
        <v>http://roarmap.eprints.org/view/country/826.html</v>
      </c>
      <c r="R520" s="3">
        <v>826</v>
      </c>
      <c r="S520" s="6" t="s">
        <v>349</v>
      </c>
      <c r="T520" s="9">
        <v>826</v>
      </c>
      <c r="U520" s="7" t="s">
        <v>123</v>
      </c>
      <c r="V520" s="6" t="s">
        <v>125</v>
      </c>
      <c r="W520" s="3" t="s">
        <v>158</v>
      </c>
      <c r="X520" s="3" t="s">
        <v>160</v>
      </c>
      <c r="Y520" s="3" t="s">
        <v>1983</v>
      </c>
      <c r="Z520" s="8" t="str">
        <f>HYPERLINK("http://www.qmu.ac.uk/","http://www.qmu.ac.uk/")</f>
        <v>http://www.qmu.ac.uk/</v>
      </c>
      <c r="AA520" s="8" t="str">
        <f>HYPERLINK("http://eresearch.qmu.ac.uk/policies.html","http://eresearch.qmu.ac.uk/policies.html")</f>
        <v>http://eresearch.qmu.ac.uk/policies.html</v>
      </c>
      <c r="AB520" s="8" t="str">
        <f>HYPERLINK("http://eresearch.qmu.ac.uk/","http://eresearch.qmu.ac.uk/")</f>
        <v>http://eresearch.qmu.ac.uk/</v>
      </c>
      <c r="AC520" s="3">
        <v>39567</v>
      </c>
      <c r="AF520" s="3" t="s">
        <v>177</v>
      </c>
      <c r="AG520" s="3" t="s">
        <v>178</v>
      </c>
      <c r="AH520" s="3" t="s">
        <v>180</v>
      </c>
      <c r="AI520" s="3" t="s">
        <v>244</v>
      </c>
      <c r="AJ520" s="3" t="s">
        <v>182</v>
      </c>
      <c r="AK520" s="3" t="s">
        <v>371</v>
      </c>
      <c r="AL520" s="3" t="s">
        <v>244</v>
      </c>
      <c r="AM520" s="3" t="s">
        <v>247</v>
      </c>
      <c r="AN520" s="3" t="s">
        <v>244</v>
      </c>
      <c r="AO520" s="3" t="s">
        <v>181</v>
      </c>
      <c r="AP520" s="3" t="s">
        <v>185</v>
      </c>
      <c r="AQ520" s="3" t="s">
        <v>386</v>
      </c>
      <c r="AR520" s="3" t="s">
        <v>288</v>
      </c>
      <c r="AS520" s="3" t="s">
        <v>288</v>
      </c>
      <c r="AT520" s="3" t="s">
        <v>244</v>
      </c>
      <c r="AU520" s="3" t="s">
        <v>244</v>
      </c>
      <c r="AV520" s="3" t="s">
        <v>288</v>
      </c>
      <c r="AW520" s="3" t="s">
        <v>339</v>
      </c>
      <c r="AX520" s="3" t="s">
        <v>244</v>
      </c>
      <c r="AY520" s="3" t="s">
        <v>247</v>
      </c>
    </row>
    <row r="521" spans="1:52" ht="15.75" customHeight="1">
      <c r="A521" s="3">
        <v>693</v>
      </c>
      <c r="B521" s="5" t="str">
        <f t="shared" si="0"/>
        <v>http://roarmap.eprints.org/693/</v>
      </c>
      <c r="C521" s="3">
        <v>4</v>
      </c>
      <c r="D521" s="3" t="s">
        <v>98</v>
      </c>
      <c r="E521" s="3">
        <v>392</v>
      </c>
      <c r="F521" s="3" t="s">
        <v>1984</v>
      </c>
      <c r="G521" s="3">
        <v>42076.572060185186</v>
      </c>
      <c r="H521" s="3">
        <v>42076.572060185186</v>
      </c>
      <c r="I521" s="3">
        <v>42076.572060185186</v>
      </c>
      <c r="J521" s="3" t="s">
        <v>103</v>
      </c>
      <c r="K521" s="3" t="s">
        <v>105</v>
      </c>
      <c r="L521" s="3" t="s">
        <v>1985</v>
      </c>
      <c r="P521" s="3" t="s">
        <v>1903</v>
      </c>
      <c r="Q521" t="str">
        <f t="shared" si="36"/>
        <v>http://roarmap.eprints.org/view/country/826.html</v>
      </c>
      <c r="R521" s="3">
        <v>826</v>
      </c>
      <c r="S521" s="6" t="s">
        <v>349</v>
      </c>
      <c r="T521" s="9">
        <v>826</v>
      </c>
      <c r="U521" s="7" t="s">
        <v>123</v>
      </c>
      <c r="V521" s="6" t="s">
        <v>125</v>
      </c>
      <c r="W521" s="3" t="s">
        <v>158</v>
      </c>
      <c r="X521" s="3" t="s">
        <v>160</v>
      </c>
      <c r="Y521" s="3" t="s">
        <v>1985</v>
      </c>
      <c r="Z521" s="8" t="str">
        <f>HYPERLINK("http://www.qub.ac.uk/","http://www.qub.ac.uk/")</f>
        <v>http://www.qub.ac.uk/</v>
      </c>
      <c r="AA521" s="8" t="str">
        <f>HYPERLINK("http://www.qub.ac.uk/directorates/InformationServices/TheLibrary/FileStore/Filetoupload,471694,en.pdf","http://www.qub.ac.uk/directorates/InformationServices/TheLibrary/FileStore/Filetoupload,471694,en.pdf")</f>
        <v>http://www.qub.ac.uk/directorates/InformationServices/TheLibrary/FileStore/Filetoupload,471694,en.pdf</v>
      </c>
      <c r="AB521" s="8" t="str">
        <f>HYPERLINK("http://pure.qub.ac.uk/portal/","http://pure.qub.ac.uk/portal/")</f>
        <v>http://pure.qub.ac.uk/portal/</v>
      </c>
      <c r="AC521" s="3">
        <v>41932</v>
      </c>
      <c r="AD521" s="3">
        <v>41944</v>
      </c>
      <c r="AF521" s="3" t="s">
        <v>177</v>
      </c>
      <c r="AG521" s="3" t="s">
        <v>178</v>
      </c>
      <c r="AH521" s="3" t="s">
        <v>180</v>
      </c>
      <c r="AI521" s="3" t="s">
        <v>371</v>
      </c>
      <c r="AJ521" s="3" t="s">
        <v>182</v>
      </c>
      <c r="AK521" s="3" t="s">
        <v>393</v>
      </c>
      <c r="AL521" s="3" t="s">
        <v>244</v>
      </c>
      <c r="AM521" s="3" t="s">
        <v>178</v>
      </c>
      <c r="AN521" s="3" t="s">
        <v>244</v>
      </c>
      <c r="AO521" s="3" t="s">
        <v>181</v>
      </c>
      <c r="AP521" s="3" t="s">
        <v>244</v>
      </c>
      <c r="AQ521" s="3" t="s">
        <v>247</v>
      </c>
      <c r="AR521" s="3" t="s">
        <v>244</v>
      </c>
      <c r="AS521" s="3" t="s">
        <v>244</v>
      </c>
      <c r="AT521" s="3" t="s">
        <v>244</v>
      </c>
      <c r="AU521" s="3" t="s">
        <v>244</v>
      </c>
      <c r="AV521" s="3" t="s">
        <v>244</v>
      </c>
      <c r="AW521" s="3" t="s">
        <v>244</v>
      </c>
      <c r="AX521" s="3" t="s">
        <v>442</v>
      </c>
      <c r="AY521" s="3" t="s">
        <v>521</v>
      </c>
      <c r="AZ521" s="8" t="str">
        <f>HYPERLINK("http://www.qub.ac.uk/directorates/InformationServices/TheLibrary/OpenAccess/GoldOpenAccessFunding/","http://www.qub.ac.uk/directorates/InformationServices/TheLibrary/OpenAccess/GoldOpenAccessFunding/")</f>
        <v>http://www.qub.ac.uk/directorates/InformationServices/TheLibrary/OpenAccess/GoldOpenAccessFunding/</v>
      </c>
    </row>
    <row r="522" spans="1:52" ht="15.75" customHeight="1">
      <c r="A522" s="3">
        <v>375</v>
      </c>
      <c r="B522" s="5" t="str">
        <f t="shared" si="0"/>
        <v>http://roarmap.eprints.org/375/</v>
      </c>
      <c r="C522" s="3">
        <v>3</v>
      </c>
      <c r="D522" s="3" t="s">
        <v>98</v>
      </c>
      <c r="E522" s="3">
        <v>1</v>
      </c>
      <c r="F522" s="3" t="s">
        <v>1986</v>
      </c>
      <c r="G522" s="3">
        <v>41988.923888888887</v>
      </c>
      <c r="H522" s="3">
        <v>41988.923888888887</v>
      </c>
      <c r="I522" s="3">
        <v>41988.923888888887</v>
      </c>
      <c r="J522" s="3" t="s">
        <v>103</v>
      </c>
      <c r="K522" s="3" t="s">
        <v>105</v>
      </c>
      <c r="L522" s="3" t="s">
        <v>1987</v>
      </c>
      <c r="M522" s="3" t="s">
        <v>374</v>
      </c>
      <c r="N522" s="3" t="s">
        <v>1869</v>
      </c>
      <c r="P522" s="3" t="s">
        <v>215</v>
      </c>
      <c r="Q522" t="str">
        <f t="shared" si="36"/>
        <v>http://roarmap.eprints.org/view/country/826.html</v>
      </c>
      <c r="R522" s="3">
        <v>826</v>
      </c>
      <c r="S522" s="6" t="s">
        <v>349</v>
      </c>
      <c r="T522" s="9">
        <v>826</v>
      </c>
      <c r="U522" s="7" t="s">
        <v>123</v>
      </c>
      <c r="V522" s="6" t="s">
        <v>125</v>
      </c>
      <c r="W522" s="3" t="s">
        <v>158</v>
      </c>
      <c r="X522" s="3" t="s">
        <v>376</v>
      </c>
      <c r="Y522" s="3" t="s">
        <v>1987</v>
      </c>
      <c r="Z522" s="8" t="str">
        <f>HYPERLINK("http://www.rcuk.ac.uk/","http://www.rcuk.ac.uk/")</f>
        <v>http://www.rcuk.ac.uk/</v>
      </c>
      <c r="AA522" s="8" t="str">
        <f>HYPERLINK("http://www.rcuk.ac.uk/RCUK-prod/assets/documents/documents/RCUKOpenAccessPolicy.pdf","http://www.rcuk.ac.uk/RCUK-prod/assets/documents/documents/RCUKOpenAccessPolicy.pdf")</f>
        <v>http://www.rcuk.ac.uk/RCUK-prod/assets/documents/documents/RCUKOpenAccessPolicy.pdf</v>
      </c>
      <c r="AC522" s="3">
        <v>41107</v>
      </c>
      <c r="AD522" s="3">
        <v>41365</v>
      </c>
      <c r="AF522" s="3" t="s">
        <v>177</v>
      </c>
      <c r="AG522" s="3" t="s">
        <v>178</v>
      </c>
      <c r="AH522" s="3" t="s">
        <v>370</v>
      </c>
      <c r="AI522" s="3" t="s">
        <v>377</v>
      </c>
      <c r="AJ522" s="3" t="s">
        <v>182</v>
      </c>
      <c r="AK522" s="3" t="s">
        <v>393</v>
      </c>
      <c r="AL522" s="3" t="s">
        <v>185</v>
      </c>
      <c r="AM522" s="3" t="s">
        <v>178</v>
      </c>
      <c r="AN522" s="3" t="s">
        <v>244</v>
      </c>
      <c r="AO522" s="3" t="s">
        <v>378</v>
      </c>
      <c r="AP522" s="3" t="s">
        <v>185</v>
      </c>
      <c r="AQ522" s="3" t="s">
        <v>386</v>
      </c>
      <c r="AR522" s="3" t="s">
        <v>288</v>
      </c>
      <c r="AS522" s="3" t="s">
        <v>288</v>
      </c>
      <c r="AT522" s="3" t="s">
        <v>379</v>
      </c>
      <c r="AU522" s="3" t="s">
        <v>395</v>
      </c>
      <c r="AV522" s="3" t="s">
        <v>185</v>
      </c>
      <c r="AW522" s="3" t="s">
        <v>520</v>
      </c>
      <c r="AX522" s="3" t="s">
        <v>341</v>
      </c>
      <c r="AY522" s="3" t="s">
        <v>521</v>
      </c>
    </row>
    <row r="523" spans="1:52" ht="15.75" customHeight="1">
      <c r="A523" s="3">
        <v>377</v>
      </c>
      <c r="B523" s="5" t="str">
        <f t="shared" si="0"/>
        <v>http://roarmap.eprints.org/377/</v>
      </c>
      <c r="C523" s="3">
        <v>4</v>
      </c>
      <c r="D523" s="3" t="s">
        <v>98</v>
      </c>
      <c r="E523" s="3">
        <v>1</v>
      </c>
      <c r="F523" s="3" t="s">
        <v>1988</v>
      </c>
      <c r="G523" s="3">
        <v>41988.923888888887</v>
      </c>
      <c r="H523" s="3">
        <v>42024.65315972222</v>
      </c>
      <c r="I523" s="3">
        <v>41988.923888888887</v>
      </c>
      <c r="J523" s="3" t="s">
        <v>103</v>
      </c>
      <c r="K523" s="3" t="s">
        <v>105</v>
      </c>
      <c r="L523" s="3" t="s">
        <v>1989</v>
      </c>
      <c r="M523" s="3" t="s">
        <v>307</v>
      </c>
      <c r="N523" s="3" t="s">
        <v>1990</v>
      </c>
      <c r="P523" s="3" t="s">
        <v>215</v>
      </c>
      <c r="Q523" t="str">
        <f t="shared" si="36"/>
        <v>http://roarmap.eprints.org/view/country/826.html</v>
      </c>
      <c r="R523" s="3">
        <v>826</v>
      </c>
      <c r="S523" s="6" t="s">
        <v>349</v>
      </c>
      <c r="T523" s="9">
        <v>826</v>
      </c>
      <c r="U523" s="7" t="s">
        <v>123</v>
      </c>
      <c r="V523" s="6" t="s">
        <v>125</v>
      </c>
      <c r="W523" s="3" t="s">
        <v>158</v>
      </c>
      <c r="X523" s="3" t="s">
        <v>160</v>
      </c>
      <c r="Y523" s="3" t="s">
        <v>1989</v>
      </c>
      <c r="Z523" s="8" t="str">
        <f>HYPERLINK("http://www.roehampton.ac.uk","http://www.roehampton.ac.uk")</f>
        <v>http://www.roehampton.ac.uk</v>
      </c>
      <c r="AB523" s="8" t="str">
        <f>HYPERLINK("http://roehampton.openrepository.com/roehampton/","http://roehampton.openrepository.com/roehampton/")</f>
        <v>http://roehampton.openrepository.com/roehampton/</v>
      </c>
      <c r="AF523" s="3" t="s">
        <v>177</v>
      </c>
      <c r="AG523" s="3" t="s">
        <v>178</v>
      </c>
      <c r="AH523" s="3" t="s">
        <v>180</v>
      </c>
      <c r="AI523" s="3" t="s">
        <v>244</v>
      </c>
      <c r="AJ523" s="3" t="s">
        <v>182</v>
      </c>
      <c r="AK523" s="3" t="s">
        <v>244</v>
      </c>
      <c r="AL523" s="3" t="s">
        <v>244</v>
      </c>
      <c r="AM523" s="3" t="s">
        <v>247</v>
      </c>
      <c r="AN523" s="3" t="s">
        <v>244</v>
      </c>
      <c r="AO523" s="3" t="s">
        <v>247</v>
      </c>
      <c r="AP523" s="3" t="s">
        <v>244</v>
      </c>
      <c r="AQ523" s="3" t="s">
        <v>247</v>
      </c>
      <c r="AR523" s="3" t="s">
        <v>288</v>
      </c>
      <c r="AS523" s="3" t="s">
        <v>244</v>
      </c>
      <c r="AT523" s="3" t="s">
        <v>244</v>
      </c>
      <c r="AU523" s="3" t="s">
        <v>244</v>
      </c>
      <c r="AV523" s="3" t="s">
        <v>288</v>
      </c>
      <c r="AW523" s="3" t="s">
        <v>244</v>
      </c>
      <c r="AX523" s="3" t="s">
        <v>244</v>
      </c>
      <c r="AY523" s="3" t="s">
        <v>247</v>
      </c>
    </row>
    <row r="524" spans="1:52" ht="15.75" customHeight="1">
      <c r="A524" s="3">
        <v>378</v>
      </c>
      <c r="B524" s="5" t="str">
        <f t="shared" si="0"/>
        <v>http://roarmap.eprints.org/378/</v>
      </c>
      <c r="C524" s="3">
        <v>3</v>
      </c>
      <c r="D524" s="3" t="s">
        <v>98</v>
      </c>
      <c r="E524" s="3">
        <v>1</v>
      </c>
      <c r="F524" s="3" t="s">
        <v>1991</v>
      </c>
      <c r="G524" s="3">
        <v>41988.923888888887</v>
      </c>
      <c r="H524" s="3">
        <v>41988.923888888887</v>
      </c>
      <c r="I524" s="3">
        <v>41988.923888888887</v>
      </c>
      <c r="J524" s="3" t="s">
        <v>103</v>
      </c>
      <c r="K524" s="3" t="s">
        <v>105</v>
      </c>
      <c r="L524" s="3" t="s">
        <v>1992</v>
      </c>
      <c r="M524" s="3" t="s">
        <v>374</v>
      </c>
      <c r="N524" s="3" t="s">
        <v>1993</v>
      </c>
      <c r="P524" s="3" t="s">
        <v>215</v>
      </c>
      <c r="Q524" t="str">
        <f t="shared" si="36"/>
        <v>http://roarmap.eprints.org/view/country/826.html</v>
      </c>
      <c r="R524" s="3">
        <v>826</v>
      </c>
      <c r="S524" s="6" t="s">
        <v>349</v>
      </c>
      <c r="T524" s="9">
        <v>826</v>
      </c>
      <c r="U524" s="7" t="s">
        <v>123</v>
      </c>
      <c r="V524" s="6" t="s">
        <v>125</v>
      </c>
      <c r="W524" s="3" t="s">
        <v>158</v>
      </c>
      <c r="X524" s="3" t="s">
        <v>160</v>
      </c>
      <c r="Y524" s="3" t="s">
        <v>1992</v>
      </c>
      <c r="Z524" s="8" t="str">
        <f>HYPERLINK("https://www.royalholloway.ac.uk/home.aspx","https://www.royalholloway.ac.uk/home.aspx")</f>
        <v>https://www.royalholloway.ac.uk/home.aspx</v>
      </c>
      <c r="AA524" s="8" t="str">
        <f>HYPERLINK("https://www.royalholloway.ac.uk/library/documents/policies/royalhollowayoapp.pdf","https://www.royalholloway.ac.uk/library/documents/policies/royalhollowayoapp.pdf")</f>
        <v>https://www.royalholloway.ac.uk/library/documents/policies/royalhollowayoapp.pdf</v>
      </c>
      <c r="AB524" s="8" t="str">
        <f>HYPERLINK("http://digirep.rhul.ac.uk/access/search.do?hier.topic=cf34f320-af5e-6950-c244-1dfc3a2c5315","http://digirep.rhul.ac.uk/access/search.do?hier.topic=cf34f320-af5e-6950-c244-1dfc3a2c5315")</f>
        <v>http://digirep.rhul.ac.uk/access/search.do?hier.topic=cf34f320-af5e-6950-c244-1dfc3a2c5315</v>
      </c>
      <c r="AC524" s="3">
        <v>40148</v>
      </c>
      <c r="AD524" s="3">
        <v>40422</v>
      </c>
      <c r="AE524" s="3">
        <v>41579</v>
      </c>
      <c r="AF524" s="3" t="s">
        <v>177</v>
      </c>
      <c r="AG524" s="3" t="s">
        <v>178</v>
      </c>
      <c r="AH524" s="3" t="s">
        <v>180</v>
      </c>
      <c r="AI524" s="3" t="s">
        <v>187</v>
      </c>
      <c r="AJ524" s="3" t="s">
        <v>182</v>
      </c>
      <c r="AK524" s="3" t="s">
        <v>393</v>
      </c>
      <c r="AL524" s="3" t="s">
        <v>185</v>
      </c>
      <c r="AM524" s="3" t="s">
        <v>178</v>
      </c>
      <c r="AN524" s="3" t="s">
        <v>244</v>
      </c>
      <c r="AO524" s="3" t="s">
        <v>181</v>
      </c>
      <c r="AP524" s="3" t="s">
        <v>185</v>
      </c>
      <c r="AQ524" s="3" t="s">
        <v>386</v>
      </c>
      <c r="AR524" s="3" t="s">
        <v>288</v>
      </c>
      <c r="AS524" s="3" t="s">
        <v>288</v>
      </c>
      <c r="AT524" s="3" t="s">
        <v>244</v>
      </c>
      <c r="AU524" s="3" t="s">
        <v>244</v>
      </c>
      <c r="AV524" s="3" t="s">
        <v>288</v>
      </c>
      <c r="AW524" s="3" t="s">
        <v>339</v>
      </c>
      <c r="AX524" s="3" t="s">
        <v>442</v>
      </c>
      <c r="AY524" s="3" t="s">
        <v>428</v>
      </c>
      <c r="AZ524" s="8" t="str">
        <f>HYPERLINK("https://www.royalholloway.ac.uk/library/documents/policies/rhulapcpolicy.pdf","https://www.royalholloway.ac.uk/library/documents/policies/rhulapcpolicy.pdf")</f>
        <v>https://www.royalholloway.ac.uk/library/documents/policies/rhulapcpolicy.pdf</v>
      </c>
    </row>
    <row r="525" spans="1:52" ht="15.75" customHeight="1">
      <c r="A525" s="3">
        <v>379</v>
      </c>
      <c r="B525" s="5" t="str">
        <f t="shared" si="0"/>
        <v>http://roarmap.eprints.org/379/</v>
      </c>
      <c r="C525" s="3">
        <v>4</v>
      </c>
      <c r="D525" s="3" t="s">
        <v>98</v>
      </c>
      <c r="E525" s="3">
        <v>1</v>
      </c>
      <c r="F525" s="3" t="s">
        <v>1994</v>
      </c>
      <c r="G525" s="3">
        <v>41988.923888888887</v>
      </c>
      <c r="H525" s="3">
        <v>42046.487349537034</v>
      </c>
      <c r="I525" s="3">
        <v>41988.923888888887</v>
      </c>
      <c r="J525" s="3" t="s">
        <v>103</v>
      </c>
      <c r="K525" s="3" t="s">
        <v>105</v>
      </c>
      <c r="L525" s="3" t="s">
        <v>1995</v>
      </c>
      <c r="M525" s="3" t="s">
        <v>374</v>
      </c>
      <c r="N525" s="3" t="s">
        <v>1869</v>
      </c>
      <c r="P525" s="3" t="s">
        <v>215</v>
      </c>
      <c r="Q525" t="str">
        <f t="shared" si="36"/>
        <v>http://roarmap.eprints.org/view/country/826.html</v>
      </c>
      <c r="R525" s="3">
        <v>826</v>
      </c>
      <c r="S525" s="6" t="s">
        <v>349</v>
      </c>
      <c r="T525" s="9">
        <v>826</v>
      </c>
      <c r="U525" s="7" t="s">
        <v>123</v>
      </c>
      <c r="V525" s="6" t="s">
        <v>125</v>
      </c>
      <c r="W525" s="3" t="s">
        <v>158</v>
      </c>
      <c r="X525" s="3" t="s">
        <v>376</v>
      </c>
      <c r="Y525" s="3" t="s">
        <v>1995</v>
      </c>
      <c r="Z525" s="8" t="str">
        <f>HYPERLINK("http://www.stfc.ac.uk/Home.aspx","http://www.stfc.ac.uk/Home.aspx")</f>
        <v>http://www.stfc.ac.uk/Home.aspx</v>
      </c>
      <c r="AA525" s="8" t="str">
        <f>HYPERLINK("http://www.rcuk.ac.uk/RCUK-prod/assets/documents/documents/RCUKOpenAccessPolicy.pdf","http://www.rcuk.ac.uk/RCUK-prod/assets/documents/documents/RCUKOpenAccessPolicy.pdf")</f>
        <v>http://www.rcuk.ac.uk/RCUK-prod/assets/documents/documents/RCUKOpenAccessPolicy.pdf</v>
      </c>
      <c r="AC525" s="3">
        <v>39010</v>
      </c>
      <c r="AD525" s="3">
        <v>39052</v>
      </c>
      <c r="AE525" s="3">
        <v>41365</v>
      </c>
      <c r="AF525" s="3" t="s">
        <v>177</v>
      </c>
      <c r="AG525" s="3" t="s">
        <v>178</v>
      </c>
      <c r="AH525" s="3" t="s">
        <v>370</v>
      </c>
      <c r="AI525" s="3" t="s">
        <v>377</v>
      </c>
      <c r="AJ525" s="3" t="s">
        <v>182</v>
      </c>
      <c r="AK525" s="3" t="s">
        <v>393</v>
      </c>
      <c r="AL525" s="3" t="s">
        <v>185</v>
      </c>
      <c r="AM525" s="3" t="s">
        <v>178</v>
      </c>
      <c r="AN525" s="3" t="s">
        <v>244</v>
      </c>
      <c r="AO525" s="3" t="s">
        <v>378</v>
      </c>
      <c r="AP525" s="3" t="s">
        <v>185</v>
      </c>
      <c r="AQ525" s="3" t="s">
        <v>386</v>
      </c>
      <c r="AR525" s="3" t="s">
        <v>288</v>
      </c>
      <c r="AS525" s="3" t="s">
        <v>288</v>
      </c>
      <c r="AT525" s="3" t="s">
        <v>379</v>
      </c>
      <c r="AU525" s="3" t="s">
        <v>395</v>
      </c>
      <c r="AV525" s="3" t="s">
        <v>185</v>
      </c>
      <c r="AW525" s="3" t="s">
        <v>520</v>
      </c>
      <c r="AX525" s="3" t="s">
        <v>341</v>
      </c>
      <c r="AY525" s="3" t="s">
        <v>521</v>
      </c>
    </row>
    <row r="526" spans="1:52" ht="15.75" customHeight="1">
      <c r="A526" s="3">
        <v>380</v>
      </c>
      <c r="B526" s="5" t="str">
        <f t="shared" si="0"/>
        <v>http://roarmap.eprints.org/380/</v>
      </c>
      <c r="C526" s="3">
        <v>4</v>
      </c>
      <c r="D526" s="3" t="s">
        <v>98</v>
      </c>
      <c r="E526" s="3">
        <v>303</v>
      </c>
      <c r="F526" s="3" t="s">
        <v>1996</v>
      </c>
      <c r="G526" s="3">
        <v>41988.923888888887</v>
      </c>
      <c r="H526" s="3">
        <v>42046.981712962966</v>
      </c>
      <c r="I526" s="3">
        <v>41988.923888888887</v>
      </c>
      <c r="J526" s="3" t="s">
        <v>103</v>
      </c>
      <c r="K526" s="3" t="s">
        <v>105</v>
      </c>
      <c r="L526" s="3" t="s">
        <v>1997</v>
      </c>
      <c r="M526" s="3" t="s">
        <v>374</v>
      </c>
      <c r="N526" s="3" t="s">
        <v>1998</v>
      </c>
      <c r="P526" s="3" t="s">
        <v>215</v>
      </c>
      <c r="Q526" t="str">
        <f t="shared" si="36"/>
        <v>http://roarmap.eprints.org/view/country/826.html</v>
      </c>
      <c r="R526" s="3">
        <v>826</v>
      </c>
      <c r="S526" s="6" t="s">
        <v>349</v>
      </c>
      <c r="T526" s="9">
        <v>826</v>
      </c>
      <c r="U526" s="7" t="s">
        <v>123</v>
      </c>
      <c r="V526" s="6" t="s">
        <v>125</v>
      </c>
      <c r="W526" s="3" t="s">
        <v>158</v>
      </c>
      <c r="X526" s="3" t="s">
        <v>160</v>
      </c>
      <c r="Y526" s="3" t="s">
        <v>1997</v>
      </c>
      <c r="Z526" s="8" t="str">
        <f>HYPERLINK("http://www.sgul.ac.uk/","http://www.sgul.ac.uk/")</f>
        <v>http://www.sgul.ac.uk/</v>
      </c>
      <c r="AA526" s="8" t="str">
        <f>HYPERLINK("http://roarmap.eprints.org/910/1/Research%20Publications%20Policy%20v04.pdf","http://roarmap.eprints.org/910/1/Research%20Publications%20Policy%20v04.pdf")</f>
        <v>http://roarmap.eprints.org/910/1/Research%20Publications%20Policy%20v04.pdf</v>
      </c>
      <c r="AB526" s="8" t="str">
        <f>HYPERLINK("http://openaccess.sgul.ac.uk/","http://openaccess.sgul.ac.uk/")</f>
        <v>http://openaccess.sgul.ac.uk/</v>
      </c>
      <c r="AC526" s="3">
        <v>41492</v>
      </c>
      <c r="AD526" s="3">
        <v>41492</v>
      </c>
      <c r="AE526" s="3">
        <v>41684</v>
      </c>
      <c r="AF526" s="3" t="s">
        <v>177</v>
      </c>
      <c r="AG526" s="3" t="s">
        <v>178</v>
      </c>
      <c r="AH526" s="3" t="s">
        <v>180</v>
      </c>
      <c r="AI526" s="3" t="s">
        <v>244</v>
      </c>
      <c r="AJ526" s="3" t="s">
        <v>182</v>
      </c>
      <c r="AK526" s="3" t="s">
        <v>393</v>
      </c>
      <c r="AL526" s="3" t="s">
        <v>189</v>
      </c>
      <c r="AM526" s="3" t="s">
        <v>371</v>
      </c>
      <c r="AN526" s="3" t="s">
        <v>189</v>
      </c>
      <c r="AO526" s="3" t="s">
        <v>247</v>
      </c>
      <c r="AP526" s="3" t="s">
        <v>185</v>
      </c>
      <c r="AQ526" s="3" t="s">
        <v>386</v>
      </c>
      <c r="AR526" s="3" t="s">
        <v>288</v>
      </c>
      <c r="AS526" s="3" t="s">
        <v>288</v>
      </c>
      <c r="AT526" s="3" t="s">
        <v>244</v>
      </c>
      <c r="AU526" s="3" t="s">
        <v>244</v>
      </c>
      <c r="AV526" s="3" t="s">
        <v>288</v>
      </c>
      <c r="AW526" s="3" t="s">
        <v>339</v>
      </c>
      <c r="AX526" s="3" t="s">
        <v>244</v>
      </c>
      <c r="AY526" s="3" t="s">
        <v>428</v>
      </c>
    </row>
    <row r="527" spans="1:52" ht="15.75" customHeight="1">
      <c r="A527" s="3">
        <v>381</v>
      </c>
      <c r="B527" s="5" t="str">
        <f t="shared" si="0"/>
        <v>http://roarmap.eprints.org/381/</v>
      </c>
      <c r="C527" s="3">
        <v>3</v>
      </c>
      <c r="D527" s="3" t="s">
        <v>98</v>
      </c>
      <c r="E527" s="3">
        <v>1</v>
      </c>
      <c r="F527" s="3" t="s">
        <v>1999</v>
      </c>
      <c r="G527" s="3">
        <v>41988.923888888887</v>
      </c>
      <c r="H527" s="3">
        <v>41988.923900462964</v>
      </c>
      <c r="I527" s="3">
        <v>41988.923888888887</v>
      </c>
      <c r="J527" s="3" t="s">
        <v>103</v>
      </c>
      <c r="K527" s="3" t="s">
        <v>105</v>
      </c>
      <c r="L527" s="3" t="s">
        <v>2000</v>
      </c>
      <c r="M527" s="3" t="s">
        <v>374</v>
      </c>
      <c r="N527" s="3" t="s">
        <v>2001</v>
      </c>
      <c r="P527" s="3" t="s">
        <v>215</v>
      </c>
      <c r="Q527" t="str">
        <f t="shared" si="36"/>
        <v>http://roarmap.eprints.org/view/country/826.html</v>
      </c>
      <c r="R527" s="3">
        <v>826</v>
      </c>
      <c r="S527" s="6" t="s">
        <v>349</v>
      </c>
      <c r="T527" s="9">
        <v>826</v>
      </c>
      <c r="U527" s="7" t="s">
        <v>123</v>
      </c>
      <c r="V527" s="6" t="s">
        <v>125</v>
      </c>
      <c r="W527" s="3" t="s">
        <v>158</v>
      </c>
      <c r="X527" s="3" t="s">
        <v>160</v>
      </c>
      <c r="Y527" s="3" t="s">
        <v>2000</v>
      </c>
      <c r="Z527" s="8" t="str">
        <f>HYPERLINK("http://www.tees.ac.uk/","http://www.tees.ac.uk/")</f>
        <v>http://www.tees.ac.uk/</v>
      </c>
      <c r="AA527" s="8" t="str">
        <f>HYPERLINK("http://tees.openrepository.com/tees/bitstream/10149/278893/2/278893.pdf","http://tees.openrepository.com/tees/bitstream/10149/278893/2/278893.pdf")</f>
        <v>http://tees.openrepository.com/tees/bitstream/10149/278893/2/278893.pdf</v>
      </c>
      <c r="AB527" s="8" t="str">
        <f>HYPERLINK("http://tees.openrepository.com/tees/","http://tees.openrepository.com/tees/")</f>
        <v>http://tees.openrepository.com/tees/</v>
      </c>
      <c r="AC527" s="3">
        <v>40360</v>
      </c>
      <c r="AE527" s="3">
        <v>40452</v>
      </c>
      <c r="AF527" s="3" t="s">
        <v>177</v>
      </c>
      <c r="AG527" s="3" t="s">
        <v>178</v>
      </c>
      <c r="AH527" s="3" t="s">
        <v>180</v>
      </c>
      <c r="AI527" s="3" t="s">
        <v>181</v>
      </c>
      <c r="AJ527" s="3" t="s">
        <v>182</v>
      </c>
      <c r="AK527" s="3" t="s">
        <v>393</v>
      </c>
      <c r="AL527" s="3" t="s">
        <v>189</v>
      </c>
      <c r="AM527" s="3" t="s">
        <v>479</v>
      </c>
      <c r="AN527" s="3" t="s">
        <v>244</v>
      </c>
      <c r="AO527" s="3" t="s">
        <v>181</v>
      </c>
      <c r="AP527" s="3" t="s">
        <v>185</v>
      </c>
      <c r="AQ527" s="3" t="s">
        <v>386</v>
      </c>
      <c r="AR527" s="3" t="s">
        <v>288</v>
      </c>
      <c r="AS527" s="3" t="s">
        <v>288</v>
      </c>
      <c r="AT527" s="3" t="s">
        <v>244</v>
      </c>
      <c r="AU527" s="3" t="s">
        <v>244</v>
      </c>
      <c r="AV527" s="3" t="s">
        <v>288</v>
      </c>
      <c r="AW527" s="3" t="s">
        <v>339</v>
      </c>
      <c r="AX527" s="3" t="s">
        <v>244</v>
      </c>
      <c r="AY527" s="3" t="s">
        <v>247</v>
      </c>
    </row>
    <row r="528" spans="1:52" ht="15.75" customHeight="1">
      <c r="A528" s="3">
        <v>382</v>
      </c>
      <c r="B528" s="5" t="str">
        <f t="shared" si="0"/>
        <v>http://roarmap.eprints.org/382/</v>
      </c>
      <c r="C528" s="3">
        <v>4</v>
      </c>
      <c r="D528" s="3" t="s">
        <v>98</v>
      </c>
      <c r="E528" s="3">
        <v>1</v>
      </c>
      <c r="F528" s="3" t="s">
        <v>2002</v>
      </c>
      <c r="G528" s="3">
        <v>41988.923900462964</v>
      </c>
      <c r="H528" s="3">
        <v>41988.923900462964</v>
      </c>
      <c r="I528" s="3">
        <v>41988.923900462964</v>
      </c>
      <c r="J528" s="3" t="s">
        <v>103</v>
      </c>
      <c r="K528" s="3" t="s">
        <v>105</v>
      </c>
      <c r="L528" s="3" t="s">
        <v>2003</v>
      </c>
      <c r="M528" s="3" t="s">
        <v>374</v>
      </c>
      <c r="N528" s="3" t="s">
        <v>2004</v>
      </c>
      <c r="O528" s="3" t="s">
        <v>2005</v>
      </c>
      <c r="P528" s="3" t="s">
        <v>215</v>
      </c>
      <c r="Q528" t="str">
        <f t="shared" si="36"/>
        <v>http://roarmap.eprints.org/view/country/826.html</v>
      </c>
      <c r="R528" s="3">
        <v>826</v>
      </c>
      <c r="S528" s="6" t="s">
        <v>349</v>
      </c>
      <c r="T528" s="9">
        <v>826</v>
      </c>
      <c r="U528" s="7" t="s">
        <v>123</v>
      </c>
      <c r="V528" s="6" t="s">
        <v>125</v>
      </c>
      <c r="W528" s="3" t="s">
        <v>158</v>
      </c>
      <c r="X528" s="3" t="s">
        <v>376</v>
      </c>
      <c r="Y528" s="3" t="s">
        <v>2003</v>
      </c>
      <c r="Z528" s="8" t="str">
        <f>HYPERLINK("http://www.dunhillmedical.org.uk/_files/D7F0395691A12397B44F6F3E1C5A4028.pdf","http://www.dunhillmedical.org.uk/_files/D7F0395691A12397B44F6F3E1C5A4028.pdf")</f>
        <v>http://www.dunhillmedical.org.uk/_files/D7F0395691A12397B44F6F3E1C5A4028.pdf</v>
      </c>
      <c r="AA528" s="8" t="str">
        <f>HYPERLINK("http://roarmap.eprints.org/509/1/open_access_april11.pdf","http://roarmap.eprints.org/509/1/open_access_april11.pdf")</f>
        <v>http://roarmap.eprints.org/509/1/open_access_april11.pdf</v>
      </c>
      <c r="AB528" s="8" t="str">
        <f>HYPERLINK("http://europepmc.org/","http://europepmc.org/")</f>
        <v>http://europepmc.org/</v>
      </c>
      <c r="AF528" s="3" t="s">
        <v>177</v>
      </c>
      <c r="AG528" s="3" t="s">
        <v>178</v>
      </c>
      <c r="AH528" s="3" t="s">
        <v>463</v>
      </c>
      <c r="AI528" s="3" t="s">
        <v>377</v>
      </c>
      <c r="AJ528" s="3" t="s">
        <v>182</v>
      </c>
      <c r="AK528" s="3" t="s">
        <v>393</v>
      </c>
      <c r="AL528" s="3" t="s">
        <v>185</v>
      </c>
      <c r="AM528" s="3" t="s">
        <v>178</v>
      </c>
      <c r="AN528" s="3" t="s">
        <v>244</v>
      </c>
      <c r="AO528" s="3" t="s">
        <v>378</v>
      </c>
      <c r="AP528" s="3" t="s">
        <v>185</v>
      </c>
      <c r="AQ528" s="3" t="s">
        <v>386</v>
      </c>
      <c r="AR528" s="3" t="s">
        <v>288</v>
      </c>
      <c r="AS528" s="3" t="s">
        <v>288</v>
      </c>
      <c r="AT528" s="3" t="s">
        <v>379</v>
      </c>
      <c r="AU528" s="3" t="s">
        <v>244</v>
      </c>
      <c r="AV528" s="3" t="s">
        <v>244</v>
      </c>
      <c r="AW528" s="3" t="s">
        <v>339</v>
      </c>
      <c r="AX528" s="3" t="s">
        <v>341</v>
      </c>
      <c r="AY528" s="3" t="s">
        <v>521</v>
      </c>
    </row>
    <row r="529" spans="1:52" ht="15.75" customHeight="1">
      <c r="A529" s="3">
        <v>694</v>
      </c>
      <c r="B529" s="5" t="str">
        <f t="shared" si="0"/>
        <v>http://roarmap.eprints.org/694/</v>
      </c>
      <c r="C529" s="3">
        <v>8</v>
      </c>
      <c r="D529" s="3" t="s">
        <v>98</v>
      </c>
      <c r="E529" s="3">
        <v>392</v>
      </c>
      <c r="F529" s="3" t="s">
        <v>2006</v>
      </c>
      <c r="G529" s="3">
        <v>42076.572442129633</v>
      </c>
      <c r="H529" s="3">
        <v>42093.651342592595</v>
      </c>
      <c r="I529" s="3">
        <v>42076.572442129633</v>
      </c>
      <c r="J529" s="3" t="s">
        <v>103</v>
      </c>
      <c r="K529" s="3" t="s">
        <v>105</v>
      </c>
      <c r="L529" s="3" t="s">
        <v>2007</v>
      </c>
      <c r="P529" s="3" t="s">
        <v>1903</v>
      </c>
      <c r="Q529" t="str">
        <f t="shared" si="36"/>
        <v>http://roarmap.eprints.org/view/country/826.html</v>
      </c>
      <c r="R529" s="3">
        <v>826</v>
      </c>
      <c r="S529" s="6" t="s">
        <v>349</v>
      </c>
      <c r="T529" s="9">
        <v>826</v>
      </c>
      <c r="U529" s="7" t="s">
        <v>123</v>
      </c>
      <c r="V529" s="6" t="s">
        <v>125</v>
      </c>
      <c r="W529" s="3" t="s">
        <v>158</v>
      </c>
      <c r="X529" s="3" t="s">
        <v>160</v>
      </c>
      <c r="Y529" s="3" t="s">
        <v>2007</v>
      </c>
      <c r="Z529" s="8" t="str">
        <f>HYPERLINK("http://www.ucl.ac.uk/","http://www.ucl.ac.uk/")</f>
        <v>http://www.ucl.ac.uk/</v>
      </c>
      <c r="AA529" s="8" t="str">
        <f>HYPERLINK("http://www.ucl.ac.uk/library/open-access/publications-policy","http://www.ucl.ac.uk/library/open-access/publications-policy")</f>
        <v>http://www.ucl.ac.uk/library/open-access/publications-policy</v>
      </c>
      <c r="AB529" s="8" t="str">
        <f>HYPERLINK("http://discovery.ucl.ac.uk/","http://discovery.ucl.ac.uk/")</f>
        <v>http://discovery.ucl.ac.uk/</v>
      </c>
      <c r="AC529" s="3">
        <v>39934</v>
      </c>
      <c r="AF529" s="3" t="s">
        <v>177</v>
      </c>
      <c r="AG529" s="3" t="s">
        <v>333</v>
      </c>
      <c r="AH529" s="3" t="s">
        <v>180</v>
      </c>
      <c r="AI529" s="3" t="s">
        <v>371</v>
      </c>
      <c r="AJ529" s="3" t="s">
        <v>182</v>
      </c>
      <c r="AK529" s="3" t="s">
        <v>244</v>
      </c>
      <c r="AL529" s="3" t="s">
        <v>244</v>
      </c>
      <c r="AM529" s="3" t="s">
        <v>479</v>
      </c>
      <c r="AN529" s="3" t="s">
        <v>244</v>
      </c>
      <c r="AO529" s="3" t="s">
        <v>181</v>
      </c>
      <c r="AP529" s="3" t="s">
        <v>244</v>
      </c>
      <c r="AQ529" s="3" t="s">
        <v>247</v>
      </c>
      <c r="AR529" s="3" t="s">
        <v>244</v>
      </c>
      <c r="AS529" s="3" t="s">
        <v>244</v>
      </c>
      <c r="AT529" s="3" t="s">
        <v>244</v>
      </c>
      <c r="AU529" s="3" t="s">
        <v>244</v>
      </c>
      <c r="AV529" s="3" t="s">
        <v>244</v>
      </c>
      <c r="AW529" s="3" t="s">
        <v>371</v>
      </c>
      <c r="AX529" s="3" t="s">
        <v>442</v>
      </c>
      <c r="AY529" s="3" t="s">
        <v>428</v>
      </c>
      <c r="AZ529" s="8" t="str">
        <f>HYPERLINK("http://www.ucl.ac.uk/library/open-access/funding","http://www.ucl.ac.uk/library/open-access/funding")</f>
        <v>http://www.ucl.ac.uk/library/open-access/funding</v>
      </c>
    </row>
    <row r="530" spans="1:52" ht="15.75" customHeight="1">
      <c r="A530" s="3">
        <v>384</v>
      </c>
      <c r="B530" s="5" t="str">
        <f t="shared" si="0"/>
        <v>http://roarmap.eprints.org/384/</v>
      </c>
      <c r="C530" s="3">
        <v>4</v>
      </c>
      <c r="D530" s="3" t="s">
        <v>98</v>
      </c>
      <c r="E530" s="3">
        <v>1</v>
      </c>
      <c r="F530" s="3" t="s">
        <v>2008</v>
      </c>
      <c r="G530" s="3">
        <v>41988.923900462964</v>
      </c>
      <c r="H530" s="3">
        <v>42066.888298611113</v>
      </c>
      <c r="I530" s="3">
        <v>41988.923900462964</v>
      </c>
      <c r="J530" s="3" t="s">
        <v>103</v>
      </c>
      <c r="K530" s="3" t="s">
        <v>105</v>
      </c>
      <c r="L530" s="3" t="s">
        <v>2009</v>
      </c>
      <c r="M530" s="3" t="s">
        <v>374</v>
      </c>
      <c r="N530" s="3" t="s">
        <v>2010</v>
      </c>
      <c r="P530" s="3" t="s">
        <v>1875</v>
      </c>
      <c r="Q530" t="str">
        <f t="shared" si="36"/>
        <v>http://roarmap.eprints.org/view/country/826.html</v>
      </c>
      <c r="R530" s="3">
        <v>826</v>
      </c>
      <c r="S530" s="6" t="s">
        <v>349</v>
      </c>
      <c r="T530" s="9">
        <v>826</v>
      </c>
      <c r="U530" s="7" t="s">
        <v>123</v>
      </c>
      <c r="V530" s="6" t="s">
        <v>125</v>
      </c>
      <c r="W530" s="3" t="s">
        <v>158</v>
      </c>
      <c r="X530" s="3" t="s">
        <v>160</v>
      </c>
      <c r="Y530" s="3" t="s">
        <v>2009</v>
      </c>
      <c r="Z530" s="8" t="str">
        <f>HYPERLINK("http://www.abdn.ac.uk","http://www.abdn.ac.uk")</f>
        <v>http://www.abdn.ac.uk</v>
      </c>
      <c r="AA530" s="8" t="str">
        <f>HYPERLINK("http://www.abdn.ac.uk/library/documents/Open_Access_Documents/Open_Access_Policy_Final_20130319.pdf","http://www.abdn.ac.uk/library/documents/Open_Access_Documents/Open_Access_Policy_Final_20130319.pdf")</f>
        <v>http://www.abdn.ac.uk/library/documents/Open_Access_Documents/Open_Access_Policy_Final_20130319.pdf</v>
      </c>
      <c r="AB530" s="8" t="str">
        <f>HYPERLINK("http://www.abdn.ac.uk/library/research-support/research-outputs/aura/","http://www.abdn.ac.uk/library/research-support/research-outputs/aura/")</f>
        <v>http://www.abdn.ac.uk/library/research-support/research-outputs/aura/</v>
      </c>
      <c r="AC530" s="3">
        <v>40972</v>
      </c>
      <c r="AF530" s="3" t="s">
        <v>177</v>
      </c>
      <c r="AG530" s="3" t="s">
        <v>333</v>
      </c>
      <c r="AH530" s="3" t="s">
        <v>180</v>
      </c>
      <c r="AI530" s="3" t="s">
        <v>371</v>
      </c>
      <c r="AJ530" s="3" t="s">
        <v>244</v>
      </c>
      <c r="AK530" s="3" t="s">
        <v>244</v>
      </c>
      <c r="AL530" s="3" t="s">
        <v>288</v>
      </c>
      <c r="AM530" s="3" t="s">
        <v>479</v>
      </c>
      <c r="AN530" s="3" t="s">
        <v>244</v>
      </c>
      <c r="AO530" s="3" t="s">
        <v>371</v>
      </c>
      <c r="AP530" s="3" t="s">
        <v>244</v>
      </c>
      <c r="AQ530" s="3" t="s">
        <v>247</v>
      </c>
      <c r="AR530" s="3" t="s">
        <v>288</v>
      </c>
      <c r="AS530" s="3" t="s">
        <v>288</v>
      </c>
      <c r="AT530" s="3" t="s">
        <v>244</v>
      </c>
      <c r="AU530" s="3" t="s">
        <v>244</v>
      </c>
      <c r="AV530" s="3" t="s">
        <v>288</v>
      </c>
      <c r="AW530" s="3" t="s">
        <v>339</v>
      </c>
      <c r="AX530" s="3" t="s">
        <v>371</v>
      </c>
      <c r="AY530" s="3" t="s">
        <v>371</v>
      </c>
    </row>
    <row r="531" spans="1:52" ht="15.75" customHeight="1">
      <c r="A531" s="3">
        <v>385</v>
      </c>
      <c r="B531" s="5" t="str">
        <f t="shared" si="0"/>
        <v>http://roarmap.eprints.org/385/</v>
      </c>
      <c r="C531" s="3">
        <v>3</v>
      </c>
      <c r="D531" s="3" t="s">
        <v>98</v>
      </c>
      <c r="E531" s="3">
        <v>1</v>
      </c>
      <c r="F531" s="3" t="s">
        <v>2011</v>
      </c>
      <c r="G531" s="3">
        <v>41988.923900462964</v>
      </c>
      <c r="H531" s="3">
        <v>41988.923900462964</v>
      </c>
      <c r="I531" s="3">
        <v>41988.923900462964</v>
      </c>
      <c r="J531" s="3" t="s">
        <v>103</v>
      </c>
      <c r="K531" s="3" t="s">
        <v>105</v>
      </c>
      <c r="L531" s="3" t="s">
        <v>2012</v>
      </c>
      <c r="M531" s="3" t="s">
        <v>374</v>
      </c>
      <c r="N531" s="3" t="s">
        <v>2013</v>
      </c>
      <c r="P531" s="3" t="s">
        <v>215</v>
      </c>
      <c r="Q531" t="str">
        <f t="shared" si="36"/>
        <v>http://roarmap.eprints.org/view/country/826.html</v>
      </c>
      <c r="R531" s="3">
        <v>826</v>
      </c>
      <c r="S531" s="6" t="s">
        <v>349</v>
      </c>
      <c r="T531" s="9">
        <v>826</v>
      </c>
      <c r="U531" s="7" t="s">
        <v>123</v>
      </c>
      <c r="V531" s="6" t="s">
        <v>125</v>
      </c>
      <c r="W531" s="3" t="s">
        <v>158</v>
      </c>
      <c r="X531" s="3" t="s">
        <v>160</v>
      </c>
      <c r="Y531" s="3" t="s">
        <v>2012</v>
      </c>
      <c r="Z531" s="8" t="str">
        <f>HYPERLINK("http://www.abertay.ac.uk/","http://www.abertay.ac.uk/")</f>
        <v>http://www.abertay.ac.uk/</v>
      </c>
      <c r="AA531" s="8" t="str">
        <f>HYPERLINK("http://www.abertay.ac.uk/media/Self-Archiving-and-Research-Repository-PolicyV1-1.pdf","http://www.abertay.ac.uk/media/Self-Archiving-and-Research-Repository-PolicyV1-1.pdf")</f>
        <v>http://www.abertay.ac.uk/media/Self-Archiving-and-Research-Repository-PolicyV1-1.pdf</v>
      </c>
      <c r="AB531" s="8" t="str">
        <f>HYPERLINK("https://repository.abertay.ac.uk/jspui/","https://repository.abertay.ac.uk/jspui/")</f>
        <v>https://repository.abertay.ac.uk/jspui/</v>
      </c>
      <c r="AC531" s="3">
        <v>40093</v>
      </c>
      <c r="AD531" s="3">
        <v>40179</v>
      </c>
      <c r="AF531" s="3" t="s">
        <v>177</v>
      </c>
      <c r="AG531" s="3" t="s">
        <v>178</v>
      </c>
      <c r="AH531" s="3" t="s">
        <v>180</v>
      </c>
      <c r="AI531" s="3" t="s">
        <v>371</v>
      </c>
      <c r="AJ531" s="3" t="s">
        <v>182</v>
      </c>
      <c r="AK531" s="3" t="s">
        <v>393</v>
      </c>
      <c r="AL531" s="3" t="s">
        <v>189</v>
      </c>
      <c r="AM531" s="3" t="s">
        <v>479</v>
      </c>
      <c r="AN531" s="3" t="s">
        <v>189</v>
      </c>
      <c r="AO531" s="3" t="s">
        <v>181</v>
      </c>
      <c r="AP531" s="3" t="s">
        <v>185</v>
      </c>
      <c r="AQ531" s="3" t="s">
        <v>386</v>
      </c>
      <c r="AR531" s="3" t="s">
        <v>288</v>
      </c>
      <c r="AS531" s="3" t="s">
        <v>288</v>
      </c>
      <c r="AT531" s="3" t="s">
        <v>244</v>
      </c>
      <c r="AU531" s="3" t="s">
        <v>244</v>
      </c>
      <c r="AV531" s="3" t="s">
        <v>288</v>
      </c>
      <c r="AW531" s="3" t="s">
        <v>339</v>
      </c>
      <c r="AX531" s="3" t="s">
        <v>244</v>
      </c>
      <c r="AY531" s="3" t="s">
        <v>247</v>
      </c>
    </row>
    <row r="532" spans="1:52" ht="15.75" customHeight="1">
      <c r="A532" s="3">
        <v>386</v>
      </c>
      <c r="B532" s="5" t="str">
        <f t="shared" si="0"/>
        <v>http://roarmap.eprints.org/386/</v>
      </c>
      <c r="C532" s="3">
        <v>4</v>
      </c>
      <c r="D532" s="3" t="s">
        <v>98</v>
      </c>
      <c r="E532" s="3">
        <v>304</v>
      </c>
      <c r="F532" s="3" t="s">
        <v>2014</v>
      </c>
      <c r="G532" s="3">
        <v>41988.923900462964</v>
      </c>
      <c r="H532" s="3">
        <v>42046.981712962966</v>
      </c>
      <c r="I532" s="3">
        <v>41988.923900462964</v>
      </c>
      <c r="J532" s="3" t="s">
        <v>103</v>
      </c>
      <c r="K532" s="3" t="s">
        <v>105</v>
      </c>
      <c r="L532" s="3" t="s">
        <v>2015</v>
      </c>
      <c r="M532" s="3" t="s">
        <v>374</v>
      </c>
      <c r="N532" s="3" t="s">
        <v>2016</v>
      </c>
      <c r="P532" s="3" t="s">
        <v>215</v>
      </c>
      <c r="Q532" t="str">
        <f t="shared" si="36"/>
        <v>http://roarmap.eprints.org/view/country/826.html</v>
      </c>
      <c r="R532" s="3">
        <v>826</v>
      </c>
      <c r="S532" s="6" t="s">
        <v>349</v>
      </c>
      <c r="T532" s="9">
        <v>826</v>
      </c>
      <c r="U532" s="7" t="s">
        <v>123</v>
      </c>
      <c r="V532" s="6" t="s">
        <v>125</v>
      </c>
      <c r="W532" s="3" t="s">
        <v>158</v>
      </c>
      <c r="X532" s="3" t="s">
        <v>160</v>
      </c>
      <c r="Y532" s="3" t="s">
        <v>2015</v>
      </c>
      <c r="Z532" s="8" t="str">
        <f>HYPERLINK("http://www.bath.ac.uk/","http://www.bath.ac.uk/")</f>
        <v>http://www.bath.ac.uk/</v>
      </c>
      <c r="AA532" s="8" t="str">
        <f>HYPERLINK("http://roarmap.eprints.org/466/1/University_of_Bath_Open_Access_Publications_Policy_Why_do_this_v2.1.doc","http://roarmap.eprints.org/466/1/University_of_Bath_Open_Access_Publications_Policy_Why_do_this_v2.1.doc")</f>
        <v>http://roarmap.eprints.org/466/1/University_of_Bath_Open_Access_Publications_Policy_Why_do_this_v2.1.doc</v>
      </c>
      <c r="AB532" s="8" t="str">
        <f>HYPERLINK("http://opus.bath.ac.uk/","http://opus.bath.ac.uk/")</f>
        <v>http://opus.bath.ac.uk/</v>
      </c>
      <c r="AC532" s="3">
        <v>40575</v>
      </c>
      <c r="AD532" s="3">
        <v>40695</v>
      </c>
      <c r="AF532" s="3" t="s">
        <v>177</v>
      </c>
      <c r="AG532" s="3" t="s">
        <v>178</v>
      </c>
      <c r="AH532" s="3" t="s">
        <v>180</v>
      </c>
      <c r="AI532" s="3" t="s">
        <v>392</v>
      </c>
      <c r="AJ532" s="3" t="s">
        <v>182</v>
      </c>
      <c r="AK532" s="3" t="s">
        <v>393</v>
      </c>
      <c r="AL532" s="3" t="s">
        <v>244</v>
      </c>
      <c r="AM532" s="3" t="s">
        <v>247</v>
      </c>
      <c r="AN532" s="3" t="s">
        <v>244</v>
      </c>
      <c r="AO532" s="3" t="s">
        <v>181</v>
      </c>
      <c r="AP532" s="3" t="s">
        <v>185</v>
      </c>
      <c r="AQ532" s="3" t="s">
        <v>386</v>
      </c>
      <c r="AR532" s="3" t="s">
        <v>288</v>
      </c>
      <c r="AS532" s="3" t="s">
        <v>288</v>
      </c>
      <c r="AT532" s="3" t="s">
        <v>244</v>
      </c>
      <c r="AU532" s="3" t="s">
        <v>244</v>
      </c>
      <c r="AV532" s="3" t="s">
        <v>288</v>
      </c>
      <c r="AW532" s="3" t="s">
        <v>339</v>
      </c>
      <c r="AX532" s="3" t="s">
        <v>244</v>
      </c>
      <c r="AY532" s="3" t="s">
        <v>247</v>
      </c>
    </row>
    <row r="533" spans="1:52" ht="15.75" customHeight="1">
      <c r="A533" s="3">
        <v>387</v>
      </c>
      <c r="B533" s="5" t="str">
        <f t="shared" si="0"/>
        <v>http://roarmap.eprints.org/387/</v>
      </c>
      <c r="C533" s="3">
        <v>7</v>
      </c>
      <c r="D533" s="3" t="s">
        <v>98</v>
      </c>
      <c r="E533" s="3">
        <v>1</v>
      </c>
      <c r="F533" s="3" t="s">
        <v>2017</v>
      </c>
      <c r="G533" s="3">
        <v>41988.923900462964</v>
      </c>
      <c r="H533" s="3">
        <v>41988.923900462964</v>
      </c>
      <c r="I533" s="3">
        <v>41988.923900462964</v>
      </c>
      <c r="J533" s="3" t="s">
        <v>103</v>
      </c>
      <c r="K533" s="3" t="s">
        <v>105</v>
      </c>
      <c r="L533" s="3" t="s">
        <v>2018</v>
      </c>
      <c r="M533" s="3" t="s">
        <v>637</v>
      </c>
      <c r="N533" s="3" t="s">
        <v>2019</v>
      </c>
      <c r="O533" s="3" t="s">
        <v>2020</v>
      </c>
      <c r="P533" s="3" t="s">
        <v>215</v>
      </c>
      <c r="Q533" t="str">
        <f t="shared" si="36"/>
        <v>http://roarmap.eprints.org/view/country/826.html</v>
      </c>
      <c r="R533" s="3">
        <v>826</v>
      </c>
      <c r="S533" s="6" t="s">
        <v>349</v>
      </c>
      <c r="T533" s="9">
        <v>826</v>
      </c>
      <c r="U533" s="7" t="s">
        <v>123</v>
      </c>
      <c r="V533" s="6" t="s">
        <v>125</v>
      </c>
      <c r="W533" s="3" t="s">
        <v>158</v>
      </c>
      <c r="X533" s="3" t="s">
        <v>160</v>
      </c>
      <c r="Y533" s="3" t="s">
        <v>2018</v>
      </c>
      <c r="Z533" s="8" t="str">
        <f>HYPERLINK("http://www.birmingham.ac.uk/index.aspx","http://www.birmingham.ac.uk/index.aspx")</f>
        <v>http://www.birmingham.ac.uk/index.aspx</v>
      </c>
      <c r="AA533" s="8" t="str">
        <f>HYPERLINK("http://etheses.bham.ac.uk/deposit.html","http://etheses.bham.ac.uk/deposit.html")</f>
        <v>http://etheses.bham.ac.uk/deposit.html</v>
      </c>
      <c r="AB533" s="8" t="str">
        <f>HYPERLINK("http://www.ubira.bham.ac.uk","http://www.ubira.bham.ac.uk")</f>
        <v>http://www.ubira.bham.ac.uk</v>
      </c>
      <c r="AC533" s="3">
        <v>39814</v>
      </c>
      <c r="AD533" s="3">
        <v>40026</v>
      </c>
      <c r="AF533" s="3" t="s">
        <v>371</v>
      </c>
      <c r="AG533" s="3" t="s">
        <v>178</v>
      </c>
      <c r="AH533" s="3" t="s">
        <v>180</v>
      </c>
      <c r="AI533" s="3" t="s">
        <v>187</v>
      </c>
      <c r="AJ533" s="3" t="s">
        <v>385</v>
      </c>
      <c r="AK533" s="3" t="s">
        <v>244</v>
      </c>
      <c r="AL533" s="3" t="s">
        <v>185</v>
      </c>
      <c r="AM533" s="3" t="s">
        <v>479</v>
      </c>
      <c r="AN533" s="3" t="s">
        <v>189</v>
      </c>
      <c r="AO533" s="3" t="s">
        <v>371</v>
      </c>
      <c r="AP533" s="3" t="s">
        <v>185</v>
      </c>
      <c r="AQ533" s="3" t="s">
        <v>247</v>
      </c>
      <c r="AR533" s="3" t="s">
        <v>244</v>
      </c>
      <c r="AS533" s="3" t="s">
        <v>244</v>
      </c>
      <c r="AT533" s="3" t="s">
        <v>244</v>
      </c>
      <c r="AU533" s="3" t="s">
        <v>244</v>
      </c>
      <c r="AV533" s="3" t="s">
        <v>244</v>
      </c>
      <c r="AW533" s="3" t="s">
        <v>244</v>
      </c>
      <c r="AX533" s="3" t="s">
        <v>442</v>
      </c>
      <c r="AY533" s="3" t="s">
        <v>521</v>
      </c>
      <c r="AZ533" s="8" t="str">
        <f>HYPERLINK("http://intranet.birmingham.ac.uk/openaccess/publishing","http://intranet.birmingham.ac.uk/openaccess/publishing")</f>
        <v>http://intranet.birmingham.ac.uk/openaccess/publishing</v>
      </c>
    </row>
    <row r="534" spans="1:52" ht="15.75" customHeight="1">
      <c r="A534" s="3">
        <v>388</v>
      </c>
      <c r="B534" s="5" t="str">
        <f t="shared" si="0"/>
        <v>http://roarmap.eprints.org/388/</v>
      </c>
      <c r="C534" s="3">
        <v>3</v>
      </c>
      <c r="D534" s="3" t="s">
        <v>98</v>
      </c>
      <c r="E534" s="3">
        <v>1</v>
      </c>
      <c r="F534" s="3" t="s">
        <v>2021</v>
      </c>
      <c r="G534" s="3">
        <v>41988.923900462964</v>
      </c>
      <c r="H534" s="3">
        <v>41988.923900462964</v>
      </c>
      <c r="I534" s="3">
        <v>41988.923900462964</v>
      </c>
      <c r="J534" s="3" t="s">
        <v>103</v>
      </c>
      <c r="K534" s="3" t="s">
        <v>105</v>
      </c>
      <c r="L534" s="3" t="s">
        <v>2022</v>
      </c>
      <c r="M534" s="3" t="s">
        <v>352</v>
      </c>
      <c r="N534" s="3" t="s">
        <v>2023</v>
      </c>
      <c r="P534" s="3" t="s">
        <v>215</v>
      </c>
      <c r="Q534" t="str">
        <f t="shared" si="36"/>
        <v>http://roarmap.eprints.org/view/country/826.html</v>
      </c>
      <c r="R534" s="3">
        <v>826</v>
      </c>
      <c r="S534" s="6" t="s">
        <v>349</v>
      </c>
      <c r="T534" s="9">
        <v>826</v>
      </c>
      <c r="U534" s="7" t="s">
        <v>123</v>
      </c>
      <c r="V534" s="6" t="s">
        <v>125</v>
      </c>
      <c r="W534" s="3" t="s">
        <v>158</v>
      </c>
      <c r="X534" s="3" t="s">
        <v>160</v>
      </c>
      <c r="Y534" s="3" t="s">
        <v>2022</v>
      </c>
      <c r="Z534" s="8" t="str">
        <f>HYPERLINK("http://www.bradford.ac.uk/external/","http://www.bradford.ac.uk/external/")</f>
        <v>http://www.bradford.ac.uk/external/</v>
      </c>
      <c r="AA534" s="8" t="str">
        <f>HYPERLINK("http://www.bradford.ac.uk/library/media/library/documents/bs_policies_document.docx","http://www.bradford.ac.uk/library/media/library/documents/bs_policies_document.docx")</f>
        <v>http://www.bradford.ac.uk/library/media/library/documents/bs_policies_document.docx</v>
      </c>
      <c r="AB534" s="8" t="str">
        <f>HYPERLINK("http://bradscholars.brad.ac.uk","http://bradscholars.brad.ac.uk")</f>
        <v>http://bradscholars.brad.ac.uk</v>
      </c>
      <c r="AF534" s="3" t="s">
        <v>177</v>
      </c>
      <c r="AG534" s="3" t="s">
        <v>333</v>
      </c>
      <c r="AH534" s="3" t="s">
        <v>180</v>
      </c>
      <c r="AI534" s="3" t="s">
        <v>181</v>
      </c>
      <c r="AJ534" s="3" t="s">
        <v>244</v>
      </c>
      <c r="AK534" s="3" t="s">
        <v>244</v>
      </c>
      <c r="AL534" s="3" t="s">
        <v>288</v>
      </c>
      <c r="AM534" s="3" t="s">
        <v>247</v>
      </c>
      <c r="AN534" s="3" t="s">
        <v>244</v>
      </c>
      <c r="AO534" s="3" t="s">
        <v>181</v>
      </c>
      <c r="AP534" s="3" t="s">
        <v>185</v>
      </c>
      <c r="AQ534" s="3" t="s">
        <v>394</v>
      </c>
      <c r="AR534" s="3" t="s">
        <v>288</v>
      </c>
      <c r="AS534" s="3" t="s">
        <v>189</v>
      </c>
      <c r="AT534" s="3" t="s">
        <v>244</v>
      </c>
      <c r="AU534" s="3" t="s">
        <v>244</v>
      </c>
      <c r="AV534" s="3" t="s">
        <v>288</v>
      </c>
      <c r="AW534" s="3" t="s">
        <v>908</v>
      </c>
      <c r="AX534" s="3" t="s">
        <v>244</v>
      </c>
      <c r="AY534" s="3" t="s">
        <v>247</v>
      </c>
    </row>
    <row r="535" spans="1:52" ht="15.75" customHeight="1">
      <c r="A535" s="3">
        <v>695</v>
      </c>
      <c r="B535" s="5" t="str">
        <f t="shared" si="0"/>
        <v>http://roarmap.eprints.org/695/</v>
      </c>
      <c r="C535" s="3">
        <v>4</v>
      </c>
      <c r="D535" s="3" t="s">
        <v>98</v>
      </c>
      <c r="E535" s="3">
        <v>392</v>
      </c>
      <c r="F535" s="3" t="s">
        <v>2024</v>
      </c>
      <c r="G535" s="3">
        <v>42076.572592592594</v>
      </c>
      <c r="H535" s="3">
        <v>42076.572592592594</v>
      </c>
      <c r="I535" s="3">
        <v>42076.572592592594</v>
      </c>
      <c r="J535" s="3" t="s">
        <v>103</v>
      </c>
      <c r="K535" s="3" t="s">
        <v>105</v>
      </c>
      <c r="L535" s="3" t="s">
        <v>2025</v>
      </c>
      <c r="P535" s="3" t="s">
        <v>1903</v>
      </c>
      <c r="Q535" t="str">
        <f t="shared" si="36"/>
        <v>http://roarmap.eprints.org/view/country/826.html</v>
      </c>
      <c r="R535" s="3">
        <v>826</v>
      </c>
      <c r="S535" s="6" t="s">
        <v>349</v>
      </c>
      <c r="T535" s="9">
        <v>826</v>
      </c>
      <c r="U535" s="7" t="s">
        <v>123</v>
      </c>
      <c r="V535" s="6" t="s">
        <v>125</v>
      </c>
      <c r="W535" s="3" t="s">
        <v>158</v>
      </c>
      <c r="X535" s="3" t="s">
        <v>160</v>
      </c>
      <c r="Y535" s="3" t="s">
        <v>2025</v>
      </c>
      <c r="Z535" s="8" t="str">
        <f>HYPERLINK("http://www.bris.ac.uk/","http://www.bris.ac.uk/")</f>
        <v>http://www.bris.ac.uk/</v>
      </c>
      <c r="AA535" s="8" t="str">
        <f>HYPERLINK("http://www.bristol.ac.uk/library/support/research/policy.pdf","http://www.bristol.ac.uk/library/support/research/policy.pdf")</f>
        <v>http://www.bristol.ac.uk/library/support/research/policy.pdf</v>
      </c>
      <c r="AB535" s="8" t="str">
        <f>HYPERLINK("http://research-information.bristol.ac.uk/","http://research-information.bristol.ac.uk/")</f>
        <v>http://research-information.bristol.ac.uk/</v>
      </c>
      <c r="AC535" s="3">
        <v>41806</v>
      </c>
      <c r="AD535" s="3">
        <v>41821</v>
      </c>
      <c r="AF535" s="3" t="s">
        <v>177</v>
      </c>
      <c r="AG535" s="3" t="s">
        <v>333</v>
      </c>
      <c r="AH535" s="3" t="s">
        <v>180</v>
      </c>
      <c r="AI535" s="3" t="s">
        <v>244</v>
      </c>
      <c r="AJ535" s="3" t="s">
        <v>182</v>
      </c>
      <c r="AK535" s="3" t="s">
        <v>393</v>
      </c>
      <c r="AL535" s="3" t="s">
        <v>244</v>
      </c>
      <c r="AM535" s="3" t="s">
        <v>479</v>
      </c>
      <c r="AN535" s="3" t="s">
        <v>244</v>
      </c>
      <c r="AO535" s="3" t="s">
        <v>181</v>
      </c>
      <c r="AP535" s="3" t="s">
        <v>244</v>
      </c>
      <c r="AQ535" s="3" t="s">
        <v>247</v>
      </c>
      <c r="AR535" s="3" t="s">
        <v>244</v>
      </c>
      <c r="AS535" s="3" t="s">
        <v>244</v>
      </c>
      <c r="AT535" s="3" t="s">
        <v>244</v>
      </c>
      <c r="AU535" s="3" t="s">
        <v>244</v>
      </c>
      <c r="AV535" s="3" t="s">
        <v>244</v>
      </c>
      <c r="AW535" s="3" t="s">
        <v>244</v>
      </c>
      <c r="AX535" s="3" t="s">
        <v>442</v>
      </c>
      <c r="AY535" s="3" t="s">
        <v>521</v>
      </c>
      <c r="AZ535" s="8" t="str">
        <f>HYPERLINK("http://www.bristol.ac.uk/library/support/research/rcuk.html","http://www.bristol.ac.uk/library/support/research/rcuk.html")</f>
        <v>http://www.bristol.ac.uk/library/support/research/rcuk.html</v>
      </c>
    </row>
    <row r="536" spans="1:52" ht="15.75" customHeight="1">
      <c r="A536" s="3">
        <v>389</v>
      </c>
      <c r="B536" s="5" t="str">
        <f t="shared" si="0"/>
        <v>http://roarmap.eprints.org/389/</v>
      </c>
      <c r="C536" s="3">
        <v>4</v>
      </c>
      <c r="D536" s="3" t="s">
        <v>98</v>
      </c>
      <c r="E536" s="3">
        <v>1</v>
      </c>
      <c r="F536" s="3" t="s">
        <v>2026</v>
      </c>
      <c r="G536" s="3">
        <v>41988.923900462964</v>
      </c>
      <c r="H536" s="3">
        <v>42066.888645833336</v>
      </c>
      <c r="I536" s="3">
        <v>41988.923900462964</v>
      </c>
      <c r="J536" s="3" t="s">
        <v>103</v>
      </c>
      <c r="K536" s="3" t="s">
        <v>105</v>
      </c>
      <c r="L536" s="3" t="s">
        <v>2027</v>
      </c>
      <c r="M536" s="3" t="s">
        <v>352</v>
      </c>
      <c r="N536" s="3" t="s">
        <v>2028</v>
      </c>
      <c r="P536" s="3" t="s">
        <v>1875</v>
      </c>
      <c r="Q536" t="str">
        <f t="shared" si="36"/>
        <v>http://roarmap.eprints.org/view/country/826.html</v>
      </c>
      <c r="R536" s="3">
        <v>826</v>
      </c>
      <c r="S536" s="6" t="s">
        <v>349</v>
      </c>
      <c r="T536" s="9">
        <v>826</v>
      </c>
      <c r="U536" s="7" t="s">
        <v>123</v>
      </c>
      <c r="V536" s="6" t="s">
        <v>125</v>
      </c>
      <c r="W536" s="3" t="s">
        <v>158</v>
      </c>
      <c r="X536" s="3" t="s">
        <v>160</v>
      </c>
      <c r="Y536" s="3" t="s">
        <v>2027</v>
      </c>
      <c r="Z536" s="8" t="str">
        <f>HYPERLINK("http://www.cam.ac.uk/","http://www.cam.ac.uk/")</f>
        <v>http://www.cam.ac.uk/</v>
      </c>
      <c r="AA536" s="8" t="str">
        <f>HYPERLINK("https://www.openaccess.cam.ac.uk/changing","https://www.openaccess.cam.ac.uk/changing")</f>
        <v>https://www.openaccess.cam.ac.uk/changing</v>
      </c>
      <c r="AB536" s="8" t="str">
        <f>HYPERLINK("https://www.repository.cam.ac.uk/","https://www.repository.cam.ac.uk/")</f>
        <v>https://www.repository.cam.ac.uk/</v>
      </c>
      <c r="AD536" s="3">
        <v>42461</v>
      </c>
      <c r="AF536" s="3" t="s">
        <v>244</v>
      </c>
      <c r="AG536" s="3" t="s">
        <v>178</v>
      </c>
      <c r="AH536" s="3" t="s">
        <v>180</v>
      </c>
      <c r="AI536" s="3" t="s">
        <v>371</v>
      </c>
      <c r="AJ536" s="3" t="s">
        <v>182</v>
      </c>
      <c r="AK536" s="3" t="s">
        <v>371</v>
      </c>
      <c r="AL536" s="3" t="s">
        <v>244</v>
      </c>
      <c r="AM536" s="3" t="s">
        <v>247</v>
      </c>
      <c r="AN536" s="3" t="s">
        <v>244</v>
      </c>
      <c r="AO536" s="3" t="s">
        <v>247</v>
      </c>
      <c r="AP536" s="3" t="s">
        <v>244</v>
      </c>
      <c r="AQ536" s="3" t="s">
        <v>247</v>
      </c>
      <c r="AR536" s="3" t="s">
        <v>288</v>
      </c>
      <c r="AS536" s="3" t="s">
        <v>288</v>
      </c>
      <c r="AT536" s="3" t="s">
        <v>244</v>
      </c>
      <c r="AU536" s="3" t="s">
        <v>244</v>
      </c>
      <c r="AV536" s="3" t="s">
        <v>288</v>
      </c>
      <c r="AW536" s="3" t="s">
        <v>339</v>
      </c>
      <c r="AX536" s="3" t="s">
        <v>244</v>
      </c>
      <c r="AY536" s="3" t="s">
        <v>247</v>
      </c>
    </row>
    <row r="537" spans="1:52" ht="15.75" customHeight="1">
      <c r="A537" s="3">
        <v>390</v>
      </c>
      <c r="B537" s="5" t="str">
        <f t="shared" si="0"/>
        <v>http://roarmap.eprints.org/390/</v>
      </c>
      <c r="C537" s="3">
        <v>5</v>
      </c>
      <c r="D537" s="3" t="s">
        <v>98</v>
      </c>
      <c r="E537" s="3">
        <v>305</v>
      </c>
      <c r="F537" s="3" t="s">
        <v>2029</v>
      </c>
      <c r="G537" s="3">
        <v>41988.923900462964</v>
      </c>
      <c r="H537" s="3">
        <v>42066.888923611114</v>
      </c>
      <c r="I537" s="3">
        <v>41988.923900462964</v>
      </c>
      <c r="J537" s="3" t="s">
        <v>103</v>
      </c>
      <c r="K537" s="3" t="s">
        <v>105</v>
      </c>
      <c r="L537" s="3" t="s">
        <v>2030</v>
      </c>
      <c r="M537" s="3" t="s">
        <v>374</v>
      </c>
      <c r="N537" s="3" t="s">
        <v>2031</v>
      </c>
      <c r="P537" s="3" t="s">
        <v>1875</v>
      </c>
      <c r="Q537" t="str">
        <f t="shared" si="36"/>
        <v>http://roarmap.eprints.org/view/country/826.html</v>
      </c>
      <c r="R537" s="3">
        <v>826</v>
      </c>
      <c r="S537" s="6" t="s">
        <v>349</v>
      </c>
      <c r="T537" s="9">
        <v>826</v>
      </c>
      <c r="U537" s="7" t="s">
        <v>123</v>
      </c>
      <c r="V537" s="6" t="s">
        <v>125</v>
      </c>
      <c r="W537" s="3" t="s">
        <v>158</v>
      </c>
      <c r="X537" s="3" t="s">
        <v>160</v>
      </c>
      <c r="Y537" s="3" t="s">
        <v>2030</v>
      </c>
      <c r="Z537" s="8" t="str">
        <f>HYPERLINK("http://www.uclan.ac.uk/","http://www.uclan.ac.uk/")</f>
        <v>http://www.uclan.ac.uk/</v>
      </c>
      <c r="AA537" s="8" t="str">
        <f>HYPERLINK("http://clok.uclan.ac.uk/policies.html","http://clok.uclan.ac.uk/policies.html")</f>
        <v>http://clok.uclan.ac.uk/policies.html</v>
      </c>
      <c r="AB537" s="8" t="str">
        <f>HYPERLINK("http://clok.uclan.ac.uk/","http://clok.uclan.ac.uk/")</f>
        <v>http://clok.uclan.ac.uk/</v>
      </c>
      <c r="AF537" s="3" t="s">
        <v>177</v>
      </c>
      <c r="AG537" s="3" t="s">
        <v>178</v>
      </c>
      <c r="AH537" s="3" t="s">
        <v>180</v>
      </c>
      <c r="AI537" s="3" t="s">
        <v>244</v>
      </c>
      <c r="AJ537" s="3" t="s">
        <v>244</v>
      </c>
      <c r="AK537" s="3" t="s">
        <v>371</v>
      </c>
      <c r="AL537" s="3" t="s">
        <v>244</v>
      </c>
      <c r="AM537" s="3" t="s">
        <v>479</v>
      </c>
      <c r="AN537" s="3" t="s">
        <v>244</v>
      </c>
      <c r="AO537" s="3" t="s">
        <v>247</v>
      </c>
      <c r="AP537" s="3" t="s">
        <v>244</v>
      </c>
      <c r="AQ537" s="3" t="s">
        <v>394</v>
      </c>
      <c r="AR537" s="3" t="s">
        <v>288</v>
      </c>
      <c r="AS537" s="3" t="s">
        <v>288</v>
      </c>
      <c r="AT537" s="3" t="s">
        <v>244</v>
      </c>
      <c r="AU537" s="3" t="s">
        <v>244</v>
      </c>
      <c r="AV537" s="3" t="s">
        <v>288</v>
      </c>
      <c r="AW537" s="3" t="s">
        <v>339</v>
      </c>
      <c r="AX537" s="3" t="s">
        <v>244</v>
      </c>
      <c r="AY537" s="3" t="s">
        <v>247</v>
      </c>
    </row>
    <row r="538" spans="1:52" ht="15.75" customHeight="1">
      <c r="A538" s="3">
        <v>391</v>
      </c>
      <c r="B538" s="5" t="str">
        <f t="shared" si="0"/>
        <v>http://roarmap.eprints.org/391/</v>
      </c>
      <c r="C538" s="3">
        <v>4</v>
      </c>
      <c r="D538" s="3" t="s">
        <v>98</v>
      </c>
      <c r="E538" s="3">
        <v>306</v>
      </c>
      <c r="F538" s="3" t="s">
        <v>2032</v>
      </c>
      <c r="G538" s="3">
        <v>41988.923900462964</v>
      </c>
      <c r="H538" s="3">
        <v>42046.981712962966</v>
      </c>
      <c r="I538" s="3">
        <v>41988.923900462964</v>
      </c>
      <c r="J538" s="3" t="s">
        <v>103</v>
      </c>
      <c r="K538" s="3" t="s">
        <v>105</v>
      </c>
      <c r="L538" s="3" t="s">
        <v>2033</v>
      </c>
      <c r="M538" s="3" t="s">
        <v>374</v>
      </c>
      <c r="N538" s="3" t="s">
        <v>2034</v>
      </c>
      <c r="P538" s="3" t="s">
        <v>215</v>
      </c>
      <c r="Q538" t="str">
        <f t="shared" si="36"/>
        <v>http://roarmap.eprints.org/view/country/826.html</v>
      </c>
      <c r="R538" s="3">
        <v>826</v>
      </c>
      <c r="S538" s="6" t="s">
        <v>349</v>
      </c>
      <c r="T538" s="9">
        <v>826</v>
      </c>
      <c r="U538" s="7" t="s">
        <v>123</v>
      </c>
      <c r="V538" s="6" t="s">
        <v>125</v>
      </c>
      <c r="W538" s="3" t="s">
        <v>158</v>
      </c>
      <c r="X538" s="3" t="s">
        <v>160</v>
      </c>
      <c r="Y538" s="3" t="s">
        <v>2033</v>
      </c>
      <c r="Z538" s="8" t="str">
        <f>HYPERLINK("http://www.dundee.ac.uk/","http://www.dundee.ac.uk/")</f>
        <v>http://www.dundee.ac.uk/</v>
      </c>
      <c r="AA538" s="8" t="str">
        <f>HYPERLINK("http://roarmap.eprints.org/1047/1/Open_Access_Policy_V1_Final_November_2012%283%29.pdf","http://roarmap.eprints.org/1047/1/Open_Access_Policy_V1_Final_November_2012%283%29.pdf")</f>
        <v>http://roarmap.eprints.org/1047/1/Open_Access_Policy_V1_Final_November_2012%283%29.pdf</v>
      </c>
      <c r="AB538" s="8" t="str">
        <f>HYPERLINK("http://discovery.dundee.ac.uk/portal/","http://discovery.dundee.ac.uk/portal/")</f>
        <v>http://discovery.dundee.ac.uk/portal/</v>
      </c>
      <c r="AC538" s="3">
        <v>41241</v>
      </c>
      <c r="AF538" s="3" t="s">
        <v>177</v>
      </c>
      <c r="AG538" s="3" t="s">
        <v>178</v>
      </c>
      <c r="AH538" s="3" t="s">
        <v>180</v>
      </c>
      <c r="AI538" s="3" t="s">
        <v>392</v>
      </c>
      <c r="AJ538" s="3" t="s">
        <v>182</v>
      </c>
      <c r="AK538" s="3" t="s">
        <v>393</v>
      </c>
      <c r="AL538" s="3" t="s">
        <v>189</v>
      </c>
      <c r="AM538" s="3" t="s">
        <v>479</v>
      </c>
      <c r="AN538" s="3" t="s">
        <v>189</v>
      </c>
      <c r="AO538" s="3" t="s">
        <v>247</v>
      </c>
      <c r="AP538" s="3" t="s">
        <v>185</v>
      </c>
      <c r="AQ538" s="3" t="s">
        <v>386</v>
      </c>
      <c r="AR538" s="3" t="s">
        <v>288</v>
      </c>
      <c r="AS538" s="3" t="s">
        <v>288</v>
      </c>
      <c r="AT538" s="3" t="s">
        <v>244</v>
      </c>
      <c r="AU538" s="3" t="s">
        <v>244</v>
      </c>
      <c r="AV538" s="3" t="s">
        <v>288</v>
      </c>
      <c r="AW538" s="3" t="s">
        <v>371</v>
      </c>
      <c r="AX538" s="3" t="s">
        <v>442</v>
      </c>
      <c r="AY538" s="3" t="s">
        <v>247</v>
      </c>
    </row>
    <row r="539" spans="1:52" ht="15.75" customHeight="1">
      <c r="A539" s="3">
        <v>392</v>
      </c>
      <c r="B539" s="5" t="str">
        <f t="shared" si="0"/>
        <v>http://roarmap.eprints.org/392/</v>
      </c>
      <c r="C539" s="3">
        <v>4</v>
      </c>
      <c r="D539" s="3" t="s">
        <v>98</v>
      </c>
      <c r="E539" s="3">
        <v>1</v>
      </c>
      <c r="F539" s="3" t="s">
        <v>2035</v>
      </c>
      <c r="G539" s="3">
        <v>41988.92391203704</v>
      </c>
      <c r="H539" s="3">
        <v>42066.889189814814</v>
      </c>
      <c r="I539" s="3">
        <v>41988.92391203704</v>
      </c>
      <c r="J539" s="3" t="s">
        <v>103</v>
      </c>
      <c r="K539" s="3" t="s">
        <v>105</v>
      </c>
      <c r="L539" s="3" t="s">
        <v>2036</v>
      </c>
      <c r="M539" s="3" t="s">
        <v>374</v>
      </c>
      <c r="N539" s="3" t="s">
        <v>2037</v>
      </c>
      <c r="O539" s="3" t="s">
        <v>2038</v>
      </c>
      <c r="Q539" t="str">
        <f t="shared" si="36"/>
        <v>http://roarmap.eprints.org/view/country/826.html</v>
      </c>
      <c r="R539" s="3">
        <v>826</v>
      </c>
      <c r="S539" s="6" t="s">
        <v>349</v>
      </c>
      <c r="T539" s="9">
        <v>826</v>
      </c>
      <c r="U539" s="7" t="s">
        <v>123</v>
      </c>
      <c r="V539" s="6" t="s">
        <v>125</v>
      </c>
      <c r="W539" s="3" t="s">
        <v>158</v>
      </c>
      <c r="X539" s="3" t="s">
        <v>160</v>
      </c>
      <c r="Y539" s="3" t="s">
        <v>2036</v>
      </c>
      <c r="Z539" s="8" t="str">
        <f>HYPERLINK("http://www.uea.ac.uk/","http://www.uea.ac.uk/")</f>
        <v>http://www.uea.ac.uk/</v>
      </c>
      <c r="AA539" s="8" t="str">
        <f>HYPERLINK("https://ueaeprints.uea.ac.uk/policies.html","https://ueaeprints.uea.ac.uk/policies.html")</f>
        <v>https://ueaeprints.uea.ac.uk/policies.html</v>
      </c>
      <c r="AB539" s="8" t="str">
        <f>HYPERLINK("http://ueaeprints.uea.ac.uk/","http://ueaeprints.uea.ac.uk/")</f>
        <v>http://ueaeprints.uea.ac.uk/</v>
      </c>
      <c r="AF539" s="3" t="s">
        <v>244</v>
      </c>
      <c r="AG539" s="3" t="s">
        <v>178</v>
      </c>
      <c r="AH539" s="3" t="s">
        <v>180</v>
      </c>
      <c r="AI539" s="3" t="s">
        <v>244</v>
      </c>
      <c r="AJ539" s="3" t="s">
        <v>244</v>
      </c>
      <c r="AK539" s="3" t="s">
        <v>183</v>
      </c>
      <c r="AL539" s="3" t="s">
        <v>185</v>
      </c>
      <c r="AM539" s="3" t="s">
        <v>479</v>
      </c>
      <c r="AN539" s="3" t="s">
        <v>189</v>
      </c>
      <c r="AO539" s="3" t="s">
        <v>247</v>
      </c>
      <c r="AP539" s="3" t="s">
        <v>244</v>
      </c>
      <c r="AQ539" s="3" t="s">
        <v>247</v>
      </c>
      <c r="AR539" s="3" t="s">
        <v>288</v>
      </c>
      <c r="AS539" s="3" t="s">
        <v>189</v>
      </c>
      <c r="AT539" s="3" t="s">
        <v>244</v>
      </c>
      <c r="AU539" s="3" t="s">
        <v>244</v>
      </c>
      <c r="AV539" s="3" t="s">
        <v>288</v>
      </c>
      <c r="AW539" s="3" t="s">
        <v>339</v>
      </c>
      <c r="AX539" s="3" t="s">
        <v>244</v>
      </c>
      <c r="AY539" s="3" t="s">
        <v>247</v>
      </c>
    </row>
    <row r="540" spans="1:52" ht="15.75" customHeight="1">
      <c r="A540" s="3">
        <v>393</v>
      </c>
      <c r="B540" s="5" t="str">
        <f t="shared" si="0"/>
        <v>http://roarmap.eprints.org/393/</v>
      </c>
      <c r="C540" s="3">
        <v>8</v>
      </c>
      <c r="D540" s="3" t="s">
        <v>98</v>
      </c>
      <c r="E540" s="3">
        <v>307</v>
      </c>
      <c r="F540" s="3" t="s">
        <v>2039</v>
      </c>
      <c r="G540" s="3">
        <v>41988.92391203704</v>
      </c>
      <c r="H540" s="3">
        <v>42107.506793981483</v>
      </c>
      <c r="I540" s="3">
        <v>41988.92391203704</v>
      </c>
      <c r="J540" s="3" t="s">
        <v>103</v>
      </c>
      <c r="K540" s="3" t="s">
        <v>105</v>
      </c>
      <c r="L540" s="3" t="s">
        <v>2040</v>
      </c>
      <c r="M540" s="3" t="s">
        <v>352</v>
      </c>
      <c r="O540" s="3" t="s">
        <v>2041</v>
      </c>
      <c r="P540" s="3" t="s">
        <v>215</v>
      </c>
      <c r="Q540" t="str">
        <f t="shared" si="36"/>
        <v>http://roarmap.eprints.org/view/country/826.html</v>
      </c>
      <c r="R540" s="3">
        <v>826</v>
      </c>
      <c r="S540" s="6" t="s">
        <v>349</v>
      </c>
      <c r="T540" s="9">
        <v>826</v>
      </c>
      <c r="U540" s="7" t="s">
        <v>123</v>
      </c>
      <c r="V540" s="6" t="s">
        <v>125</v>
      </c>
      <c r="W540" s="3" t="s">
        <v>158</v>
      </c>
      <c r="X540" s="3" t="s">
        <v>160</v>
      </c>
      <c r="Y540" s="3" t="s">
        <v>2040</v>
      </c>
      <c r="Z540" s="8" t="str">
        <f>HYPERLINK("http://www.uel.ac.uk/","http://www.uel.ac.uk/")</f>
        <v>http://www.uel.ac.uk/</v>
      </c>
      <c r="AA540" s="8" t="str">
        <f>HYPERLINK("http://dx.doi.org/10.15123/PUB.4048","http://dx.doi.org/10.15123/PUB.4048")</f>
        <v>http://dx.doi.org/10.15123/PUB.4048</v>
      </c>
      <c r="AB540" s="8" t="str">
        <f>HYPERLINK("http://roar.uel.ac.uk/","http://roar.uel.ac.uk/")</f>
        <v>http://roar.uel.ac.uk/</v>
      </c>
      <c r="AC540" s="3">
        <v>41795</v>
      </c>
      <c r="AD540" s="3">
        <v>42005</v>
      </c>
      <c r="AF540" s="3" t="s">
        <v>177</v>
      </c>
      <c r="AG540" s="3" t="s">
        <v>178</v>
      </c>
      <c r="AH540" s="3" t="s">
        <v>180</v>
      </c>
      <c r="AI540" s="3" t="s">
        <v>187</v>
      </c>
      <c r="AJ540" s="3" t="s">
        <v>182</v>
      </c>
      <c r="AK540" s="3" t="s">
        <v>393</v>
      </c>
      <c r="AL540" s="3" t="s">
        <v>189</v>
      </c>
      <c r="AM540" s="3" t="s">
        <v>178</v>
      </c>
      <c r="AN540" s="3" t="s">
        <v>189</v>
      </c>
      <c r="AO540" s="3" t="s">
        <v>378</v>
      </c>
      <c r="AP540" s="3" t="s">
        <v>189</v>
      </c>
      <c r="AQ540" s="3" t="s">
        <v>394</v>
      </c>
      <c r="AR540" s="3" t="s">
        <v>189</v>
      </c>
      <c r="AS540" s="3" t="s">
        <v>189</v>
      </c>
      <c r="AT540" s="3" t="s">
        <v>395</v>
      </c>
      <c r="AU540" s="3" t="s">
        <v>459</v>
      </c>
      <c r="AV540" s="3" t="s">
        <v>189</v>
      </c>
      <c r="AW540" s="3" t="s">
        <v>195</v>
      </c>
      <c r="AX540" s="3" t="s">
        <v>442</v>
      </c>
      <c r="AY540" s="3" t="s">
        <v>247</v>
      </c>
    </row>
    <row r="541" spans="1:52" ht="15.75" customHeight="1">
      <c r="A541" s="3">
        <v>394</v>
      </c>
      <c r="B541" s="5" t="str">
        <f t="shared" si="0"/>
        <v>http://roarmap.eprints.org/394/</v>
      </c>
      <c r="C541" s="3">
        <v>3</v>
      </c>
      <c r="D541" s="3" t="s">
        <v>98</v>
      </c>
      <c r="E541" s="3">
        <v>1</v>
      </c>
      <c r="F541" s="3" t="s">
        <v>2042</v>
      </c>
      <c r="G541" s="3">
        <v>41988.92391203704</v>
      </c>
      <c r="H541" s="3">
        <v>41988.92391203704</v>
      </c>
      <c r="I541" s="3">
        <v>41988.92391203704</v>
      </c>
      <c r="J541" s="3" t="s">
        <v>103</v>
      </c>
      <c r="K541" s="3" t="s">
        <v>105</v>
      </c>
      <c r="L541" s="3" t="s">
        <v>2043</v>
      </c>
      <c r="M541" s="3" t="s">
        <v>374</v>
      </c>
      <c r="P541" s="3" t="s">
        <v>215</v>
      </c>
      <c r="Q541" t="str">
        <f t="shared" si="36"/>
        <v>http://roarmap.eprints.org/view/country/826.html</v>
      </c>
      <c r="R541" s="3">
        <v>826</v>
      </c>
      <c r="S541" s="6" t="s">
        <v>349</v>
      </c>
      <c r="T541" s="9">
        <v>826</v>
      </c>
      <c r="U541" s="7" t="s">
        <v>123</v>
      </c>
      <c r="V541" s="6" t="s">
        <v>125</v>
      </c>
      <c r="W541" s="3" t="s">
        <v>158</v>
      </c>
      <c r="X541" s="3" t="s">
        <v>160</v>
      </c>
      <c r="Y541" s="3" t="s">
        <v>2043</v>
      </c>
      <c r="Z541" s="8" t="str">
        <f>HYPERLINK("http://www.ed.ac.uk/home","http://www.ed.ac.uk/home")</f>
        <v>http://www.ed.ac.uk/home</v>
      </c>
      <c r="AA541" s="8" t="str">
        <f>HYPERLINK("http://www.ed.ac.uk/polopoly_fs/1.14203!/fileManager/research-publications-policy.pdf","http://www.ed.ac.uk/polopoly_fs/1.14203!/fileManager/research-publications-policy.pdf")</f>
        <v>http://www.ed.ac.uk/polopoly_fs/1.14203!/fileManager/research-publications-policy.pdf</v>
      </c>
      <c r="AB541" s="8" t="str">
        <f>HYPERLINK("https://www.era.lib.ed.ac.uk/","https://www.era.lib.ed.ac.uk/")</f>
        <v>https://www.era.lib.ed.ac.uk/</v>
      </c>
      <c r="AC541" s="3">
        <v>39862</v>
      </c>
      <c r="AD541" s="3">
        <v>40179</v>
      </c>
      <c r="AF541" s="3" t="s">
        <v>177</v>
      </c>
      <c r="AG541" s="3" t="s">
        <v>178</v>
      </c>
      <c r="AH541" s="3" t="s">
        <v>180</v>
      </c>
      <c r="AI541" s="3" t="s">
        <v>244</v>
      </c>
      <c r="AJ541" s="3" t="s">
        <v>182</v>
      </c>
      <c r="AK541" s="3" t="s">
        <v>393</v>
      </c>
      <c r="AL541" s="3" t="s">
        <v>244</v>
      </c>
      <c r="AM541" s="3" t="s">
        <v>247</v>
      </c>
      <c r="AN541" s="3" t="s">
        <v>244</v>
      </c>
      <c r="AO541" s="3" t="s">
        <v>247</v>
      </c>
      <c r="AP541" s="3" t="s">
        <v>185</v>
      </c>
      <c r="AQ541" s="3" t="s">
        <v>386</v>
      </c>
      <c r="AR541" s="3" t="s">
        <v>288</v>
      </c>
      <c r="AS541" s="3" t="s">
        <v>288</v>
      </c>
      <c r="AT541" s="3" t="s">
        <v>244</v>
      </c>
      <c r="AU541" s="3" t="s">
        <v>244</v>
      </c>
      <c r="AV541" s="3" t="s">
        <v>288</v>
      </c>
      <c r="AW541" s="3" t="s">
        <v>339</v>
      </c>
      <c r="AX541" s="3" t="s">
        <v>244</v>
      </c>
      <c r="AY541" s="3" t="s">
        <v>247</v>
      </c>
    </row>
    <row r="542" spans="1:52" ht="15.75" customHeight="1">
      <c r="A542" s="3">
        <v>395</v>
      </c>
      <c r="B542" s="5" t="str">
        <f t="shared" si="0"/>
        <v>http://roarmap.eprints.org/395/</v>
      </c>
      <c r="C542" s="3">
        <v>4</v>
      </c>
      <c r="D542" s="3" t="s">
        <v>98</v>
      </c>
      <c r="E542" s="3">
        <v>1</v>
      </c>
      <c r="F542" s="3" t="s">
        <v>2044</v>
      </c>
      <c r="G542" s="3">
        <v>41988.92391203704</v>
      </c>
      <c r="H542" s="3">
        <v>41988.92391203704</v>
      </c>
      <c r="I542" s="3">
        <v>41988.92391203704</v>
      </c>
      <c r="J542" s="3" t="s">
        <v>103</v>
      </c>
      <c r="K542" s="3" t="s">
        <v>105</v>
      </c>
      <c r="L542" s="3" t="s">
        <v>2045</v>
      </c>
      <c r="M542" s="3" t="s">
        <v>374</v>
      </c>
      <c r="P542" s="3" t="s">
        <v>215</v>
      </c>
      <c r="Q542" t="str">
        <f t="shared" si="36"/>
        <v>http://roarmap.eprints.org/view/country/826.html</v>
      </c>
      <c r="R542" s="3">
        <v>826</v>
      </c>
      <c r="S542" s="6" t="s">
        <v>349</v>
      </c>
      <c r="T542" s="9">
        <v>826</v>
      </c>
      <c r="U542" s="7" t="s">
        <v>123</v>
      </c>
      <c r="V542" s="6" t="s">
        <v>125</v>
      </c>
      <c r="W542" s="3" t="s">
        <v>158</v>
      </c>
      <c r="X542" s="3" t="s">
        <v>160</v>
      </c>
      <c r="Y542" s="3" t="s">
        <v>2045</v>
      </c>
      <c r="Z542" s="8" t="str">
        <f>HYPERLINK("http://www.exeter.ac.uk/","http://www.exeter.ac.uk/")</f>
        <v>http://www.exeter.ac.uk/</v>
      </c>
      <c r="AA542" s="8" t="str">
        <f>HYPERLINK("https://ore.exeter.ac.uk/repository/bitstream/handle/10036/4280/OA_RDM_Policy_Final.pdf?sequence=4#page=1&amp;zoom=auto,-108,842","https://ore.exeter.ac.uk/repository/bitstream/handle/10036/4280/OA_RDM_Policy_Final.pdf?sequence=4#page=1&amp;zoom=auto,-108,842")</f>
        <v>https://ore.exeter.ac.uk/repository/bitstream/handle/10036/4280/OA_RDM_Policy_Final.pdf?sequence=4#page=1&amp;zoom=auto,-108,842</v>
      </c>
      <c r="AB542" s="8" t="str">
        <f>HYPERLINK("https://ore.exeter.ac.uk/repository/","https://ore.exeter.ac.uk/repository/")</f>
        <v>https://ore.exeter.ac.uk/repository/</v>
      </c>
      <c r="AD542" s="3">
        <v>41365</v>
      </c>
      <c r="AF542" s="3" t="s">
        <v>177</v>
      </c>
      <c r="AG542" s="3" t="s">
        <v>178</v>
      </c>
      <c r="AH542" s="3" t="s">
        <v>180</v>
      </c>
      <c r="AI542" s="3" t="s">
        <v>181</v>
      </c>
      <c r="AJ542" s="3" t="s">
        <v>182</v>
      </c>
      <c r="AK542" s="3" t="s">
        <v>393</v>
      </c>
      <c r="AL542" s="3" t="s">
        <v>189</v>
      </c>
      <c r="AM542" s="3" t="s">
        <v>479</v>
      </c>
      <c r="AN542" s="3" t="s">
        <v>189</v>
      </c>
      <c r="AO542" s="3" t="s">
        <v>181</v>
      </c>
      <c r="AP542" s="3" t="s">
        <v>185</v>
      </c>
      <c r="AQ542" s="3" t="s">
        <v>386</v>
      </c>
      <c r="AR542" s="3" t="s">
        <v>288</v>
      </c>
      <c r="AS542" s="3" t="s">
        <v>288</v>
      </c>
      <c r="AT542" s="3" t="s">
        <v>193</v>
      </c>
      <c r="AU542" s="3" t="s">
        <v>193</v>
      </c>
      <c r="AV542" s="3" t="s">
        <v>288</v>
      </c>
      <c r="AW542" s="3" t="s">
        <v>339</v>
      </c>
      <c r="AX542" s="3" t="s">
        <v>244</v>
      </c>
      <c r="AY542" s="3" t="s">
        <v>247</v>
      </c>
    </row>
    <row r="543" spans="1:52" ht="15.75" customHeight="1">
      <c r="A543" s="3">
        <v>396</v>
      </c>
      <c r="B543" s="5" t="str">
        <f t="shared" si="0"/>
        <v>http://roarmap.eprints.org/396/</v>
      </c>
      <c r="C543" s="3">
        <v>3</v>
      </c>
      <c r="D543" s="3" t="s">
        <v>98</v>
      </c>
      <c r="E543" s="3">
        <v>1</v>
      </c>
      <c r="F543" s="3" t="s">
        <v>2046</v>
      </c>
      <c r="G543" s="3">
        <v>41988.92391203704</v>
      </c>
      <c r="H543" s="3">
        <v>41988.92391203704</v>
      </c>
      <c r="I543" s="3">
        <v>41988.92391203704</v>
      </c>
      <c r="J543" s="3" t="s">
        <v>103</v>
      </c>
      <c r="K543" s="3" t="s">
        <v>105</v>
      </c>
      <c r="L543" s="3" t="s">
        <v>2047</v>
      </c>
      <c r="M543" s="3" t="s">
        <v>374</v>
      </c>
      <c r="P543" s="3" t="s">
        <v>215</v>
      </c>
      <c r="Q543" t="str">
        <f t="shared" si="36"/>
        <v>http://roarmap.eprints.org/view/country/826.html</v>
      </c>
      <c r="R543" s="3">
        <v>826</v>
      </c>
      <c r="S543" s="6" t="s">
        <v>349</v>
      </c>
      <c r="T543" s="9">
        <v>826</v>
      </c>
      <c r="U543" s="7" t="s">
        <v>123</v>
      </c>
      <c r="V543" s="6" t="s">
        <v>125</v>
      </c>
      <c r="W543" s="3" t="s">
        <v>158</v>
      </c>
      <c r="X543" s="3" t="s">
        <v>160</v>
      </c>
      <c r="Y543" s="3" t="s">
        <v>2047</v>
      </c>
      <c r="Z543" s="8" t="str">
        <f>HYPERLINK("http://www.gla.ac.uk/","http://www.gla.ac.uk/")</f>
        <v>http://www.gla.ac.uk/</v>
      </c>
      <c r="AA543" s="8" t="str">
        <f>HYPERLINK("http://www.lib.gla.ac.uk/enlighten/publicationspolicy/index.html","http://www.lib.gla.ac.uk/enlighten/publicationspolicy/index.html")</f>
        <v>http://www.lib.gla.ac.uk/enlighten/publicationspolicy/index.html</v>
      </c>
      <c r="AB543" s="8" t="str">
        <f>HYPERLINK("http://www.lib.gla.ac.uk/enlighten/","http://www.lib.gla.ac.uk/enlighten/")</f>
        <v>http://www.lib.gla.ac.uk/enlighten/</v>
      </c>
      <c r="AC543" s="3">
        <v>39604</v>
      </c>
      <c r="AF543" s="3" t="s">
        <v>177</v>
      </c>
      <c r="AG543" s="3" t="s">
        <v>178</v>
      </c>
      <c r="AH543" s="3" t="s">
        <v>180</v>
      </c>
      <c r="AI543" s="3" t="s">
        <v>181</v>
      </c>
      <c r="AJ543" s="3" t="s">
        <v>182</v>
      </c>
      <c r="AK543" s="3" t="s">
        <v>393</v>
      </c>
      <c r="AL543" s="3" t="s">
        <v>189</v>
      </c>
      <c r="AM543" s="3" t="s">
        <v>178</v>
      </c>
      <c r="AN543" s="3" t="s">
        <v>189</v>
      </c>
      <c r="AO543" s="3" t="s">
        <v>181</v>
      </c>
      <c r="AP543" s="3" t="s">
        <v>185</v>
      </c>
      <c r="AQ543" s="3" t="s">
        <v>386</v>
      </c>
      <c r="AR543" s="3" t="s">
        <v>288</v>
      </c>
      <c r="AS543" s="3" t="s">
        <v>288</v>
      </c>
      <c r="AT543" s="3" t="s">
        <v>244</v>
      </c>
      <c r="AU543" s="3" t="s">
        <v>244</v>
      </c>
      <c r="AV543" s="3" t="s">
        <v>288</v>
      </c>
      <c r="AW543" s="3" t="s">
        <v>339</v>
      </c>
      <c r="AX543" s="3" t="s">
        <v>244</v>
      </c>
      <c r="AY543" s="3" t="s">
        <v>247</v>
      </c>
    </row>
    <row r="544" spans="1:52" ht="15.75" customHeight="1">
      <c r="A544" s="3">
        <v>696</v>
      </c>
      <c r="B544" s="5" t="str">
        <f t="shared" si="0"/>
        <v>http://roarmap.eprints.org/696/</v>
      </c>
      <c r="C544" s="3">
        <v>5</v>
      </c>
      <c r="D544" s="3" t="s">
        <v>98</v>
      </c>
      <c r="E544" s="3">
        <v>392</v>
      </c>
      <c r="F544" s="3" t="s">
        <v>2048</v>
      </c>
      <c r="G544" s="3">
        <v>42076.572743055556</v>
      </c>
      <c r="H544" s="3">
        <v>42076.637175925927</v>
      </c>
      <c r="I544" s="3">
        <v>42076.572743055556</v>
      </c>
      <c r="J544" s="3" t="s">
        <v>103</v>
      </c>
      <c r="K544" s="3" t="s">
        <v>105</v>
      </c>
      <c r="L544" s="3" t="s">
        <v>2049</v>
      </c>
      <c r="P544" s="3" t="s">
        <v>1903</v>
      </c>
      <c r="Q544" t="str">
        <f t="shared" si="36"/>
        <v>http://roarmap.eprints.org/view/country/826.html</v>
      </c>
      <c r="R544" s="3">
        <v>826</v>
      </c>
      <c r="S544" s="6" t="s">
        <v>349</v>
      </c>
      <c r="T544" s="9">
        <v>826</v>
      </c>
      <c r="U544" s="7" t="s">
        <v>123</v>
      </c>
      <c r="V544" s="6" t="s">
        <v>125</v>
      </c>
      <c r="W544" s="3" t="s">
        <v>158</v>
      </c>
      <c r="X544" s="3" t="s">
        <v>160</v>
      </c>
      <c r="Y544" s="3" t="s">
        <v>2049</v>
      </c>
      <c r="Z544" s="8" t="str">
        <f>HYPERLINK("http://www2.hull.ac.uk/","http://www2.hull.ac.uk/")</f>
        <v>http://www2.hull.ac.uk/</v>
      </c>
      <c r="AA544" s="8" t="str">
        <f>HYPERLINK("https://hydra.hull.ac.uk/assets/hull:10503/content","https://hydra.hull.ac.uk/assets/hull:10503/content")</f>
        <v>https://hydra.hull.ac.uk/assets/hull:10503/content</v>
      </c>
      <c r="AB544" s="8" t="str">
        <f>HYPERLINK("https://hydra.hull.ac.uk/","https://hydra.hull.ac.uk/")</f>
        <v>https://hydra.hull.ac.uk/</v>
      </c>
      <c r="AC544" s="3">
        <v>41921</v>
      </c>
      <c r="AD544" s="3">
        <v>42095</v>
      </c>
      <c r="AF544" s="3" t="s">
        <v>177</v>
      </c>
      <c r="AG544" s="3" t="s">
        <v>178</v>
      </c>
      <c r="AH544" s="3" t="s">
        <v>180</v>
      </c>
      <c r="AI544" s="3" t="s">
        <v>371</v>
      </c>
      <c r="AJ544" s="3" t="s">
        <v>182</v>
      </c>
      <c r="AK544" s="3" t="s">
        <v>393</v>
      </c>
      <c r="AL544" s="3" t="s">
        <v>244</v>
      </c>
      <c r="AM544" s="3" t="s">
        <v>479</v>
      </c>
      <c r="AN544" s="3" t="s">
        <v>189</v>
      </c>
      <c r="AO544" s="3" t="s">
        <v>378</v>
      </c>
      <c r="AP544" s="3" t="s">
        <v>244</v>
      </c>
      <c r="AQ544" s="3" t="s">
        <v>394</v>
      </c>
      <c r="AR544" s="3" t="s">
        <v>244</v>
      </c>
      <c r="AS544" s="3" t="s">
        <v>189</v>
      </c>
      <c r="AT544" s="3" t="s">
        <v>395</v>
      </c>
      <c r="AU544" s="3" t="s">
        <v>459</v>
      </c>
      <c r="AV544" s="3" t="s">
        <v>244</v>
      </c>
      <c r="AW544" s="3" t="s">
        <v>520</v>
      </c>
      <c r="AX544" s="3" t="s">
        <v>442</v>
      </c>
      <c r="AY544" s="3" t="s">
        <v>521</v>
      </c>
      <c r="AZ544" s="8" t="str">
        <f>HYPERLINK("http://www2.hull.ac.uk/lli/library-services/openaccesspublishing.aspx","http://www2.hull.ac.uk/lli/library-services/openaccesspublishing.aspx")</f>
        <v>http://www2.hull.ac.uk/lli/library-services/openaccesspublishing.aspx</v>
      </c>
    </row>
    <row r="545" spans="1:52" ht="15.75" customHeight="1">
      <c r="A545" s="3">
        <v>397</v>
      </c>
      <c r="B545" s="5" t="str">
        <f t="shared" si="0"/>
        <v>http://roarmap.eprints.org/397/</v>
      </c>
      <c r="C545" s="3">
        <v>4</v>
      </c>
      <c r="D545" s="3" t="s">
        <v>98</v>
      </c>
      <c r="E545" s="3">
        <v>1</v>
      </c>
      <c r="F545" s="3" t="s">
        <v>2050</v>
      </c>
      <c r="G545" s="3">
        <v>41988.92391203704</v>
      </c>
      <c r="H545" s="3">
        <v>42066.889618055553</v>
      </c>
      <c r="I545" s="3">
        <v>41988.92391203704</v>
      </c>
      <c r="J545" s="3" t="s">
        <v>103</v>
      </c>
      <c r="K545" s="3" t="s">
        <v>105</v>
      </c>
      <c r="L545" s="3" t="s">
        <v>2051</v>
      </c>
      <c r="M545" s="3" t="s">
        <v>374</v>
      </c>
      <c r="N545" s="3" t="s">
        <v>2052</v>
      </c>
      <c r="P545" s="3" t="s">
        <v>1875</v>
      </c>
      <c r="Q545" t="str">
        <f t="shared" si="36"/>
        <v>http://roarmap.eprints.org/view/country/826.html</v>
      </c>
      <c r="R545" s="3">
        <v>826</v>
      </c>
      <c r="S545" s="6" t="s">
        <v>349</v>
      </c>
      <c r="T545" s="9">
        <v>826</v>
      </c>
      <c r="U545" s="7" t="s">
        <v>123</v>
      </c>
      <c r="V545" s="6" t="s">
        <v>125</v>
      </c>
      <c r="W545" s="3" t="s">
        <v>158</v>
      </c>
      <c r="X545" s="3" t="s">
        <v>160</v>
      </c>
      <c r="Y545" s="3" t="s">
        <v>2051</v>
      </c>
      <c r="Z545" s="8" t="str">
        <f>HYPERLINK("http://kent.ac.uk/","http://kent.ac.uk/")</f>
        <v>http://kent.ac.uk/</v>
      </c>
      <c r="AA545" s="8" t="str">
        <f>HYPERLINK("http://www.kent.ac.uk/researchservices/docs/open-access-policy-april-2013.pdf","http://www.kent.ac.uk/researchservices/docs/open-access-policy-april-2013.pdf")</f>
        <v>http://www.kent.ac.uk/researchservices/docs/open-access-policy-april-2013.pdf</v>
      </c>
      <c r="AB545" s="8" t="str">
        <f>HYPERLINK("http://kar.kent.ac.uk/","http://kar.kent.ac.uk/")</f>
        <v>http://kar.kent.ac.uk/</v>
      </c>
      <c r="AC545" s="3">
        <v>41365</v>
      </c>
      <c r="AD545" s="3">
        <v>41365</v>
      </c>
      <c r="AF545" s="3" t="s">
        <v>177</v>
      </c>
      <c r="AG545" s="3" t="s">
        <v>178</v>
      </c>
      <c r="AH545" s="3" t="s">
        <v>180</v>
      </c>
      <c r="AI545" s="3" t="s">
        <v>244</v>
      </c>
      <c r="AJ545" s="3" t="s">
        <v>244</v>
      </c>
      <c r="AK545" s="3" t="s">
        <v>183</v>
      </c>
      <c r="AL545" s="3" t="s">
        <v>185</v>
      </c>
      <c r="AM545" s="3" t="s">
        <v>479</v>
      </c>
      <c r="AN545" s="3" t="s">
        <v>189</v>
      </c>
      <c r="AO545" s="3" t="s">
        <v>371</v>
      </c>
      <c r="AP545" s="3" t="s">
        <v>185</v>
      </c>
      <c r="AQ545" s="3" t="s">
        <v>247</v>
      </c>
      <c r="AR545" s="3" t="s">
        <v>288</v>
      </c>
      <c r="AS545" s="3" t="s">
        <v>189</v>
      </c>
      <c r="AT545" s="3" t="s">
        <v>244</v>
      </c>
      <c r="AU545" s="3" t="s">
        <v>244</v>
      </c>
      <c r="AV545" s="3" t="s">
        <v>288</v>
      </c>
      <c r="AW545" s="3" t="s">
        <v>339</v>
      </c>
      <c r="AX545" s="3" t="s">
        <v>442</v>
      </c>
      <c r="AY545" s="3" t="s">
        <v>371</v>
      </c>
    </row>
    <row r="546" spans="1:52" ht="15.75" customHeight="1">
      <c r="A546" s="3">
        <v>398</v>
      </c>
      <c r="B546" s="5" t="str">
        <f t="shared" si="0"/>
        <v>http://roarmap.eprints.org/398/</v>
      </c>
      <c r="C546" s="3">
        <v>4</v>
      </c>
      <c r="D546" s="3" t="s">
        <v>98</v>
      </c>
      <c r="E546" s="3">
        <v>1</v>
      </c>
      <c r="F546" s="3" t="s">
        <v>2053</v>
      </c>
      <c r="G546" s="3">
        <v>41988.92391203704</v>
      </c>
      <c r="H546" s="3">
        <v>42066.889918981484</v>
      </c>
      <c r="I546" s="3">
        <v>41988.92391203704</v>
      </c>
      <c r="J546" s="3" t="s">
        <v>103</v>
      </c>
      <c r="K546" s="3" t="s">
        <v>105</v>
      </c>
      <c r="L546" s="3" t="s">
        <v>2054</v>
      </c>
      <c r="M546" s="3" t="s">
        <v>374</v>
      </c>
      <c r="N546" s="3" t="s">
        <v>2055</v>
      </c>
      <c r="P546" s="3" t="s">
        <v>1875</v>
      </c>
      <c r="Q546" t="str">
        <f t="shared" si="36"/>
        <v>http://roarmap.eprints.org/view/country/826.html</v>
      </c>
      <c r="R546" s="3">
        <v>826</v>
      </c>
      <c r="S546" s="6" t="s">
        <v>349</v>
      </c>
      <c r="T546" s="9">
        <v>826</v>
      </c>
      <c r="U546" s="7" t="s">
        <v>123</v>
      </c>
      <c r="V546" s="6" t="s">
        <v>125</v>
      </c>
      <c r="W546" s="3" t="s">
        <v>158</v>
      </c>
      <c r="X546" s="3" t="s">
        <v>160</v>
      </c>
      <c r="Y546" s="3" t="s">
        <v>2054</v>
      </c>
      <c r="Z546" s="8" t="str">
        <f>HYPERLINK("http://www.leeds.ac.uk/","http://www.leeds.ac.uk/")</f>
        <v>http://www.leeds.ac.uk/</v>
      </c>
      <c r="AA546" s="3" t="s">
        <v>2056</v>
      </c>
      <c r="AB546" s="8" t="str">
        <f>HYPERLINK("http://eprints.whiterose.ac.uk/","http://eprints.whiterose.ac.uk/")</f>
        <v>http://eprints.whiterose.ac.uk/</v>
      </c>
      <c r="AC546" s="3">
        <v>41456</v>
      </c>
      <c r="AD546" s="3">
        <v>41487</v>
      </c>
      <c r="AF546" s="3" t="s">
        <v>244</v>
      </c>
      <c r="AG546" s="3" t="s">
        <v>178</v>
      </c>
      <c r="AH546" s="3" t="s">
        <v>180</v>
      </c>
      <c r="AI546" s="3" t="s">
        <v>392</v>
      </c>
      <c r="AJ546" s="3" t="s">
        <v>182</v>
      </c>
      <c r="AK546" s="3" t="s">
        <v>393</v>
      </c>
      <c r="AL546" s="3" t="s">
        <v>185</v>
      </c>
      <c r="AM546" s="3" t="s">
        <v>178</v>
      </c>
      <c r="AN546" s="3" t="s">
        <v>189</v>
      </c>
      <c r="AO546" s="3" t="s">
        <v>247</v>
      </c>
      <c r="AP546" s="3" t="s">
        <v>244</v>
      </c>
      <c r="AQ546" s="3" t="s">
        <v>247</v>
      </c>
      <c r="AR546" s="3" t="s">
        <v>288</v>
      </c>
      <c r="AS546" s="3" t="s">
        <v>189</v>
      </c>
      <c r="AT546" s="3" t="s">
        <v>244</v>
      </c>
      <c r="AU546" s="3" t="s">
        <v>244</v>
      </c>
      <c r="AV546" s="3" t="s">
        <v>288</v>
      </c>
      <c r="AW546" s="3" t="s">
        <v>339</v>
      </c>
      <c r="AX546" s="3" t="s">
        <v>244</v>
      </c>
      <c r="AY546" s="3" t="s">
        <v>247</v>
      </c>
    </row>
    <row r="547" spans="1:52" ht="15.75" customHeight="1">
      <c r="A547" s="3">
        <v>399</v>
      </c>
      <c r="B547" s="5" t="str">
        <f t="shared" si="0"/>
        <v>http://roarmap.eprints.org/399/</v>
      </c>
      <c r="C547" s="3">
        <v>4</v>
      </c>
      <c r="D547" s="3" t="s">
        <v>98</v>
      </c>
      <c r="E547" s="3">
        <v>1</v>
      </c>
      <c r="F547" s="3" t="s">
        <v>2057</v>
      </c>
      <c r="G547" s="3">
        <v>41988.92391203704</v>
      </c>
      <c r="H547" s="3">
        <v>42086.926736111112</v>
      </c>
      <c r="I547" s="3">
        <v>41988.92391203704</v>
      </c>
      <c r="J547" s="3" t="s">
        <v>103</v>
      </c>
      <c r="K547" s="3" t="s">
        <v>105</v>
      </c>
      <c r="L547" s="3" t="s">
        <v>2058</v>
      </c>
      <c r="M547" s="3" t="s">
        <v>374</v>
      </c>
      <c r="P547" s="3" t="s">
        <v>215</v>
      </c>
      <c r="Q547" t="str">
        <f t="shared" si="36"/>
        <v>http://roarmap.eprints.org/view/country/826.html</v>
      </c>
      <c r="R547" s="3">
        <v>826</v>
      </c>
      <c r="S547" s="6" t="s">
        <v>349</v>
      </c>
      <c r="T547" s="9">
        <v>826</v>
      </c>
      <c r="U547" s="7" t="s">
        <v>123</v>
      </c>
      <c r="V547" s="6" t="s">
        <v>125</v>
      </c>
      <c r="W547" s="3" t="s">
        <v>158</v>
      </c>
      <c r="X547" s="3" t="s">
        <v>160</v>
      </c>
      <c r="Y547" s="3" t="s">
        <v>2058</v>
      </c>
      <c r="Z547" s="8" t="str">
        <f>HYPERLINK("http://www.le.ac.uk/","http://www.le.ac.uk/")</f>
        <v>http://www.le.ac.uk/</v>
      </c>
      <c r="AA547" s="8" t="str">
        <f>HYPERLINK("http://www2.le.ac.uk/library/for/researchers/publish/nutshell","http://www2.le.ac.uk/library/for/researchers/publish/nutshell")</f>
        <v>http://www2.le.ac.uk/library/for/researchers/publish/nutshell</v>
      </c>
      <c r="AB547" s="8" t="str">
        <f>HYPERLINK("https://lra.le.ac.uk/","https://lra.le.ac.uk/")</f>
        <v>https://lra.le.ac.uk/</v>
      </c>
      <c r="AC547" s="3">
        <v>39962</v>
      </c>
      <c r="AD547" s="3">
        <v>38718</v>
      </c>
      <c r="AF547" s="3" t="s">
        <v>177</v>
      </c>
      <c r="AG547" s="3" t="s">
        <v>178</v>
      </c>
      <c r="AH547" s="3" t="s">
        <v>180</v>
      </c>
      <c r="AI547" s="3" t="s">
        <v>244</v>
      </c>
      <c r="AJ547" s="3" t="s">
        <v>182</v>
      </c>
      <c r="AK547" s="3" t="s">
        <v>244</v>
      </c>
      <c r="AL547" s="3" t="s">
        <v>189</v>
      </c>
      <c r="AM547" s="3" t="s">
        <v>479</v>
      </c>
      <c r="AN547" s="3" t="s">
        <v>189</v>
      </c>
      <c r="AO547" s="3" t="s">
        <v>247</v>
      </c>
      <c r="AP547" s="3" t="s">
        <v>185</v>
      </c>
      <c r="AQ547" s="3" t="s">
        <v>386</v>
      </c>
      <c r="AR547" s="3" t="s">
        <v>288</v>
      </c>
      <c r="AS547" s="3" t="s">
        <v>288</v>
      </c>
      <c r="AT547" s="3" t="s">
        <v>244</v>
      </c>
      <c r="AU547" s="3" t="s">
        <v>244</v>
      </c>
      <c r="AV547" s="3" t="s">
        <v>288</v>
      </c>
      <c r="AW547" s="3" t="s">
        <v>339</v>
      </c>
      <c r="AX547" s="3" t="s">
        <v>442</v>
      </c>
      <c r="AY547" s="3" t="s">
        <v>247</v>
      </c>
    </row>
    <row r="548" spans="1:52" ht="15.75" customHeight="1">
      <c r="A548" s="3">
        <v>400</v>
      </c>
      <c r="B548" s="5" t="str">
        <f t="shared" si="0"/>
        <v>http://roarmap.eprints.org/400/</v>
      </c>
      <c r="C548" s="3">
        <v>4</v>
      </c>
      <c r="D548" s="3" t="s">
        <v>98</v>
      </c>
      <c r="E548" s="3">
        <v>1</v>
      </c>
      <c r="F548" s="3" t="s">
        <v>2059</v>
      </c>
      <c r="G548" s="3">
        <v>41988.92391203704</v>
      </c>
      <c r="H548" s="3">
        <v>42093.698773148149</v>
      </c>
      <c r="I548" s="3">
        <v>41988.92391203704</v>
      </c>
      <c r="J548" s="3" t="s">
        <v>103</v>
      </c>
      <c r="K548" s="3" t="s">
        <v>105</v>
      </c>
      <c r="L548" s="3" t="s">
        <v>2060</v>
      </c>
      <c r="M548" s="3" t="s">
        <v>352</v>
      </c>
      <c r="P548" s="3" t="s">
        <v>215</v>
      </c>
      <c r="Q548" t="str">
        <f t="shared" si="36"/>
        <v>http://roarmap.eprints.org/view/country/826.html</v>
      </c>
      <c r="R548" s="3">
        <v>826</v>
      </c>
      <c r="S548" s="6" t="s">
        <v>349</v>
      </c>
      <c r="T548" s="9">
        <v>826</v>
      </c>
      <c r="U548" s="7" t="s">
        <v>123</v>
      </c>
      <c r="V548" s="6" t="s">
        <v>125</v>
      </c>
      <c r="W548" s="3" t="s">
        <v>158</v>
      </c>
      <c r="X548" s="3" t="s">
        <v>160</v>
      </c>
      <c r="Y548" s="3" t="s">
        <v>2060</v>
      </c>
      <c r="Z548" s="8" t="str">
        <f>HYPERLINK("http://www.lincoln.ac.uk/home/","http://www.lincoln.ac.uk/home/")</f>
        <v>http://www.lincoln.ac.uk/home/</v>
      </c>
      <c r="AA548" s="8" t="str">
        <f>HYPERLINK("http://secretariat.blogs.lincoln.ac.uk/files/2013/08/Open-Access-Policy-2014.pdf","http://secretariat.blogs.lincoln.ac.uk/files/2013/08/Open-Access-Policy-2014.pdf")</f>
        <v>http://secretariat.blogs.lincoln.ac.uk/files/2013/08/Open-Access-Policy-2014.pdf</v>
      </c>
      <c r="AB548" s="8" t="str">
        <f>HYPERLINK("http://eprints.lincoln.ac.uk/","http://eprints.lincoln.ac.uk/")</f>
        <v>http://eprints.lincoln.ac.uk/</v>
      </c>
      <c r="AC548" s="3">
        <v>41814</v>
      </c>
      <c r="AD548" s="3">
        <v>41640</v>
      </c>
      <c r="AE548" s="3">
        <v>41814</v>
      </c>
      <c r="AF548" s="3" t="s">
        <v>478</v>
      </c>
      <c r="AG548" s="3" t="s">
        <v>178</v>
      </c>
      <c r="AH548" s="3" t="s">
        <v>180</v>
      </c>
      <c r="AI548" s="3" t="s">
        <v>187</v>
      </c>
      <c r="AJ548" s="3" t="s">
        <v>244</v>
      </c>
      <c r="AK548" s="3" t="s">
        <v>244</v>
      </c>
      <c r="AL548" s="3" t="s">
        <v>189</v>
      </c>
      <c r="AM548" s="3" t="s">
        <v>178</v>
      </c>
      <c r="AN548" s="3" t="s">
        <v>189</v>
      </c>
      <c r="AO548" s="3" t="s">
        <v>181</v>
      </c>
      <c r="AP548" s="3" t="s">
        <v>244</v>
      </c>
      <c r="AQ548" s="3" t="s">
        <v>247</v>
      </c>
      <c r="AR548" s="3" t="s">
        <v>288</v>
      </c>
      <c r="AS548" s="3" t="s">
        <v>189</v>
      </c>
      <c r="AT548" s="3" t="s">
        <v>244</v>
      </c>
      <c r="AU548" s="3" t="s">
        <v>244</v>
      </c>
      <c r="AV548" s="3" t="s">
        <v>244</v>
      </c>
      <c r="AW548" s="3" t="s">
        <v>244</v>
      </c>
      <c r="AX548" s="3" t="s">
        <v>442</v>
      </c>
      <c r="AY548" s="3" t="s">
        <v>247</v>
      </c>
    </row>
    <row r="549" spans="1:52" ht="15.75" customHeight="1">
      <c r="A549" s="3">
        <v>401</v>
      </c>
      <c r="B549" s="5" t="str">
        <f t="shared" si="0"/>
        <v>http://roarmap.eprints.org/401/</v>
      </c>
      <c r="C549" s="3">
        <v>5</v>
      </c>
      <c r="D549" s="3" t="s">
        <v>98</v>
      </c>
      <c r="E549" s="3">
        <v>1</v>
      </c>
      <c r="F549" s="3" t="s">
        <v>2061</v>
      </c>
      <c r="G549" s="3">
        <v>41988.92391203704</v>
      </c>
      <c r="H549" s="3">
        <v>41988.92391203704</v>
      </c>
      <c r="I549" s="3">
        <v>41988.92391203704</v>
      </c>
      <c r="J549" s="3" t="s">
        <v>103</v>
      </c>
      <c r="K549" s="3" t="s">
        <v>105</v>
      </c>
      <c r="L549" s="3" t="s">
        <v>2062</v>
      </c>
      <c r="M549" s="3" t="s">
        <v>352</v>
      </c>
      <c r="N549" s="3" t="s">
        <v>2063</v>
      </c>
      <c r="O549" s="3" t="s">
        <v>2064</v>
      </c>
      <c r="P549" s="3" t="s">
        <v>215</v>
      </c>
      <c r="Q549" t="str">
        <f t="shared" si="36"/>
        <v>http://roarmap.eprints.org/view/country/826.html</v>
      </c>
      <c r="R549" s="3">
        <v>826</v>
      </c>
      <c r="S549" s="6" t="s">
        <v>349</v>
      </c>
      <c r="T549" s="9">
        <v>826</v>
      </c>
      <c r="U549" s="7" t="s">
        <v>123</v>
      </c>
      <c r="V549" s="6" t="s">
        <v>125</v>
      </c>
      <c r="W549" s="3" t="s">
        <v>158</v>
      </c>
      <c r="X549" s="3" t="s">
        <v>160</v>
      </c>
      <c r="Y549" s="3" t="s">
        <v>2062</v>
      </c>
      <c r="Z549" s="8" t="str">
        <f>HYPERLINK("http://www.nottingham.ac.uk","http://www.nottingham.ac.uk")</f>
        <v>http://www.nottingham.ac.uk</v>
      </c>
      <c r="AA549" s="8" t="str">
        <f>HYPERLINK("http://eprints.nottingham.ac.uk/policies.html","http://eprints.nottingham.ac.uk/policies.html")</f>
        <v>http://eprints.nottingham.ac.uk/policies.html</v>
      </c>
      <c r="AB549" s="8" t="str">
        <f>HYPERLINK("http://eprints.nottingham.ac.uk/","http://eprints.nottingham.ac.uk/")</f>
        <v>http://eprints.nottingham.ac.uk/</v>
      </c>
      <c r="AD549" s="3">
        <v>40118</v>
      </c>
      <c r="AF549" s="3" t="s">
        <v>177</v>
      </c>
      <c r="AG549" s="3" t="s">
        <v>178</v>
      </c>
      <c r="AH549" s="3" t="s">
        <v>180</v>
      </c>
      <c r="AI549" s="3" t="s">
        <v>392</v>
      </c>
      <c r="AJ549" s="3" t="s">
        <v>182</v>
      </c>
      <c r="AK549" s="3" t="s">
        <v>393</v>
      </c>
      <c r="AL549" s="3" t="s">
        <v>189</v>
      </c>
      <c r="AM549" s="3" t="s">
        <v>247</v>
      </c>
      <c r="AN549" s="3" t="s">
        <v>244</v>
      </c>
      <c r="AO549" s="3" t="s">
        <v>181</v>
      </c>
      <c r="AP549" s="3" t="s">
        <v>185</v>
      </c>
      <c r="AQ549" s="3" t="s">
        <v>247</v>
      </c>
      <c r="AR549" s="3" t="s">
        <v>288</v>
      </c>
      <c r="AS549" s="3" t="s">
        <v>288</v>
      </c>
      <c r="AT549" s="3" t="s">
        <v>244</v>
      </c>
      <c r="AU549" s="3" t="s">
        <v>244</v>
      </c>
      <c r="AV549" s="3" t="s">
        <v>288</v>
      </c>
      <c r="AW549" s="3" t="s">
        <v>339</v>
      </c>
      <c r="AX549" s="3" t="s">
        <v>442</v>
      </c>
      <c r="AY549" s="3" t="s">
        <v>428</v>
      </c>
    </row>
    <row r="550" spans="1:52" ht="15.75" customHeight="1">
      <c r="A550" s="3">
        <v>402</v>
      </c>
      <c r="B550" s="5" t="str">
        <f t="shared" si="0"/>
        <v>http://roarmap.eprints.org/402/</v>
      </c>
      <c r="C550" s="3">
        <v>5</v>
      </c>
      <c r="D550" s="3" t="s">
        <v>98</v>
      </c>
      <c r="E550" s="3">
        <v>308</v>
      </c>
      <c r="F550" s="3" t="s">
        <v>2065</v>
      </c>
      <c r="G550" s="3">
        <v>41988.92392361111</v>
      </c>
      <c r="H550" s="3">
        <v>42066.890173611115</v>
      </c>
      <c r="I550" s="3">
        <v>41988.92392361111</v>
      </c>
      <c r="J550" s="3" t="s">
        <v>103</v>
      </c>
      <c r="K550" s="3" t="s">
        <v>105</v>
      </c>
      <c r="L550" s="3" t="s">
        <v>2066</v>
      </c>
      <c r="M550" s="3" t="s">
        <v>374</v>
      </c>
      <c r="N550" s="3" t="s">
        <v>2067</v>
      </c>
      <c r="P550" s="3" t="s">
        <v>1875</v>
      </c>
      <c r="Q550" t="str">
        <f t="shared" si="36"/>
        <v>http://roarmap.eprints.org/view/country/826.html</v>
      </c>
      <c r="R550" s="3">
        <v>826</v>
      </c>
      <c r="S550" s="6" t="s">
        <v>349</v>
      </c>
      <c r="T550" s="9">
        <v>826</v>
      </c>
      <c r="U550" s="7" t="s">
        <v>123</v>
      </c>
      <c r="V550" s="6" t="s">
        <v>125</v>
      </c>
      <c r="W550" s="3" t="s">
        <v>158</v>
      </c>
      <c r="X550" s="3" t="s">
        <v>160</v>
      </c>
      <c r="Y550" s="3" t="s">
        <v>2066</v>
      </c>
      <c r="Z550" s="8" t="str">
        <f>HYPERLINK("http://www.ox.ac.uk/","http://www.ox.ac.uk/")</f>
        <v>http://www.ox.ac.uk/</v>
      </c>
      <c r="AA550" s="8" t="str">
        <f>HYPERLINK("http://openaccess.ox.ac.uk/wp-uploads/2013/03/Statement-on-Open-Access-at-the-University-of-Oxford-Approved-by-Council-on-11-March-2013.pdf","http://openaccess.ox.ac.uk/wp-uploads/2013/03/Statement-on-Open-Access-at-the-University-of-Oxford-Approved-by-Council-on-11-March-2013.pdf")</f>
        <v>http://openaccess.ox.ac.uk/wp-uploads/2013/03/Statement-on-Open-Access-at-the-University-of-Oxford-Approved-by-Council-on-11-March-2013.pdf</v>
      </c>
      <c r="AB550" s="8" t="str">
        <f>HYPERLINK("http://ora.ox.ac.uk/","http://ora.ox.ac.uk/")</f>
        <v>http://ora.ox.ac.uk/</v>
      </c>
      <c r="AC550" s="3">
        <v>41344</v>
      </c>
      <c r="AF550" s="3" t="s">
        <v>177</v>
      </c>
      <c r="AG550" s="3" t="s">
        <v>333</v>
      </c>
      <c r="AH550" s="3" t="s">
        <v>180</v>
      </c>
      <c r="AI550" s="3" t="s">
        <v>244</v>
      </c>
      <c r="AJ550" s="3" t="s">
        <v>182</v>
      </c>
      <c r="AK550" s="3" t="s">
        <v>244</v>
      </c>
      <c r="AL550" s="3" t="s">
        <v>288</v>
      </c>
      <c r="AM550" s="3" t="s">
        <v>247</v>
      </c>
      <c r="AN550" s="3" t="s">
        <v>244</v>
      </c>
      <c r="AO550" s="3" t="s">
        <v>247</v>
      </c>
      <c r="AP550" s="3" t="s">
        <v>244</v>
      </c>
      <c r="AQ550" s="3" t="s">
        <v>247</v>
      </c>
      <c r="AR550" s="3" t="s">
        <v>288</v>
      </c>
      <c r="AS550" s="3" t="s">
        <v>288</v>
      </c>
      <c r="AT550" s="3" t="s">
        <v>244</v>
      </c>
      <c r="AU550" s="3" t="s">
        <v>244</v>
      </c>
      <c r="AV550" s="3" t="s">
        <v>288</v>
      </c>
      <c r="AW550" s="3" t="s">
        <v>339</v>
      </c>
      <c r="AX550" s="3" t="s">
        <v>442</v>
      </c>
      <c r="AY550" s="3" t="s">
        <v>521</v>
      </c>
      <c r="AZ550" s="8" t="str">
        <f>HYPERLINK("http://openaccess.ox.ac.uk/applying-for-funding-from-oxfords-rcuk-open-access-block-grant/","http://openaccess.ox.ac.uk/applying-for-funding-from-oxfords-rcuk-open-access-block-grant/")</f>
        <v>http://openaccess.ox.ac.uk/applying-for-funding-from-oxfords-rcuk-open-access-block-grant/</v>
      </c>
    </row>
    <row r="551" spans="1:52" ht="15.75" customHeight="1">
      <c r="A551" s="3">
        <v>697</v>
      </c>
      <c r="B551" s="5" t="str">
        <f t="shared" si="0"/>
        <v>http://roarmap.eprints.org/697/</v>
      </c>
      <c r="C551" s="3">
        <v>4</v>
      </c>
      <c r="D551" s="3" t="s">
        <v>98</v>
      </c>
      <c r="E551" s="3">
        <v>392</v>
      </c>
      <c r="F551" s="3" t="s">
        <v>2068</v>
      </c>
      <c r="G551" s="3">
        <v>42076.573275462964</v>
      </c>
      <c r="H551" s="3">
        <v>42076.573275462964</v>
      </c>
      <c r="I551" s="3">
        <v>42076.573275462964</v>
      </c>
      <c r="J551" s="3" t="s">
        <v>103</v>
      </c>
      <c r="K551" s="3" t="s">
        <v>105</v>
      </c>
      <c r="L551" s="3" t="s">
        <v>2069</v>
      </c>
      <c r="P551" s="3" t="s">
        <v>1903</v>
      </c>
      <c r="Q551" t="str">
        <f t="shared" si="36"/>
        <v>http://roarmap.eprints.org/view/country/826.html</v>
      </c>
      <c r="R551" s="3">
        <v>826</v>
      </c>
      <c r="S551" s="6" t="s">
        <v>349</v>
      </c>
      <c r="T551" s="9">
        <v>826</v>
      </c>
      <c r="U551" s="7" t="s">
        <v>123</v>
      </c>
      <c r="V551" s="6" t="s">
        <v>125</v>
      </c>
      <c r="W551" s="3" t="s">
        <v>158</v>
      </c>
      <c r="X551" s="3" t="s">
        <v>160</v>
      </c>
      <c r="Y551" s="3" t="s">
        <v>2069</v>
      </c>
      <c r="Z551" s="8" t="str">
        <f>HYPERLINK("http://www.port.ac.uk/","http://www.port.ac.uk/")</f>
        <v>http://www.port.ac.uk/</v>
      </c>
      <c r="AA551" s="8" t="str">
        <f>HYPERLINK("http://www.port.ac.uk/accesstoinformation/policies/humanresources/filetodownload,183267,en.pdf","http://www.port.ac.uk/accesstoinformation/policies/humanresources/filetodownload,183267,en.pdf")</f>
        <v>http://www.port.ac.uk/accesstoinformation/policies/humanresources/filetodownload,183267,en.pdf</v>
      </c>
      <c r="AB551" s="8" t="str">
        <f>HYPERLINK("http://eprints.port.ac.uk/","http://eprints.port.ac.uk/")</f>
        <v>http://eprints.port.ac.uk/</v>
      </c>
      <c r="AC551" s="3">
        <v>41779</v>
      </c>
      <c r="AD551" s="3">
        <v>41954</v>
      </c>
      <c r="AF551" s="3" t="s">
        <v>177</v>
      </c>
      <c r="AG551" s="3" t="s">
        <v>178</v>
      </c>
      <c r="AH551" s="3" t="s">
        <v>180</v>
      </c>
      <c r="AI551" s="3" t="s">
        <v>371</v>
      </c>
      <c r="AJ551" s="3" t="s">
        <v>182</v>
      </c>
      <c r="AK551" s="3" t="s">
        <v>393</v>
      </c>
      <c r="AL551" s="3" t="s">
        <v>244</v>
      </c>
      <c r="AM551" s="3" t="s">
        <v>178</v>
      </c>
      <c r="AN551" s="3" t="s">
        <v>244</v>
      </c>
      <c r="AO551" s="3" t="s">
        <v>181</v>
      </c>
      <c r="AP551" s="3" t="s">
        <v>244</v>
      </c>
      <c r="AQ551" s="3" t="s">
        <v>247</v>
      </c>
      <c r="AR551" s="3" t="s">
        <v>244</v>
      </c>
      <c r="AS551" s="3" t="s">
        <v>244</v>
      </c>
      <c r="AV551" s="3" t="s">
        <v>244</v>
      </c>
      <c r="AW551" s="3" t="s">
        <v>244</v>
      </c>
      <c r="AX551" s="3" t="s">
        <v>442</v>
      </c>
      <c r="AY551" s="3" t="s">
        <v>428</v>
      </c>
      <c r="AZ551" s="8" t="str">
        <f>HYPERLINK("http://www.port.ac.uk/library/help/research/open/#apc","http://www.port.ac.uk/library/help/research/open/#apc")</f>
        <v>http://www.port.ac.uk/library/help/research/open/#apc</v>
      </c>
    </row>
    <row r="552" spans="1:52" ht="15.75" customHeight="1">
      <c r="A552" s="3">
        <v>403</v>
      </c>
      <c r="B552" s="5" t="str">
        <f t="shared" si="0"/>
        <v>http://roarmap.eprints.org/403/</v>
      </c>
      <c r="C552" s="3">
        <v>5</v>
      </c>
      <c r="D552" s="3" t="s">
        <v>98</v>
      </c>
      <c r="E552" s="3">
        <v>309</v>
      </c>
      <c r="F552" s="3" t="s">
        <v>2070</v>
      </c>
      <c r="G552" s="3">
        <v>41988.92392361111</v>
      </c>
      <c r="H552" s="3">
        <v>42046.981712962966</v>
      </c>
      <c r="I552" s="3">
        <v>41988.92392361111</v>
      </c>
      <c r="J552" s="3" t="s">
        <v>103</v>
      </c>
      <c r="K552" s="3" t="s">
        <v>105</v>
      </c>
      <c r="L552" s="3" t="s">
        <v>2071</v>
      </c>
      <c r="M552" s="3" t="s">
        <v>374</v>
      </c>
      <c r="O552" s="3" t="s">
        <v>2072</v>
      </c>
      <c r="P552" s="3" t="s">
        <v>215</v>
      </c>
      <c r="Q552" t="str">
        <f t="shared" si="36"/>
        <v>http://roarmap.eprints.org/view/country/826.html</v>
      </c>
      <c r="R552" s="3">
        <v>826</v>
      </c>
      <c r="S552" s="6" t="s">
        <v>349</v>
      </c>
      <c r="T552" s="9">
        <v>826</v>
      </c>
      <c r="U552" s="7" t="s">
        <v>123</v>
      </c>
      <c r="V552" s="6" t="s">
        <v>125</v>
      </c>
      <c r="W552" s="3" t="s">
        <v>158</v>
      </c>
      <c r="X552" s="3" t="s">
        <v>160</v>
      </c>
      <c r="Y552" s="3" t="s">
        <v>2071</v>
      </c>
      <c r="Z552" s="8" t="str">
        <f>HYPERLINK("http://www.reading.ac.uk/","http://www.reading.ac.uk/")</f>
        <v>http://www.reading.ac.uk/</v>
      </c>
      <c r="AA552" s="8" t="str">
        <f>HYPERLINK("http://www.reading.ac.uk/web/FILES/library/uoropenaccesspolicy.pdf","http://www.reading.ac.uk/web/FILES/library/uoropenaccesspolicy.pdf")</f>
        <v>http://www.reading.ac.uk/web/FILES/library/uoropenaccesspolicy.pdf</v>
      </c>
      <c r="AB552" s="8" t="str">
        <f>HYPERLINK("http://centaur.reading.ac.uk/","http://centaur.reading.ac.uk/")</f>
        <v>http://centaur.reading.ac.uk/</v>
      </c>
      <c r="AC552" s="3">
        <v>41426</v>
      </c>
      <c r="AD552" s="3">
        <v>41883</v>
      </c>
      <c r="AE552" s="3">
        <v>41821</v>
      </c>
      <c r="AF552" s="3" t="s">
        <v>177</v>
      </c>
      <c r="AG552" s="3" t="s">
        <v>178</v>
      </c>
      <c r="AH552" s="3" t="s">
        <v>180</v>
      </c>
      <c r="AI552" s="3" t="s">
        <v>187</v>
      </c>
      <c r="AJ552" s="3" t="s">
        <v>182</v>
      </c>
      <c r="AK552" s="3" t="s">
        <v>393</v>
      </c>
      <c r="AL552" s="3" t="s">
        <v>185</v>
      </c>
      <c r="AM552" s="3" t="s">
        <v>247</v>
      </c>
      <c r="AN552" s="3" t="s">
        <v>189</v>
      </c>
      <c r="AO552" s="3" t="s">
        <v>181</v>
      </c>
      <c r="AP552" s="3" t="s">
        <v>189</v>
      </c>
      <c r="AQ552" s="3" t="s">
        <v>247</v>
      </c>
      <c r="AR552" s="3" t="s">
        <v>244</v>
      </c>
      <c r="AS552" s="3" t="s">
        <v>288</v>
      </c>
      <c r="AT552" s="3" t="s">
        <v>244</v>
      </c>
      <c r="AU552" s="3" t="s">
        <v>244</v>
      </c>
      <c r="AV552" s="3" t="s">
        <v>244</v>
      </c>
      <c r="AW552" s="3" t="s">
        <v>244</v>
      </c>
      <c r="AX552" s="3" t="s">
        <v>371</v>
      </c>
      <c r="AY552" s="3" t="s">
        <v>521</v>
      </c>
      <c r="AZ552" s="8" t="str">
        <f>HYPERLINK("http://www.reading.ac.uk/library/open-access","http://www.reading.ac.uk/library/open-access")</f>
        <v>http://www.reading.ac.uk/library/open-access</v>
      </c>
    </row>
    <row r="553" spans="1:52" ht="15.75" customHeight="1">
      <c r="A553" s="3">
        <v>404</v>
      </c>
      <c r="B553" s="5" t="str">
        <f t="shared" si="0"/>
        <v>http://roarmap.eprints.org/404/</v>
      </c>
      <c r="C553" s="3">
        <v>5</v>
      </c>
      <c r="D553" s="3" t="s">
        <v>98</v>
      </c>
      <c r="E553" s="3">
        <v>1</v>
      </c>
      <c r="F553" s="3" t="s">
        <v>2073</v>
      </c>
      <c r="G553" s="3">
        <v>41988.92392361111</v>
      </c>
      <c r="H553" s="3">
        <v>42030.607800925929</v>
      </c>
      <c r="I553" s="3">
        <v>41988.92392361111</v>
      </c>
      <c r="J553" s="3" t="s">
        <v>103</v>
      </c>
      <c r="K553" s="3" t="s">
        <v>105</v>
      </c>
      <c r="L553" s="3" t="s">
        <v>2074</v>
      </c>
      <c r="M553" s="3" t="s">
        <v>374</v>
      </c>
      <c r="P553" s="3" t="s">
        <v>215</v>
      </c>
      <c r="Q553" t="str">
        <f t="shared" si="36"/>
        <v>http://roarmap.eprints.org/view/country/826.html</v>
      </c>
      <c r="R553" s="3">
        <v>826</v>
      </c>
      <c r="S553" s="6" t="s">
        <v>349</v>
      </c>
      <c r="T553" s="9">
        <v>826</v>
      </c>
      <c r="U553" s="7" t="s">
        <v>123</v>
      </c>
      <c r="V553" s="6" t="s">
        <v>125</v>
      </c>
      <c r="W553" s="3" t="s">
        <v>158</v>
      </c>
      <c r="X553" s="3" t="s">
        <v>160</v>
      </c>
      <c r="Y553" s="3" t="s">
        <v>2074</v>
      </c>
      <c r="Z553" s="8" t="str">
        <f>HYPERLINK("http://www.salford.ac.uk/","http://www.salford.ac.uk/")</f>
        <v>http://www.salford.ac.uk/</v>
      </c>
      <c r="AA553" s="8" t="str">
        <f>HYPERLINK("http://www.salford.ac.uk/__data/assets/pdf_file/0010/508492/Senate_and_committee_report_template_2014-15_open-access-policy.pdf","http://www.salford.ac.uk/__data/assets/pdf_file/0010/508492/Senate_and_committee_report_template_2014-15_open-access-policy.pdf")</f>
        <v>http://www.salford.ac.uk/__data/assets/pdf_file/0010/508492/Senate_and_committee_report_template_2014-15_open-access-policy.pdf</v>
      </c>
      <c r="AB553" s="8" t="str">
        <f>HYPERLINK("http://usir.salford.ac.uk/","http://usir.salford.ac.uk/")</f>
        <v>http://usir.salford.ac.uk/</v>
      </c>
      <c r="AD553" s="3">
        <v>40179</v>
      </c>
      <c r="AE553" s="3">
        <v>42005</v>
      </c>
      <c r="AF553" s="3" t="s">
        <v>177</v>
      </c>
      <c r="AG553" s="3" t="s">
        <v>178</v>
      </c>
      <c r="AH553" s="3" t="s">
        <v>180</v>
      </c>
      <c r="AI553" s="3" t="s">
        <v>187</v>
      </c>
      <c r="AJ553" s="3" t="s">
        <v>182</v>
      </c>
      <c r="AK553" s="3" t="s">
        <v>393</v>
      </c>
      <c r="AL553" s="3" t="s">
        <v>244</v>
      </c>
      <c r="AM553" s="3" t="s">
        <v>479</v>
      </c>
      <c r="AN553" s="3" t="s">
        <v>244</v>
      </c>
      <c r="AO553" s="3" t="s">
        <v>181</v>
      </c>
      <c r="AP553" s="3" t="s">
        <v>185</v>
      </c>
      <c r="AQ553" s="3" t="s">
        <v>386</v>
      </c>
      <c r="AR553" s="3" t="s">
        <v>288</v>
      </c>
      <c r="AS553" s="3" t="s">
        <v>288</v>
      </c>
      <c r="AT553" s="3" t="s">
        <v>395</v>
      </c>
      <c r="AU553" s="3" t="s">
        <v>459</v>
      </c>
      <c r="AV553" s="3" t="s">
        <v>244</v>
      </c>
      <c r="AW553" s="3" t="s">
        <v>244</v>
      </c>
      <c r="AX553" s="3" t="s">
        <v>244</v>
      </c>
      <c r="AY553" s="3" t="s">
        <v>247</v>
      </c>
    </row>
    <row r="554" spans="1:52" ht="15.75" customHeight="1">
      <c r="A554" s="3">
        <v>405</v>
      </c>
      <c r="B554" s="5" t="str">
        <f t="shared" si="0"/>
        <v>http://roarmap.eprints.org/405/</v>
      </c>
      <c r="C554" s="3">
        <v>3</v>
      </c>
      <c r="D554" s="3" t="s">
        <v>98</v>
      </c>
      <c r="E554" s="3">
        <v>1</v>
      </c>
      <c r="F554" s="3" t="s">
        <v>2075</v>
      </c>
      <c r="G554" s="3">
        <v>41988.92392361111</v>
      </c>
      <c r="H554" s="3">
        <v>41988.92392361111</v>
      </c>
      <c r="I554" s="3">
        <v>41988.92392361111</v>
      </c>
      <c r="J554" s="3" t="s">
        <v>103</v>
      </c>
      <c r="K554" s="3" t="s">
        <v>105</v>
      </c>
      <c r="L554" s="3" t="s">
        <v>2076</v>
      </c>
      <c r="M554" s="3" t="s">
        <v>374</v>
      </c>
      <c r="N554" s="3" t="s">
        <v>2077</v>
      </c>
      <c r="P554" s="3" t="s">
        <v>215</v>
      </c>
      <c r="Q554" t="str">
        <f t="shared" si="36"/>
        <v>http://roarmap.eprints.org/view/country/826.html</v>
      </c>
      <c r="R554" s="3">
        <v>826</v>
      </c>
      <c r="S554" s="6" t="s">
        <v>349</v>
      </c>
      <c r="T554" s="9">
        <v>826</v>
      </c>
      <c r="U554" s="7" t="s">
        <v>123</v>
      </c>
      <c r="V554" s="6" t="s">
        <v>125</v>
      </c>
      <c r="W554" s="3" t="s">
        <v>158</v>
      </c>
      <c r="X554" s="3" t="s">
        <v>160</v>
      </c>
      <c r="Y554" s="3" t="s">
        <v>2076</v>
      </c>
      <c r="Z554" s="8" t="str">
        <f>HYPERLINK("http://www.southampton.ac.uk/","http://www.southampton.ac.uk/")</f>
        <v>http://www.southampton.ac.uk/</v>
      </c>
      <c r="AA554" s="8" t="str">
        <f>HYPERLINK("http://www.southampton.ac.uk/library/research/eprints/policies/oapolicy.html","http://www.southampton.ac.uk/library/research/eprints/policies/oapolicy.html")</f>
        <v>http://www.southampton.ac.uk/library/research/eprints/policies/oapolicy.html</v>
      </c>
      <c r="AB554" s="8" t="str">
        <f t="shared" ref="AB554:AB555" si="37">HYPERLINK("http://eprints.soton.ac.uk/","http://eprints.soton.ac.uk/")</f>
        <v>http://eprints.soton.ac.uk/</v>
      </c>
      <c r="AD554" s="3">
        <v>39539</v>
      </c>
      <c r="AE554" s="3">
        <v>39904</v>
      </c>
      <c r="AF554" s="3" t="s">
        <v>177</v>
      </c>
      <c r="AG554" s="3" t="s">
        <v>178</v>
      </c>
      <c r="AH554" s="3" t="s">
        <v>180</v>
      </c>
      <c r="AI554" s="3" t="s">
        <v>244</v>
      </c>
      <c r="AJ554" s="3" t="s">
        <v>182</v>
      </c>
      <c r="AK554" s="3" t="s">
        <v>393</v>
      </c>
      <c r="AL554" s="3" t="s">
        <v>185</v>
      </c>
      <c r="AM554" s="3" t="s">
        <v>178</v>
      </c>
      <c r="AN554" s="3" t="s">
        <v>189</v>
      </c>
      <c r="AO554" s="3" t="s">
        <v>181</v>
      </c>
      <c r="AP554" s="3" t="s">
        <v>185</v>
      </c>
      <c r="AQ554" s="3" t="s">
        <v>386</v>
      </c>
      <c r="AR554" s="3" t="s">
        <v>288</v>
      </c>
      <c r="AS554" s="3" t="s">
        <v>288</v>
      </c>
      <c r="AT554" s="3" t="s">
        <v>244</v>
      </c>
      <c r="AU554" s="3" t="s">
        <v>244</v>
      </c>
      <c r="AV554" s="3" t="s">
        <v>288</v>
      </c>
      <c r="AW554" s="3" t="s">
        <v>339</v>
      </c>
      <c r="AX554" s="3" t="s">
        <v>244</v>
      </c>
      <c r="AY554" s="3" t="s">
        <v>247</v>
      </c>
    </row>
    <row r="555" spans="1:52" ht="15.75" customHeight="1">
      <c r="A555" s="3">
        <v>406</v>
      </c>
      <c r="B555" s="5" t="str">
        <f t="shared" si="0"/>
        <v>http://roarmap.eprints.org/406/</v>
      </c>
      <c r="C555" s="3">
        <v>3</v>
      </c>
      <c r="D555" s="3" t="s">
        <v>98</v>
      </c>
      <c r="E555" s="3">
        <v>1</v>
      </c>
      <c r="F555" s="3" t="s">
        <v>2078</v>
      </c>
      <c r="G555" s="3">
        <v>41988.92392361111</v>
      </c>
      <c r="H555" s="3">
        <v>41988.92392361111</v>
      </c>
      <c r="I555" s="3">
        <v>41988.92392361111</v>
      </c>
      <c r="J555" s="3" t="s">
        <v>103</v>
      </c>
      <c r="K555" s="3" t="s">
        <v>105</v>
      </c>
      <c r="L555" s="3" t="s">
        <v>2079</v>
      </c>
      <c r="M555" s="3" t="s">
        <v>374</v>
      </c>
      <c r="N555" s="3" t="s">
        <v>2080</v>
      </c>
      <c r="P555" s="3" t="s">
        <v>215</v>
      </c>
      <c r="Q555" t="str">
        <f t="shared" si="36"/>
        <v>http://roarmap.eprints.org/view/country/826.html</v>
      </c>
      <c r="R555" s="3">
        <v>826</v>
      </c>
      <c r="S555" s="6" t="s">
        <v>349</v>
      </c>
      <c r="T555" s="9">
        <v>826</v>
      </c>
      <c r="U555" s="7" t="s">
        <v>123</v>
      </c>
      <c r="V555" s="6" t="s">
        <v>125</v>
      </c>
      <c r="W555" s="3" t="s">
        <v>158</v>
      </c>
      <c r="X555" s="3" t="s">
        <v>384</v>
      </c>
      <c r="Y555" s="3" t="s">
        <v>2079</v>
      </c>
      <c r="Z555" s="8" t="str">
        <f>HYPERLINK("http://www.ecs.soton.ac.uk/","http://www.ecs.soton.ac.uk/")</f>
        <v>http://www.ecs.soton.ac.uk/</v>
      </c>
      <c r="AB555" s="8" t="str">
        <f t="shared" si="37"/>
        <v>http://eprints.soton.ac.uk/</v>
      </c>
      <c r="AC555" s="3">
        <v>37657</v>
      </c>
      <c r="AD555" s="3">
        <v>37657</v>
      </c>
      <c r="AF555" s="3" t="s">
        <v>177</v>
      </c>
      <c r="AG555" s="3" t="s">
        <v>178</v>
      </c>
      <c r="AH555" s="3" t="s">
        <v>180</v>
      </c>
      <c r="AI555" s="3" t="s">
        <v>244</v>
      </c>
      <c r="AJ555" s="3" t="s">
        <v>244</v>
      </c>
      <c r="AK555" s="3" t="s">
        <v>244</v>
      </c>
      <c r="AL555" s="3" t="s">
        <v>244</v>
      </c>
      <c r="AM555" s="3" t="s">
        <v>247</v>
      </c>
      <c r="AN555" s="3" t="s">
        <v>244</v>
      </c>
      <c r="AO555" s="3" t="s">
        <v>247</v>
      </c>
      <c r="AP555" s="3" t="s">
        <v>244</v>
      </c>
      <c r="AQ555" s="3" t="s">
        <v>247</v>
      </c>
      <c r="AR555" s="3" t="s">
        <v>288</v>
      </c>
      <c r="AS555" s="3" t="s">
        <v>244</v>
      </c>
      <c r="AT555" s="3" t="s">
        <v>244</v>
      </c>
      <c r="AU555" s="3" t="s">
        <v>244</v>
      </c>
      <c r="AV555" s="3" t="s">
        <v>288</v>
      </c>
      <c r="AW555" s="3" t="s">
        <v>244</v>
      </c>
      <c r="AX555" s="3" t="s">
        <v>244</v>
      </c>
      <c r="AY555" s="3" t="s">
        <v>247</v>
      </c>
    </row>
    <row r="556" spans="1:52" ht="15.75" customHeight="1">
      <c r="A556" s="3">
        <v>407</v>
      </c>
      <c r="B556" s="5" t="str">
        <f t="shared" si="0"/>
        <v>http://roarmap.eprints.org/407/</v>
      </c>
      <c r="C556" s="3">
        <v>3</v>
      </c>
      <c r="D556" s="3" t="s">
        <v>98</v>
      </c>
      <c r="E556" s="3">
        <v>1</v>
      </c>
      <c r="F556" s="3" t="s">
        <v>2081</v>
      </c>
      <c r="G556" s="3">
        <v>41988.92392361111</v>
      </c>
      <c r="H556" s="3">
        <v>41988.92392361111</v>
      </c>
      <c r="I556" s="3">
        <v>41988.92392361111</v>
      </c>
      <c r="J556" s="3" t="s">
        <v>103</v>
      </c>
      <c r="K556" s="3" t="s">
        <v>105</v>
      </c>
      <c r="L556" s="3" t="s">
        <v>2082</v>
      </c>
      <c r="M556" s="3" t="s">
        <v>374</v>
      </c>
      <c r="P556" s="3" t="s">
        <v>215</v>
      </c>
      <c r="Q556" t="str">
        <f t="shared" si="36"/>
        <v>http://roarmap.eprints.org/view/country/826.html</v>
      </c>
      <c r="R556" s="3">
        <v>826</v>
      </c>
      <c r="S556" s="6" t="s">
        <v>349</v>
      </c>
      <c r="T556" s="9">
        <v>826</v>
      </c>
      <c r="U556" s="7" t="s">
        <v>123</v>
      </c>
      <c r="V556" s="6" t="s">
        <v>125</v>
      </c>
      <c r="W556" s="3" t="s">
        <v>158</v>
      </c>
      <c r="X556" s="3" t="s">
        <v>160</v>
      </c>
      <c r="Y556" s="3" t="s">
        <v>2082</v>
      </c>
      <c r="Z556" s="8" t="str">
        <f>HYPERLINK("http://www.st-andrews.ac.uk/","http://www.st-andrews.ac.uk/")</f>
        <v>http://www.st-andrews.ac.uk/</v>
      </c>
      <c r="AA556" s="8" t="str">
        <f>HYPERLINK("http://www.st-andrews.ac.uk/library/services/researchsupport/openaccess/oapolicy/","http://www.st-andrews.ac.uk/library/services/researchsupport/openaccess/oapolicy/")</f>
        <v>http://www.st-andrews.ac.uk/library/services/researchsupport/openaccess/oapolicy/</v>
      </c>
      <c r="AB556" s="8" t="str">
        <f>HYPERLINK("http://research-repository.st-andrews.ac.uk/","http://research-repository.st-andrews.ac.uk/")</f>
        <v>http://research-repository.st-andrews.ac.uk/</v>
      </c>
      <c r="AD556" s="3">
        <v>38991</v>
      </c>
      <c r="AF556" s="3" t="s">
        <v>177</v>
      </c>
      <c r="AG556" s="3" t="s">
        <v>178</v>
      </c>
      <c r="AH556" s="3" t="s">
        <v>180</v>
      </c>
      <c r="AI556" s="3" t="s">
        <v>244</v>
      </c>
      <c r="AJ556" s="3" t="s">
        <v>385</v>
      </c>
      <c r="AK556" s="3" t="s">
        <v>244</v>
      </c>
      <c r="AL556" s="3" t="s">
        <v>185</v>
      </c>
      <c r="AM556" s="3" t="s">
        <v>178</v>
      </c>
      <c r="AN556" s="3" t="s">
        <v>185</v>
      </c>
      <c r="AO556" s="3" t="s">
        <v>392</v>
      </c>
      <c r="AP556" s="3" t="s">
        <v>185</v>
      </c>
      <c r="AQ556" s="3" t="s">
        <v>247</v>
      </c>
      <c r="AR556" s="3" t="s">
        <v>288</v>
      </c>
      <c r="AS556" s="3" t="s">
        <v>185</v>
      </c>
      <c r="AT556" s="3" t="s">
        <v>244</v>
      </c>
      <c r="AU556" s="3" t="s">
        <v>244</v>
      </c>
      <c r="AV556" s="3" t="s">
        <v>288</v>
      </c>
      <c r="AW556" s="3" t="s">
        <v>339</v>
      </c>
      <c r="AX556" s="3" t="s">
        <v>244</v>
      </c>
      <c r="AY556" s="3" t="s">
        <v>371</v>
      </c>
    </row>
    <row r="557" spans="1:52" ht="15.75" customHeight="1">
      <c r="A557" s="3">
        <v>408</v>
      </c>
      <c r="B557" s="5" t="str">
        <f t="shared" si="0"/>
        <v>http://roarmap.eprints.org/408/</v>
      </c>
      <c r="C557" s="3">
        <v>3</v>
      </c>
      <c r="D557" s="3" t="s">
        <v>98</v>
      </c>
      <c r="E557" s="3">
        <v>1</v>
      </c>
      <c r="F557" s="3" t="s">
        <v>2083</v>
      </c>
      <c r="G557" s="3">
        <v>41988.92392361111</v>
      </c>
      <c r="H557" s="3">
        <v>41988.92392361111</v>
      </c>
      <c r="I557" s="3">
        <v>41988.92392361111</v>
      </c>
      <c r="J557" s="3" t="s">
        <v>103</v>
      </c>
      <c r="K557" s="3" t="s">
        <v>105</v>
      </c>
      <c r="L557" s="3" t="s">
        <v>2084</v>
      </c>
      <c r="M557" s="3" t="s">
        <v>374</v>
      </c>
      <c r="P557" s="3" t="s">
        <v>215</v>
      </c>
      <c r="Q557" t="str">
        <f t="shared" si="36"/>
        <v>http://roarmap.eprints.org/view/country/826.html</v>
      </c>
      <c r="R557" s="3">
        <v>826</v>
      </c>
      <c r="S557" s="6" t="s">
        <v>349</v>
      </c>
      <c r="T557" s="9">
        <v>826</v>
      </c>
      <c r="U557" s="7" t="s">
        <v>123</v>
      </c>
      <c r="V557" s="6" t="s">
        <v>125</v>
      </c>
      <c r="W557" s="3" t="s">
        <v>158</v>
      </c>
      <c r="X557" s="3" t="s">
        <v>160</v>
      </c>
      <c r="Y557" s="3" t="s">
        <v>2084</v>
      </c>
      <c r="Z557" s="8" t="str">
        <f>HYPERLINK("http://www.stir.ac.uk/","http://www.stir.ac.uk/")</f>
        <v>http://www.stir.ac.uk/</v>
      </c>
      <c r="AA557" s="8" t="str">
        <f>HYPERLINK("http://www.stir.ac.uk/is/researchers/writing/publishingimpact/openaccesspublishing/#OA","http://www.stir.ac.uk/is/researchers/writing/publishingimpact/openaccesspublishing/#OA")</f>
        <v>http://www.stir.ac.uk/is/researchers/writing/publishingimpact/openaccesspublishing/#OA</v>
      </c>
      <c r="AB557" s="8" t="str">
        <f>HYPERLINK("https://dspace.stir.ac.uk/","https://dspace.stir.ac.uk/")</f>
        <v>https://dspace.stir.ac.uk/</v>
      </c>
      <c r="AC557" s="3">
        <v>38816</v>
      </c>
      <c r="AD557" s="3">
        <v>39083</v>
      </c>
      <c r="AE557" s="3">
        <v>41365</v>
      </c>
      <c r="AF557" s="3" t="s">
        <v>177</v>
      </c>
      <c r="AG557" s="3" t="s">
        <v>178</v>
      </c>
      <c r="AH557" s="3" t="s">
        <v>180</v>
      </c>
      <c r="AI557" s="3" t="s">
        <v>244</v>
      </c>
      <c r="AJ557" s="3" t="s">
        <v>182</v>
      </c>
      <c r="AK557" s="3" t="s">
        <v>393</v>
      </c>
      <c r="AL557" s="3" t="s">
        <v>244</v>
      </c>
      <c r="AM557" s="3" t="s">
        <v>178</v>
      </c>
      <c r="AN557" s="3" t="s">
        <v>244</v>
      </c>
      <c r="AO557" s="3" t="s">
        <v>181</v>
      </c>
      <c r="AP557" s="3" t="s">
        <v>185</v>
      </c>
      <c r="AQ557" s="3" t="s">
        <v>386</v>
      </c>
      <c r="AR557" s="3" t="s">
        <v>288</v>
      </c>
      <c r="AS557" s="3" t="s">
        <v>288</v>
      </c>
      <c r="AT557" s="3" t="s">
        <v>244</v>
      </c>
      <c r="AU557" s="3" t="s">
        <v>244</v>
      </c>
      <c r="AV557" s="3" t="s">
        <v>288</v>
      </c>
      <c r="AW557" s="3" t="s">
        <v>339</v>
      </c>
      <c r="AX557" s="3" t="s">
        <v>442</v>
      </c>
      <c r="AY557" s="3" t="s">
        <v>428</v>
      </c>
    </row>
    <row r="558" spans="1:52" ht="15.75" customHeight="1">
      <c r="A558" s="3">
        <v>409</v>
      </c>
      <c r="B558" s="5" t="str">
        <f t="shared" si="0"/>
        <v>http://roarmap.eprints.org/409/</v>
      </c>
      <c r="C558" s="3">
        <v>3</v>
      </c>
      <c r="D558" s="3" t="s">
        <v>98</v>
      </c>
      <c r="E558" s="3">
        <v>1</v>
      </c>
      <c r="F558" s="3" t="s">
        <v>2085</v>
      </c>
      <c r="G558" s="3">
        <v>41988.92392361111</v>
      </c>
      <c r="H558" s="3">
        <v>41988.92392361111</v>
      </c>
      <c r="I558" s="3">
        <v>41988.92392361111</v>
      </c>
      <c r="J558" s="3" t="s">
        <v>103</v>
      </c>
      <c r="K558" s="3" t="s">
        <v>105</v>
      </c>
      <c r="L558" s="3" t="s">
        <v>2086</v>
      </c>
      <c r="M558" s="3" t="s">
        <v>374</v>
      </c>
      <c r="P558" s="3" t="s">
        <v>215</v>
      </c>
      <c r="Q558" t="str">
        <f t="shared" si="36"/>
        <v>http://roarmap.eprints.org/view/country/826.html</v>
      </c>
      <c r="R558" s="3">
        <v>826</v>
      </c>
      <c r="S558" s="6" t="s">
        <v>349</v>
      </c>
      <c r="T558" s="9">
        <v>826</v>
      </c>
      <c r="U558" s="7" t="s">
        <v>123</v>
      </c>
      <c r="V558" s="6" t="s">
        <v>125</v>
      </c>
      <c r="W558" s="3" t="s">
        <v>158</v>
      </c>
      <c r="X558" s="3" t="s">
        <v>160</v>
      </c>
      <c r="Y558" s="3" t="s">
        <v>2086</v>
      </c>
      <c r="Z558" s="8" t="str">
        <f>HYPERLINK("http://www.strath.ac.uk/","http://www.strath.ac.uk/")</f>
        <v>http://www.strath.ac.uk/</v>
      </c>
      <c r="AA558" s="8" t="str">
        <f>HYPERLINK("http://strathprints.strath.ac.uk/Strathclyde_Publications_Mandate2v4.pdf","http://strathprints.strath.ac.uk/Strathclyde_Publications_Mandate2v4.pdf")</f>
        <v>http://strathprints.strath.ac.uk/Strathclyde_Publications_Mandate2v4.pdf</v>
      </c>
      <c r="AB558" s="8" t="str">
        <f>HYPERLINK("http://strathprints.strath.ac.uk/","http://strathprints.strath.ac.uk/")</f>
        <v>http://strathprints.strath.ac.uk/</v>
      </c>
      <c r="AD558" s="3">
        <v>40087</v>
      </c>
      <c r="AF558" s="3" t="s">
        <v>177</v>
      </c>
      <c r="AG558" s="3" t="s">
        <v>178</v>
      </c>
      <c r="AH558" s="3" t="s">
        <v>180</v>
      </c>
      <c r="AI558" s="3" t="s">
        <v>244</v>
      </c>
      <c r="AJ558" s="3" t="s">
        <v>182</v>
      </c>
      <c r="AK558" s="3" t="s">
        <v>393</v>
      </c>
      <c r="AL558" s="3" t="s">
        <v>185</v>
      </c>
      <c r="AM558" s="3" t="s">
        <v>178</v>
      </c>
      <c r="AN558" s="3" t="s">
        <v>185</v>
      </c>
      <c r="AO558" s="3" t="s">
        <v>181</v>
      </c>
      <c r="AP558" s="3" t="s">
        <v>189</v>
      </c>
      <c r="AQ558" s="3" t="s">
        <v>386</v>
      </c>
      <c r="AR558" s="3" t="s">
        <v>288</v>
      </c>
      <c r="AS558" s="3" t="s">
        <v>288</v>
      </c>
      <c r="AT558" s="3" t="s">
        <v>244</v>
      </c>
      <c r="AU558" s="3" t="s">
        <v>244</v>
      </c>
      <c r="AV558" s="3" t="s">
        <v>288</v>
      </c>
      <c r="AW558" s="3" t="s">
        <v>339</v>
      </c>
      <c r="AX558" s="3" t="s">
        <v>244</v>
      </c>
      <c r="AY558" s="3" t="s">
        <v>371</v>
      </c>
    </row>
    <row r="559" spans="1:52" ht="15.75" customHeight="1">
      <c r="A559" s="3">
        <v>410</v>
      </c>
      <c r="B559" s="5" t="str">
        <f t="shared" si="0"/>
        <v>http://roarmap.eprints.org/410/</v>
      </c>
      <c r="C559" s="3">
        <v>3</v>
      </c>
      <c r="D559" s="3" t="s">
        <v>98</v>
      </c>
      <c r="E559" s="3">
        <v>1</v>
      </c>
      <c r="F559" s="3" t="s">
        <v>2087</v>
      </c>
      <c r="G559" s="3">
        <v>41988.92392361111</v>
      </c>
      <c r="H559" s="3">
        <v>41988.92392361111</v>
      </c>
      <c r="I559" s="3">
        <v>41988.92392361111</v>
      </c>
      <c r="J559" s="3" t="s">
        <v>103</v>
      </c>
      <c r="K559" s="3" t="s">
        <v>105</v>
      </c>
      <c r="L559" s="3" t="s">
        <v>2088</v>
      </c>
      <c r="M559" s="3" t="s">
        <v>374</v>
      </c>
      <c r="N559" s="3" t="s">
        <v>2089</v>
      </c>
      <c r="P559" s="3" t="s">
        <v>215</v>
      </c>
      <c r="Q559" t="str">
        <f t="shared" si="36"/>
        <v>http://roarmap.eprints.org/view/country/826.html</v>
      </c>
      <c r="R559" s="3">
        <v>826</v>
      </c>
      <c r="S559" s="6" t="s">
        <v>349</v>
      </c>
      <c r="T559" s="9">
        <v>826</v>
      </c>
      <c r="U559" s="7" t="s">
        <v>123</v>
      </c>
      <c r="V559" s="6" t="s">
        <v>125</v>
      </c>
      <c r="W559" s="3" t="s">
        <v>158</v>
      </c>
      <c r="X559" s="3" t="s">
        <v>160</v>
      </c>
      <c r="Y559" s="3" t="s">
        <v>2088</v>
      </c>
      <c r="Z559" s="8" t="str">
        <f>HYPERLINK("http://www2.surrey.ac.uk/","http://www2.surrey.ac.uk/")</f>
        <v>http://www2.surrey.ac.uk/</v>
      </c>
      <c r="AA559" s="8" t="str">
        <f>HYPERLINK("http://epubs.surrey.ac.uk/policies.html#3","http://epubs.surrey.ac.uk/policies.html#3")</f>
        <v>http://epubs.surrey.ac.uk/policies.html#3</v>
      </c>
      <c r="AB559" s="8" t="str">
        <f>HYPERLINK("http://epubs.surrey.ac.uk/","http://epubs.surrey.ac.uk/")</f>
        <v>http://epubs.surrey.ac.uk/</v>
      </c>
      <c r="AC559" s="3">
        <v>38637</v>
      </c>
      <c r="AD559" s="3">
        <v>38626</v>
      </c>
      <c r="AE559" s="3">
        <v>40575</v>
      </c>
      <c r="AF559" s="3" t="s">
        <v>177</v>
      </c>
      <c r="AG559" s="3" t="s">
        <v>178</v>
      </c>
      <c r="AH559" s="3" t="s">
        <v>180</v>
      </c>
      <c r="AI559" s="3" t="s">
        <v>187</v>
      </c>
      <c r="AJ559" s="3" t="s">
        <v>182</v>
      </c>
      <c r="AK559" s="3" t="s">
        <v>393</v>
      </c>
      <c r="AL559" s="3" t="s">
        <v>185</v>
      </c>
      <c r="AM559" s="3" t="s">
        <v>178</v>
      </c>
      <c r="AN559" s="3" t="s">
        <v>244</v>
      </c>
      <c r="AO559" s="3" t="s">
        <v>181</v>
      </c>
      <c r="AP559" s="3" t="s">
        <v>185</v>
      </c>
      <c r="AQ559" s="3" t="s">
        <v>386</v>
      </c>
      <c r="AR559" s="3" t="s">
        <v>288</v>
      </c>
      <c r="AS559" s="3" t="s">
        <v>288</v>
      </c>
      <c r="AT559" s="3" t="s">
        <v>244</v>
      </c>
      <c r="AU559" s="3" t="s">
        <v>244</v>
      </c>
      <c r="AV559" s="3" t="s">
        <v>288</v>
      </c>
      <c r="AW559" s="3" t="s">
        <v>339</v>
      </c>
      <c r="AX559" s="3" t="s">
        <v>244</v>
      </c>
      <c r="AY559" s="3" t="s">
        <v>247</v>
      </c>
    </row>
    <row r="560" spans="1:52" ht="15.75" customHeight="1">
      <c r="A560" s="3">
        <v>411</v>
      </c>
      <c r="B560" s="5" t="str">
        <f t="shared" si="0"/>
        <v>http://roarmap.eprints.org/411/</v>
      </c>
      <c r="C560" s="3">
        <v>6</v>
      </c>
      <c r="D560" s="3" t="s">
        <v>98</v>
      </c>
      <c r="E560" s="3">
        <v>1</v>
      </c>
      <c r="F560" s="3" t="s">
        <v>2090</v>
      </c>
      <c r="G560" s="3">
        <v>41988.92392361111</v>
      </c>
      <c r="H560" s="3">
        <v>42066.890451388892</v>
      </c>
      <c r="I560" s="3">
        <v>41988.92392361111</v>
      </c>
      <c r="J560" s="3" t="s">
        <v>103</v>
      </c>
      <c r="K560" s="3" t="s">
        <v>105</v>
      </c>
      <c r="L560" s="3" t="s">
        <v>2091</v>
      </c>
      <c r="M560" s="3" t="s">
        <v>374</v>
      </c>
      <c r="N560" s="3" t="s">
        <v>2092</v>
      </c>
      <c r="O560" s="3" t="s">
        <v>2093</v>
      </c>
      <c r="P560" s="3" t="s">
        <v>1875</v>
      </c>
      <c r="Q560" t="str">
        <f t="shared" si="36"/>
        <v>http://roarmap.eprints.org/view/country/826.html</v>
      </c>
      <c r="R560" s="3">
        <v>826</v>
      </c>
      <c r="S560" s="6" t="s">
        <v>349</v>
      </c>
      <c r="T560" s="9">
        <v>826</v>
      </c>
      <c r="U560" s="7" t="s">
        <v>123</v>
      </c>
      <c r="V560" s="6" t="s">
        <v>125</v>
      </c>
      <c r="W560" s="3" t="s">
        <v>158</v>
      </c>
      <c r="X560" s="3" t="s">
        <v>160</v>
      </c>
      <c r="Y560" s="3" t="s">
        <v>2091</v>
      </c>
      <c r="Z560" s="8" t="str">
        <f>HYPERLINK("http://www.ulster.ac.uk/","http://www.ulster.ac.uk/")</f>
        <v>http://www.ulster.ac.uk/</v>
      </c>
      <c r="AA560" s="8" t="str">
        <f>HYPERLINK("http://eprints.ulster.ac.uk/policies.html","http://eprints.ulster.ac.uk/policies.html")</f>
        <v>http://eprints.ulster.ac.uk/policies.html</v>
      </c>
      <c r="AB560" s="8" t="str">
        <f>HYPERLINK("http://eprints.ulster.ac.uk/","http://eprints.ulster.ac.uk/")</f>
        <v>http://eprints.ulster.ac.uk/</v>
      </c>
      <c r="AC560" s="3">
        <v>2009</v>
      </c>
      <c r="AD560" s="3">
        <v>2009</v>
      </c>
      <c r="AE560" s="3">
        <v>2011</v>
      </c>
      <c r="AF560" s="3" t="s">
        <v>177</v>
      </c>
      <c r="AG560" s="3" t="s">
        <v>178</v>
      </c>
      <c r="AH560" s="3" t="s">
        <v>180</v>
      </c>
      <c r="AI560" s="3" t="s">
        <v>181</v>
      </c>
      <c r="AJ560" s="3" t="s">
        <v>182</v>
      </c>
      <c r="AK560" s="3" t="s">
        <v>393</v>
      </c>
      <c r="AL560" s="3" t="s">
        <v>189</v>
      </c>
      <c r="AM560" s="3" t="s">
        <v>479</v>
      </c>
      <c r="AN560" s="3" t="s">
        <v>189</v>
      </c>
      <c r="AO560" s="3" t="s">
        <v>181</v>
      </c>
      <c r="AP560" s="3" t="s">
        <v>244</v>
      </c>
      <c r="AQ560" s="3" t="s">
        <v>247</v>
      </c>
      <c r="AR560" s="3" t="s">
        <v>288</v>
      </c>
      <c r="AS560" s="3" t="s">
        <v>288</v>
      </c>
      <c r="AT560" s="3" t="s">
        <v>244</v>
      </c>
      <c r="AU560" s="3" t="s">
        <v>244</v>
      </c>
      <c r="AV560" s="3" t="s">
        <v>288</v>
      </c>
      <c r="AX560" s="3" t="s">
        <v>244</v>
      </c>
      <c r="AY560" s="3" t="s">
        <v>247</v>
      </c>
    </row>
    <row r="561" spans="1:52" ht="15.75" customHeight="1">
      <c r="A561" s="3">
        <v>412</v>
      </c>
      <c r="B561" s="5" t="str">
        <f t="shared" si="0"/>
        <v>http://roarmap.eprints.org/412/</v>
      </c>
      <c r="C561" s="3">
        <v>4</v>
      </c>
      <c r="D561" s="3" t="s">
        <v>98</v>
      </c>
      <c r="E561" s="3">
        <v>1</v>
      </c>
      <c r="F561" s="3" t="s">
        <v>2094</v>
      </c>
      <c r="G561" s="3">
        <v>41988.923935185187</v>
      </c>
      <c r="H561" s="3">
        <v>41988.923935185187</v>
      </c>
      <c r="I561" s="3">
        <v>41988.923935185187</v>
      </c>
      <c r="J561" s="3" t="s">
        <v>103</v>
      </c>
      <c r="K561" s="3" t="s">
        <v>105</v>
      </c>
      <c r="L561" s="3" t="s">
        <v>2095</v>
      </c>
      <c r="M561" s="3" t="s">
        <v>374</v>
      </c>
      <c r="N561" s="3" t="s">
        <v>2096</v>
      </c>
      <c r="O561" s="3" t="s">
        <v>2097</v>
      </c>
      <c r="P561" s="3" t="s">
        <v>215</v>
      </c>
      <c r="Q561" t="str">
        <f t="shared" si="36"/>
        <v>http://roarmap.eprints.org/view/country/826.html</v>
      </c>
      <c r="R561" s="3">
        <v>826</v>
      </c>
      <c r="S561" s="6" t="s">
        <v>349</v>
      </c>
      <c r="T561" s="9">
        <v>826</v>
      </c>
      <c r="U561" s="7" t="s">
        <v>123</v>
      </c>
      <c r="V561" s="6" t="s">
        <v>125</v>
      </c>
      <c r="W561" s="3" t="s">
        <v>158</v>
      </c>
      <c r="X561" s="3" t="s">
        <v>160</v>
      </c>
      <c r="Y561" s="3" t="s">
        <v>2095</v>
      </c>
      <c r="Z561" s="8" t="str">
        <f>HYPERLINK("http://www2.warwick.ac.uk/","http://www2.warwick.ac.uk/")</f>
        <v>http://www2.warwick.ac.uk/</v>
      </c>
      <c r="AA561" s="8" t="str">
        <f>HYPERLINK("http://www2.warwick.ac.uk/fac/sci/sbdtc/publications/university_of_warwick_open_access_policy_website.pdf","http://www2.warwick.ac.uk/fac/sci/sbdtc/publications/university_of_warwick_open_access_policy_website.pdf")</f>
        <v>http://www2.warwick.ac.uk/fac/sci/sbdtc/publications/university_of_warwick_open_access_policy_website.pdf</v>
      </c>
      <c r="AB561" s="8" t="str">
        <f>HYPERLINK("http://wrap.warwick.ac.uk/","http://wrap.warwick.ac.uk/")</f>
        <v>http://wrap.warwick.ac.uk/</v>
      </c>
      <c r="AD561" s="3">
        <v>41275</v>
      </c>
      <c r="AF561" s="3" t="s">
        <v>177</v>
      </c>
      <c r="AG561" s="3" t="s">
        <v>178</v>
      </c>
      <c r="AH561" s="3" t="s">
        <v>180</v>
      </c>
      <c r="AI561" s="3" t="s">
        <v>392</v>
      </c>
      <c r="AJ561" s="3" t="s">
        <v>182</v>
      </c>
      <c r="AK561" s="3" t="s">
        <v>393</v>
      </c>
      <c r="AL561" s="3" t="s">
        <v>189</v>
      </c>
      <c r="AM561" s="3" t="s">
        <v>178</v>
      </c>
      <c r="AN561" s="3" t="s">
        <v>189</v>
      </c>
      <c r="AO561" s="3" t="s">
        <v>181</v>
      </c>
      <c r="AP561" s="3" t="s">
        <v>185</v>
      </c>
      <c r="AQ561" s="3" t="s">
        <v>386</v>
      </c>
      <c r="AR561" s="3" t="s">
        <v>288</v>
      </c>
      <c r="AS561" s="3" t="s">
        <v>288</v>
      </c>
      <c r="AT561" s="3" t="s">
        <v>244</v>
      </c>
      <c r="AU561" s="3" t="s">
        <v>244</v>
      </c>
      <c r="AV561" s="3" t="s">
        <v>288</v>
      </c>
      <c r="AW561" s="3" t="s">
        <v>339</v>
      </c>
      <c r="AX561" s="3" t="s">
        <v>442</v>
      </c>
      <c r="AY561" s="3" t="s">
        <v>371</v>
      </c>
    </row>
    <row r="562" spans="1:52" ht="15.75" customHeight="1">
      <c r="A562" s="3">
        <v>413</v>
      </c>
      <c r="B562" s="5" t="str">
        <f t="shared" si="0"/>
        <v>http://roarmap.eprints.org/413/</v>
      </c>
      <c r="C562" s="3">
        <v>3</v>
      </c>
      <c r="D562" s="3" t="s">
        <v>98</v>
      </c>
      <c r="E562" s="3">
        <v>1</v>
      </c>
      <c r="F562" s="3" t="s">
        <v>2098</v>
      </c>
      <c r="G562" s="3">
        <v>41988.923935185187</v>
      </c>
      <c r="H562" s="3">
        <v>41988.923935185187</v>
      </c>
      <c r="I562" s="3">
        <v>41988.923935185187</v>
      </c>
      <c r="J562" s="3" t="s">
        <v>103</v>
      </c>
      <c r="K562" s="3" t="s">
        <v>105</v>
      </c>
      <c r="L562" s="3" t="s">
        <v>2099</v>
      </c>
      <c r="M562" s="3" t="s">
        <v>374</v>
      </c>
      <c r="P562" s="3" t="s">
        <v>215</v>
      </c>
      <c r="Q562" t="str">
        <f t="shared" si="36"/>
        <v>http://roarmap.eprints.org/view/country/826.html</v>
      </c>
      <c r="R562" s="3">
        <v>826</v>
      </c>
      <c r="S562" s="6" t="s">
        <v>349</v>
      </c>
      <c r="T562" s="9">
        <v>826</v>
      </c>
      <c r="U562" s="7" t="s">
        <v>123</v>
      </c>
      <c r="V562" s="6" t="s">
        <v>125</v>
      </c>
      <c r="W562" s="3" t="s">
        <v>158</v>
      </c>
      <c r="X562" s="3" t="s">
        <v>160</v>
      </c>
      <c r="Y562" s="3" t="s">
        <v>2099</v>
      </c>
      <c r="Z562" s="8" t="str">
        <f>HYPERLINK("http://www.westminster.ac.uk/","http://www.westminster.ac.uk/")</f>
        <v>http://www.westminster.ac.uk/</v>
      </c>
      <c r="AA562" s="8" t="str">
        <f>HYPERLINK("http://www.westminster.ac.uk/research/research-framework/dissemination-policy-wr","http://www.westminster.ac.uk/research/research-framework/dissemination-policy-wr")</f>
        <v>http://www.westminster.ac.uk/research/research-framework/dissemination-policy-wr</v>
      </c>
      <c r="AB562" s="8" t="str">
        <f>HYPERLINK("http://westminsterresearch.wmin.ac.uk/","http://westminsterresearch.wmin.ac.uk/")</f>
        <v>http://westminsterresearch.wmin.ac.uk/</v>
      </c>
      <c r="AD562" s="3">
        <v>39083</v>
      </c>
      <c r="AF562" s="3" t="s">
        <v>177</v>
      </c>
      <c r="AG562" s="3" t="s">
        <v>178</v>
      </c>
      <c r="AH562" s="3" t="s">
        <v>180</v>
      </c>
      <c r="AI562" s="3" t="s">
        <v>187</v>
      </c>
      <c r="AJ562" s="3" t="s">
        <v>182</v>
      </c>
      <c r="AK562" s="3" t="s">
        <v>393</v>
      </c>
      <c r="AL562" s="3" t="s">
        <v>185</v>
      </c>
      <c r="AM562" s="3" t="s">
        <v>178</v>
      </c>
      <c r="AN562" s="3" t="s">
        <v>244</v>
      </c>
      <c r="AO562" s="3" t="s">
        <v>247</v>
      </c>
      <c r="AP562" s="3" t="s">
        <v>185</v>
      </c>
      <c r="AQ562" s="3" t="s">
        <v>386</v>
      </c>
      <c r="AR562" s="3" t="s">
        <v>288</v>
      </c>
      <c r="AS562" s="3" t="s">
        <v>288</v>
      </c>
      <c r="AT562" s="3" t="s">
        <v>244</v>
      </c>
      <c r="AU562" s="3" t="s">
        <v>244</v>
      </c>
      <c r="AV562" s="3" t="s">
        <v>288</v>
      </c>
      <c r="AW562" s="3" t="s">
        <v>339</v>
      </c>
      <c r="AX562" s="3" t="s">
        <v>244</v>
      </c>
      <c r="AY562" s="3" t="s">
        <v>247</v>
      </c>
    </row>
    <row r="563" spans="1:52" ht="15.75" customHeight="1">
      <c r="A563" s="3">
        <v>699</v>
      </c>
      <c r="B563" s="5" t="str">
        <f t="shared" si="0"/>
        <v>http://roarmap.eprints.org/699/</v>
      </c>
      <c r="C563" s="3">
        <v>4</v>
      </c>
      <c r="D563" s="3" t="s">
        <v>98</v>
      </c>
      <c r="E563" s="3">
        <v>392</v>
      </c>
      <c r="F563" s="3" t="s">
        <v>2100</v>
      </c>
      <c r="G563" s="3">
        <v>42076.573564814818</v>
      </c>
      <c r="H563" s="3">
        <v>42076.573564814818</v>
      </c>
      <c r="I563" s="3">
        <v>42076.573564814818</v>
      </c>
      <c r="J563" s="3" t="s">
        <v>103</v>
      </c>
      <c r="K563" s="3" t="s">
        <v>105</v>
      </c>
      <c r="L563" s="3" t="s">
        <v>2101</v>
      </c>
      <c r="P563" s="3" t="s">
        <v>1903</v>
      </c>
      <c r="Q563" t="str">
        <f t="shared" si="36"/>
        <v>http://roarmap.eprints.org/view/country/826.html</v>
      </c>
      <c r="R563" s="3">
        <v>826</v>
      </c>
      <c r="S563" s="6" t="s">
        <v>349</v>
      </c>
      <c r="T563" s="9">
        <v>826</v>
      </c>
      <c r="U563" s="7" t="s">
        <v>123</v>
      </c>
      <c r="V563" s="6" t="s">
        <v>125</v>
      </c>
      <c r="W563" s="3" t="s">
        <v>158</v>
      </c>
      <c r="X563" s="3" t="s">
        <v>160</v>
      </c>
      <c r="Y563" s="3" t="s">
        <v>2101</v>
      </c>
      <c r="Z563" s="8" t="str">
        <f>HYPERLINK("http://www.worcester.ac.uk/","http://www.worcester.ac.uk/")</f>
        <v>http://www.worcester.ac.uk/</v>
      </c>
      <c r="AA563" s="8" t="str">
        <f>HYPERLINK("http://libguides.worc.ac.uk/content.php?pid=528562&amp;sid=4349103","http://libguides.worc.ac.uk/content.php?pid=528562&amp;sid=4349103")</f>
        <v>http://libguides.worc.ac.uk/content.php?pid=528562&amp;sid=4349103</v>
      </c>
      <c r="AB563" s="8" t="str">
        <f>HYPERLINK("http://eprints.worc.ac.uk/","http://eprints.worc.ac.uk/")</f>
        <v>http://eprints.worc.ac.uk/</v>
      </c>
      <c r="AC563" s="3">
        <v>41000</v>
      </c>
      <c r="AD563" s="3">
        <v>41730</v>
      </c>
      <c r="AF563" s="3" t="s">
        <v>177</v>
      </c>
      <c r="AG563" s="3" t="s">
        <v>178</v>
      </c>
      <c r="AH563" s="3" t="s">
        <v>180</v>
      </c>
      <c r="AI563" s="3" t="s">
        <v>371</v>
      </c>
      <c r="AJ563" s="3" t="s">
        <v>182</v>
      </c>
      <c r="AK563" s="3" t="s">
        <v>393</v>
      </c>
      <c r="AL563" s="3" t="s">
        <v>244</v>
      </c>
      <c r="AM563" s="3" t="s">
        <v>247</v>
      </c>
      <c r="AN563" s="3" t="s">
        <v>244</v>
      </c>
      <c r="AO563" s="3" t="s">
        <v>181</v>
      </c>
      <c r="AP563" s="3" t="s">
        <v>244</v>
      </c>
      <c r="AQ563" s="3" t="s">
        <v>247</v>
      </c>
      <c r="AR563" s="3" t="s">
        <v>244</v>
      </c>
      <c r="AS563" s="3" t="s">
        <v>244</v>
      </c>
      <c r="AT563" s="3" t="s">
        <v>244</v>
      </c>
      <c r="AU563" s="3" t="s">
        <v>244</v>
      </c>
      <c r="AV563" s="3" t="s">
        <v>244</v>
      </c>
      <c r="AW563" s="3" t="s">
        <v>244</v>
      </c>
      <c r="AX563" s="3" t="s">
        <v>442</v>
      </c>
      <c r="AY563" s="3" t="s">
        <v>428</v>
      </c>
      <c r="AZ563" s="8" t="str">
        <f>HYPERLINK("http://libguides.worc.ac.uk/APCs","http://libguides.worc.ac.uk/APCs")</f>
        <v>http://libguides.worc.ac.uk/APCs</v>
      </c>
    </row>
    <row r="564" spans="1:52" ht="15.75" customHeight="1">
      <c r="A564" s="3">
        <v>700</v>
      </c>
      <c r="B564" s="5" t="str">
        <f t="shared" si="0"/>
        <v>http://roarmap.eprints.org/700/</v>
      </c>
      <c r="C564" s="3">
        <v>4</v>
      </c>
      <c r="D564" s="3" t="s">
        <v>98</v>
      </c>
      <c r="E564" s="3">
        <v>392</v>
      </c>
      <c r="F564" s="3" t="s">
        <v>2102</v>
      </c>
      <c r="G564" s="3">
        <v>42076.57371527778</v>
      </c>
      <c r="H564" s="3">
        <v>42076.57371527778</v>
      </c>
      <c r="I564" s="3">
        <v>42076.57371527778</v>
      </c>
      <c r="J564" s="3" t="s">
        <v>103</v>
      </c>
      <c r="K564" s="3" t="s">
        <v>105</v>
      </c>
      <c r="L564" s="3" t="s">
        <v>2103</v>
      </c>
      <c r="P564" s="3" t="s">
        <v>1903</v>
      </c>
      <c r="Q564" t="str">
        <f t="shared" si="36"/>
        <v>http://roarmap.eprints.org/view/country/826.html</v>
      </c>
      <c r="R564" s="3">
        <v>826</v>
      </c>
      <c r="S564" s="6" t="s">
        <v>349</v>
      </c>
      <c r="T564" s="9">
        <v>826</v>
      </c>
      <c r="U564" s="7" t="s">
        <v>123</v>
      </c>
      <c r="V564" s="6" t="s">
        <v>125</v>
      </c>
      <c r="W564" s="3" t="s">
        <v>158</v>
      </c>
      <c r="X564" s="3" t="s">
        <v>160</v>
      </c>
      <c r="Y564" s="3" t="s">
        <v>2103</v>
      </c>
      <c r="Z564" s="8" t="str">
        <f>HYPERLINK("http://www.york.ac.uk/","http://www.york.ac.uk/")</f>
        <v>http://www.york.ac.uk/</v>
      </c>
      <c r="AA564" s="8" t="str">
        <f>HYPERLINK("http://www.york.ac.uk/media/library/documents/information-for/researchers/oa/UoYPolicyOnPublicationOfResearch20140611-WithGuidance.pdf","http://www.york.ac.uk/media/library/documents/information-for/researchers/oa/UoYPolicyOnPublicationOfResearch20140611-WithGuidance.pdf")</f>
        <v>http://www.york.ac.uk/media/library/documents/information-for/researchers/oa/UoYPolicyOnPublicationOfResearch20140611-WithGuidance.pdf</v>
      </c>
      <c r="AB564" s="8" t="str">
        <f>HYPERLINK("http://eprints.whiterose.ac.uk/","http://eprints.whiterose.ac.uk/")</f>
        <v>http://eprints.whiterose.ac.uk/</v>
      </c>
      <c r="AC564" s="3">
        <v>41801</v>
      </c>
      <c r="AF564" s="3" t="s">
        <v>177</v>
      </c>
      <c r="AG564" s="3" t="s">
        <v>178</v>
      </c>
      <c r="AH564" s="3" t="s">
        <v>180</v>
      </c>
      <c r="AI564" s="3" t="s">
        <v>371</v>
      </c>
      <c r="AJ564" s="3" t="s">
        <v>182</v>
      </c>
      <c r="AK564" s="3" t="s">
        <v>393</v>
      </c>
      <c r="AL564" s="3" t="s">
        <v>189</v>
      </c>
      <c r="AM564" s="3" t="s">
        <v>178</v>
      </c>
      <c r="AN564" s="3" t="s">
        <v>189</v>
      </c>
      <c r="AO564" s="3" t="s">
        <v>181</v>
      </c>
      <c r="AP564" s="3" t="s">
        <v>244</v>
      </c>
      <c r="AQ564" s="3" t="s">
        <v>386</v>
      </c>
      <c r="AR564" s="3" t="s">
        <v>244</v>
      </c>
      <c r="AS564" s="3" t="s">
        <v>189</v>
      </c>
      <c r="AT564" s="3" t="s">
        <v>244</v>
      </c>
      <c r="AU564" s="3" t="s">
        <v>244</v>
      </c>
      <c r="AV564" s="3" t="s">
        <v>244</v>
      </c>
      <c r="AW564" s="3" t="s">
        <v>371</v>
      </c>
      <c r="AX564" s="3" t="s">
        <v>442</v>
      </c>
      <c r="AY564" s="3" t="s">
        <v>521</v>
      </c>
      <c r="AZ564" s="8" t="str">
        <f>HYPERLINK("http://www.york.ac.uk/library/info-for/researchers/open-access/york/","http://www.york.ac.uk/library/info-for/researchers/open-access/york/")</f>
        <v>http://www.york.ac.uk/library/info-for/researchers/open-access/york/</v>
      </c>
    </row>
    <row r="565" spans="1:52" ht="15.75" customHeight="1">
      <c r="A565" s="3">
        <v>681</v>
      </c>
      <c r="B565" s="5" t="str">
        <f t="shared" si="0"/>
        <v>http://roarmap.eprints.org/681/</v>
      </c>
      <c r="C565" s="3">
        <v>4</v>
      </c>
      <c r="D565" s="3" t="s">
        <v>98</v>
      </c>
      <c r="E565" s="3">
        <v>65</v>
      </c>
      <c r="F565" s="3" t="s">
        <v>2104</v>
      </c>
      <c r="G565" s="3">
        <v>42066.725694444445</v>
      </c>
      <c r="H565" s="3">
        <v>42066.725694444445</v>
      </c>
      <c r="I565" s="3">
        <v>42066.725694444445</v>
      </c>
      <c r="J565" s="3" t="s">
        <v>103</v>
      </c>
      <c r="K565" s="3" t="s">
        <v>105</v>
      </c>
      <c r="L565" s="3" t="s">
        <v>2105</v>
      </c>
      <c r="P565" s="3" t="s">
        <v>215</v>
      </c>
      <c r="Q565" t="str">
        <f t="shared" si="36"/>
        <v>http://roarmap.eprints.org/view/country/826.html</v>
      </c>
      <c r="R565" s="3">
        <v>826</v>
      </c>
      <c r="S565" s="6" t="s">
        <v>349</v>
      </c>
      <c r="T565" s="9">
        <v>826</v>
      </c>
      <c r="U565" s="7" t="s">
        <v>123</v>
      </c>
      <c r="V565" s="6" t="s">
        <v>125</v>
      </c>
      <c r="W565" s="3" t="s">
        <v>158</v>
      </c>
      <c r="X565" s="3" t="s">
        <v>160</v>
      </c>
      <c r="Y565" s="3" t="s">
        <v>2105</v>
      </c>
      <c r="Z565" s="8" t="str">
        <f>HYPERLINK("http://www.uhi.ac.uk/en","http://www.uhi.ac.uk/en")</f>
        <v>http://www.uhi.ac.uk/en</v>
      </c>
      <c r="AA565" s="8" t="str">
        <f>HYPERLINK("http://www.uhi.ac.uk/en/research-enterprise/resource/openaccesspolicy","http://www.uhi.ac.uk/en/research-enterprise/resource/openaccesspolicy")</f>
        <v>http://www.uhi.ac.uk/en/research-enterprise/resource/openaccesspolicy</v>
      </c>
      <c r="AB565" s="8" t="str">
        <f>HYPERLINK("http://pure.uhi.ac.uk/portal/en/","http://pure.uhi.ac.uk/portal/en/")</f>
        <v>http://pure.uhi.ac.uk/portal/en/</v>
      </c>
      <c r="AC565" s="3">
        <v>41804</v>
      </c>
      <c r="AF565" s="3" t="s">
        <v>478</v>
      </c>
      <c r="AG565" s="3" t="s">
        <v>333</v>
      </c>
      <c r="AH565" s="3" t="s">
        <v>180</v>
      </c>
      <c r="AI565" s="3" t="s">
        <v>244</v>
      </c>
      <c r="AJ565" s="3" t="s">
        <v>244</v>
      </c>
      <c r="AK565" s="3" t="s">
        <v>244</v>
      </c>
      <c r="AL565" s="3" t="s">
        <v>244</v>
      </c>
      <c r="AN565" s="3" t="s">
        <v>244</v>
      </c>
      <c r="AO565" s="3" t="s">
        <v>247</v>
      </c>
      <c r="AP565" s="3" t="s">
        <v>244</v>
      </c>
      <c r="AQ565" s="3" t="s">
        <v>247</v>
      </c>
      <c r="AR565" s="3" t="s">
        <v>244</v>
      </c>
      <c r="AS565" s="3" t="s">
        <v>244</v>
      </c>
      <c r="AT565" s="3" t="s">
        <v>244</v>
      </c>
      <c r="AU565" s="3" t="s">
        <v>244</v>
      </c>
      <c r="AV565" s="3" t="s">
        <v>244</v>
      </c>
      <c r="AW565" s="3" t="s">
        <v>244</v>
      </c>
      <c r="AX565" s="3" t="s">
        <v>442</v>
      </c>
      <c r="AY565" s="3" t="s">
        <v>428</v>
      </c>
    </row>
    <row r="566" spans="1:52" ht="15.75" customHeight="1">
      <c r="A566" s="3">
        <v>698</v>
      </c>
      <c r="B566" s="5" t="str">
        <f t="shared" si="0"/>
        <v>http://roarmap.eprints.org/698/</v>
      </c>
      <c r="C566" s="3">
        <v>4</v>
      </c>
      <c r="D566" s="3" t="s">
        <v>98</v>
      </c>
      <c r="E566" s="3">
        <v>392</v>
      </c>
      <c r="F566" s="3" t="s">
        <v>2106</v>
      </c>
      <c r="G566" s="3">
        <v>42076.57340277778</v>
      </c>
      <c r="H566" s="3">
        <v>42076.57340277778</v>
      </c>
      <c r="I566" s="3">
        <v>42076.57340277778</v>
      </c>
      <c r="J566" s="3" t="s">
        <v>103</v>
      </c>
      <c r="K566" s="3" t="s">
        <v>105</v>
      </c>
      <c r="L566" s="3" t="s">
        <v>2107</v>
      </c>
      <c r="P566" s="3" t="s">
        <v>1903</v>
      </c>
      <c r="Q566" t="str">
        <f t="shared" si="36"/>
        <v>http://roarmap.eprints.org/view/country/826.html</v>
      </c>
      <c r="R566" s="3">
        <v>826</v>
      </c>
      <c r="S566" s="6" t="s">
        <v>349</v>
      </c>
      <c r="T566" s="9">
        <v>826</v>
      </c>
      <c r="U566" s="7" t="s">
        <v>123</v>
      </c>
      <c r="V566" s="6" t="s">
        <v>125</v>
      </c>
      <c r="W566" s="3" t="s">
        <v>158</v>
      </c>
      <c r="X566" s="3" t="s">
        <v>160</v>
      </c>
      <c r="Y566" s="3" t="s">
        <v>2107</v>
      </c>
      <c r="Z566" s="8" t="str">
        <f>HYPERLINK("http://www.uwe.ac.uk/","http://www.uwe.ac.uk/")</f>
        <v>http://www.uwe.ac.uk/</v>
      </c>
      <c r="AA566" s="8" t="str">
        <f>HYPERLINK("http://www1.uwe.ac.uk/library/usingthelibrary/researchers/openaccessandapcs.aspx","http://www1.uwe.ac.uk/library/usingthelibrary/researchers/openaccessandapcs.aspx")</f>
        <v>http://www1.uwe.ac.uk/library/usingthelibrary/researchers/openaccessandapcs.aspx</v>
      </c>
      <c r="AB566" s="8" t="str">
        <f>HYPERLINK("http://eprints.uwe.ac.uk/","http://eprints.uwe.ac.uk/")</f>
        <v>http://eprints.uwe.ac.uk/</v>
      </c>
      <c r="AF566" s="3" t="s">
        <v>177</v>
      </c>
      <c r="AG566" s="3" t="s">
        <v>333</v>
      </c>
      <c r="AH566" s="3" t="s">
        <v>180</v>
      </c>
      <c r="AI566" s="3" t="s">
        <v>371</v>
      </c>
      <c r="AJ566" s="3" t="s">
        <v>182</v>
      </c>
      <c r="AK566" s="3" t="s">
        <v>393</v>
      </c>
      <c r="AL566" s="3" t="s">
        <v>244</v>
      </c>
      <c r="AM566" s="3" t="s">
        <v>479</v>
      </c>
      <c r="AN566" s="3" t="s">
        <v>244</v>
      </c>
      <c r="AO566" s="3" t="s">
        <v>181</v>
      </c>
      <c r="AP566" s="3" t="s">
        <v>244</v>
      </c>
      <c r="AQ566" s="3" t="s">
        <v>247</v>
      </c>
      <c r="AR566" s="3" t="s">
        <v>244</v>
      </c>
      <c r="AS566" s="3" t="s">
        <v>244</v>
      </c>
      <c r="AT566" s="3" t="s">
        <v>244</v>
      </c>
      <c r="AU566" s="3" t="s">
        <v>244</v>
      </c>
      <c r="AV566" s="3" t="s">
        <v>244</v>
      </c>
      <c r="AW566" s="3" t="s">
        <v>244</v>
      </c>
      <c r="AX566" s="3" t="s">
        <v>442</v>
      </c>
      <c r="AY566" s="3" t="s">
        <v>521</v>
      </c>
      <c r="AZ566" s="8" t="str">
        <f>HYPERLINK("http://www1.uwe.ac.uk/library/usingthelibrary/researchers/openaccessandapcs.aspx","http://www1.uwe.ac.uk/library/usingthelibrary/researchers/openaccessandapcs.aspx")</f>
        <v>http://www1.uwe.ac.uk/library/usingthelibrary/researchers/openaccessandapcs.aspx</v>
      </c>
    </row>
    <row r="567" spans="1:52" ht="15.75" customHeight="1">
      <c r="A567" s="3">
        <v>637</v>
      </c>
      <c r="B567" s="5" t="str">
        <f t="shared" si="0"/>
        <v>http://roarmap.eprints.org/637/</v>
      </c>
      <c r="C567" s="3">
        <v>4</v>
      </c>
      <c r="D567" s="3" t="s">
        <v>98</v>
      </c>
      <c r="E567" s="3">
        <v>1</v>
      </c>
      <c r="F567" s="3" t="s">
        <v>2108</v>
      </c>
      <c r="G567" s="3">
        <v>41988.924270833333</v>
      </c>
      <c r="H567" s="3">
        <v>42066.921388888892</v>
      </c>
      <c r="I567" s="3">
        <v>41988.924270833333</v>
      </c>
      <c r="J567" s="3" t="s">
        <v>103</v>
      </c>
      <c r="K567" s="3" t="s">
        <v>105</v>
      </c>
      <c r="L567" s="3" t="s">
        <v>2109</v>
      </c>
      <c r="N567" s="3" t="s">
        <v>2110</v>
      </c>
      <c r="P567" s="3" t="s">
        <v>215</v>
      </c>
      <c r="Q567" t="str">
        <f t="shared" si="36"/>
        <v>http://roarmap.eprints.org/view/country/826.html</v>
      </c>
      <c r="R567" s="3">
        <v>826</v>
      </c>
      <c r="S567" s="6" t="s">
        <v>349</v>
      </c>
      <c r="T567" s="9">
        <v>826</v>
      </c>
      <c r="U567" s="7" t="s">
        <v>123</v>
      </c>
      <c r="V567" s="6" t="s">
        <v>125</v>
      </c>
      <c r="W567" s="3" t="s">
        <v>158</v>
      </c>
      <c r="X567" s="3" t="s">
        <v>376</v>
      </c>
      <c r="Y567" s="3" t="s">
        <v>2109</v>
      </c>
      <c r="Z567" s="8" t="str">
        <f>HYPERLINK("http://www.wellcome.ac.uk/index.htm","http://www.wellcome.ac.uk/index.htm")</f>
        <v>http://www.wellcome.ac.uk/index.htm</v>
      </c>
      <c r="AA567" s="8" t="str">
        <f>HYPERLINK("http://www.wellcome.ac.uk/About-us/Policy/Policy-and-position-statements/WTD002766.htm","http://www.wellcome.ac.uk/About-us/Policy/Policy-and-position-statements/WTD002766.htm")</f>
        <v>http://www.wellcome.ac.uk/About-us/Policy/Policy-and-position-statements/WTD002766.htm</v>
      </c>
      <c r="AB567" s="3" t="s">
        <v>2111</v>
      </c>
      <c r="AE567" s="3">
        <v>41088</v>
      </c>
      <c r="AF567" s="3" t="s">
        <v>244</v>
      </c>
      <c r="AG567" s="3" t="s">
        <v>178</v>
      </c>
      <c r="AH567" s="3" t="s">
        <v>463</v>
      </c>
      <c r="AI567" s="3" t="s">
        <v>371</v>
      </c>
      <c r="AJ567" s="3" t="s">
        <v>182</v>
      </c>
      <c r="AK567" s="3" t="s">
        <v>244</v>
      </c>
      <c r="AL567" s="3" t="s">
        <v>244</v>
      </c>
      <c r="AM567" s="3" t="s">
        <v>178</v>
      </c>
      <c r="AN567" s="3" t="s">
        <v>244</v>
      </c>
      <c r="AO567" s="3" t="s">
        <v>371</v>
      </c>
      <c r="AP567" s="3" t="s">
        <v>244</v>
      </c>
      <c r="AQ567" s="3" t="s">
        <v>386</v>
      </c>
      <c r="AR567" s="3" t="s">
        <v>288</v>
      </c>
      <c r="AS567" s="3" t="s">
        <v>288</v>
      </c>
      <c r="AT567" s="3" t="s">
        <v>379</v>
      </c>
      <c r="AU567" s="3" t="s">
        <v>379</v>
      </c>
      <c r="AV567" s="3" t="s">
        <v>244</v>
      </c>
      <c r="AW567" s="3" t="s">
        <v>371</v>
      </c>
      <c r="AX567" s="3" t="s">
        <v>341</v>
      </c>
      <c r="AY567" s="3" t="s">
        <v>521</v>
      </c>
    </row>
    <row r="568" spans="1:52" ht="15.75" customHeight="1">
      <c r="A568" s="3">
        <v>701</v>
      </c>
      <c r="B568" s="5" t="str">
        <f t="shared" si="0"/>
        <v>http://roarmap.eprints.org/701/</v>
      </c>
      <c r="C568" s="3">
        <v>4</v>
      </c>
      <c r="D568" s="3" t="s">
        <v>98</v>
      </c>
      <c r="E568" s="3">
        <v>392</v>
      </c>
      <c r="F568" s="3" t="s">
        <v>2112</v>
      </c>
      <c r="G568" s="3">
        <v>42076.573854166665</v>
      </c>
      <c r="H568" s="3">
        <v>42076.573854166665</v>
      </c>
      <c r="I568" s="3">
        <v>42076.573854166665</v>
      </c>
      <c r="J568" s="3" t="s">
        <v>103</v>
      </c>
      <c r="K568" s="3" t="s">
        <v>105</v>
      </c>
      <c r="L568" s="3" t="s">
        <v>2113</v>
      </c>
      <c r="P568" s="3" t="s">
        <v>1903</v>
      </c>
      <c r="Q568" t="str">
        <f t="shared" si="36"/>
        <v>http://roarmap.eprints.org/view/country/826.html</v>
      </c>
      <c r="R568" s="3">
        <v>826</v>
      </c>
      <c r="S568" s="6" t="s">
        <v>349</v>
      </c>
      <c r="T568" s="9">
        <v>826</v>
      </c>
      <c r="U568" s="7" t="s">
        <v>123</v>
      </c>
      <c r="V568" s="6" t="s">
        <v>125</v>
      </c>
      <c r="W568" s="3" t="s">
        <v>158</v>
      </c>
      <c r="X568" s="3" t="s">
        <v>160</v>
      </c>
      <c r="Y568" s="3" t="s">
        <v>2113</v>
      </c>
      <c r="Z568" s="8" t="str">
        <f>HYPERLINK("http://www.yorksj.ac.uk/","http://www.yorksj.ac.uk/")</f>
        <v>http://www.yorksj.ac.uk/</v>
      </c>
      <c r="AA568" s="8" t="str">
        <f>HYPERLINK("http://www.yorksj.ac.uk/information-learning-services/information-learning-services/services-for-you/staff/institutional-repository/open-access-policy.aspx","http://www.yorksj.ac.uk/information-learning-services/information-learning-services/services-for-you/staff/institutional-repository/open-access-policy.aspx")</f>
        <v>http://www.yorksj.ac.uk/information-learning-services/information-learning-services/services-for-you/staff/institutional-repository/open-access-policy.aspx</v>
      </c>
      <c r="AB568" s="8" t="str">
        <f>HYPERLINK("http://www.yorksj.ac.uk/information-learning-services/information-learning-services/services-for-you/staff/institutional-repository.aspx","http://www.yorksj.ac.uk/information-learning-services/information-learning-services/services-for-you/staff/institutional-repository.aspx")</f>
        <v>http://www.yorksj.ac.uk/information-learning-services/information-learning-services/services-for-you/staff/institutional-repository.aspx</v>
      </c>
      <c r="AD568" s="3">
        <v>42005</v>
      </c>
      <c r="AF568" s="3" t="s">
        <v>177</v>
      </c>
      <c r="AG568" s="3" t="s">
        <v>178</v>
      </c>
      <c r="AH568" s="3" t="s">
        <v>180</v>
      </c>
      <c r="AI568" s="3" t="s">
        <v>371</v>
      </c>
      <c r="AJ568" s="3" t="s">
        <v>182</v>
      </c>
      <c r="AK568" s="3" t="s">
        <v>393</v>
      </c>
      <c r="AL568" s="3" t="s">
        <v>244</v>
      </c>
      <c r="AM568" s="3" t="s">
        <v>178</v>
      </c>
      <c r="AN568" s="3" t="s">
        <v>244</v>
      </c>
      <c r="AO568" s="3" t="s">
        <v>181</v>
      </c>
      <c r="AP568" s="3" t="s">
        <v>244</v>
      </c>
      <c r="AQ568" s="3" t="s">
        <v>247</v>
      </c>
      <c r="AR568" s="3" t="s">
        <v>244</v>
      </c>
      <c r="AS568" s="3" t="s">
        <v>244</v>
      </c>
      <c r="AT568" s="3" t="s">
        <v>244</v>
      </c>
      <c r="AU568" s="3" t="s">
        <v>244</v>
      </c>
      <c r="AV568" s="3" t="s">
        <v>244</v>
      </c>
      <c r="AW568" s="3" t="s">
        <v>520</v>
      </c>
      <c r="AX568" s="3" t="s">
        <v>442</v>
      </c>
      <c r="AY568" s="3" t="s">
        <v>428</v>
      </c>
      <c r="AZ568" s="8" t="str">
        <f>HYPERLINK("http://www.yorksj.ac.uk/information-learning-services/information-learning-services/services-for-you/staff/institutional-repository/open-access-policy.aspx","http://www.yorksj.ac.uk/information-learning-services/information-learning-services/services-for-you/staff/institutional-repository/open-access-policy.aspx")</f>
        <v>http://www.yorksj.ac.uk/information-learning-services/information-learning-services/services-for-you/staff/institutional-repository/open-access-policy.aspx</v>
      </c>
    </row>
    <row r="569" spans="1:52" ht="15.75" customHeight="1">
      <c r="A569" s="3">
        <v>444</v>
      </c>
      <c r="B569" s="5" t="str">
        <f t="shared" si="0"/>
        <v>http://roarmap.eprints.org/444/</v>
      </c>
      <c r="C569" s="3">
        <v>3</v>
      </c>
      <c r="D569" s="3" t="s">
        <v>98</v>
      </c>
      <c r="E569" s="3">
        <v>1</v>
      </c>
      <c r="F569" s="3" t="s">
        <v>2114</v>
      </c>
      <c r="G569" s="3">
        <v>41988.92396990741</v>
      </c>
      <c r="H569" s="3">
        <v>41988.92396990741</v>
      </c>
      <c r="I569" s="3">
        <v>41988.92396990741</v>
      </c>
      <c r="J569" s="3" t="s">
        <v>103</v>
      </c>
      <c r="K569" s="3" t="s">
        <v>105</v>
      </c>
      <c r="L569" s="3" t="s">
        <v>2115</v>
      </c>
      <c r="M569" s="3" t="s">
        <v>374</v>
      </c>
      <c r="N569" s="3" t="s">
        <v>2116</v>
      </c>
      <c r="P569" s="3" t="s">
        <v>215</v>
      </c>
      <c r="Q569" t="str">
        <f t="shared" si="36"/>
        <v>http://roarmap.eprints.org/view/country/840.html</v>
      </c>
      <c r="R569" s="3">
        <v>840</v>
      </c>
      <c r="S569" s="6" t="s">
        <v>359</v>
      </c>
      <c r="T569" s="9">
        <v>840</v>
      </c>
      <c r="U569" s="7" t="s">
        <v>2518</v>
      </c>
      <c r="V569" s="6" t="s">
        <v>66</v>
      </c>
      <c r="W569" s="3" t="s">
        <v>158</v>
      </c>
      <c r="X569" s="3" t="s">
        <v>160</v>
      </c>
      <c r="Y569" s="3" t="s">
        <v>2115</v>
      </c>
      <c r="Z569" s="8" t="str">
        <f>HYPERLINK("http://allegheny.edu/","http://allegheny.edu/")</f>
        <v>http://allegheny.edu/</v>
      </c>
      <c r="AA569" s="8" t="str">
        <f>HYPERLINK("http://sites.allegheny.edu/scholarlycommunication/acoapolicy/","http://sites.allegheny.edu/scholarlycommunication/acoapolicy/")</f>
        <v>http://sites.allegheny.edu/scholarlycommunication/acoapolicy/</v>
      </c>
      <c r="AB569" s="8" t="str">
        <f>HYPERLINK("https://dspace.allegheny.edu/","https://dspace.allegheny.edu/")</f>
        <v>https://dspace.allegheny.edu/</v>
      </c>
      <c r="AC569" s="3">
        <v>41323</v>
      </c>
      <c r="AD569" s="3">
        <v>41395</v>
      </c>
      <c r="AF569" s="3" t="s">
        <v>177</v>
      </c>
      <c r="AG569" s="3" t="s">
        <v>178</v>
      </c>
      <c r="AH569" s="3" t="s">
        <v>180</v>
      </c>
      <c r="AI569" s="3" t="s">
        <v>392</v>
      </c>
      <c r="AJ569" s="3" t="s">
        <v>182</v>
      </c>
      <c r="AK569" s="3" t="s">
        <v>393</v>
      </c>
      <c r="AL569" s="3" t="s">
        <v>185</v>
      </c>
      <c r="AM569" s="3" t="s">
        <v>178</v>
      </c>
      <c r="AN569" s="3" t="s">
        <v>189</v>
      </c>
      <c r="AO569" s="3" t="s">
        <v>181</v>
      </c>
      <c r="AP569" s="3" t="s">
        <v>185</v>
      </c>
      <c r="AQ569" s="3" t="s">
        <v>648</v>
      </c>
      <c r="AR569" s="3" t="s">
        <v>189</v>
      </c>
      <c r="AS569" s="3" t="s">
        <v>189</v>
      </c>
      <c r="AT569" s="3" t="s">
        <v>379</v>
      </c>
      <c r="AU569" s="3" t="s">
        <v>395</v>
      </c>
      <c r="AV569" s="3" t="s">
        <v>288</v>
      </c>
      <c r="AW569" s="3" t="s">
        <v>339</v>
      </c>
      <c r="AX569" s="3" t="s">
        <v>442</v>
      </c>
      <c r="AY569" s="3" t="s">
        <v>428</v>
      </c>
    </row>
    <row r="570" spans="1:52" ht="15.75" customHeight="1">
      <c r="A570" s="3">
        <v>445</v>
      </c>
      <c r="B570" s="5" t="str">
        <f t="shared" si="0"/>
        <v>http://roarmap.eprints.org/445/</v>
      </c>
      <c r="C570" s="3">
        <v>3</v>
      </c>
      <c r="D570" s="3" t="s">
        <v>98</v>
      </c>
      <c r="E570" s="3">
        <v>1</v>
      </c>
      <c r="F570" s="3" t="s">
        <v>2117</v>
      </c>
      <c r="G570" s="3">
        <v>41988.92396990741</v>
      </c>
      <c r="H570" s="3">
        <v>41988.92396990741</v>
      </c>
      <c r="I570" s="3">
        <v>41988.92396990741</v>
      </c>
      <c r="J570" s="3" t="s">
        <v>103</v>
      </c>
      <c r="K570" s="3" t="s">
        <v>105</v>
      </c>
      <c r="L570" s="3" t="s">
        <v>2118</v>
      </c>
      <c r="M570" s="3" t="s">
        <v>374</v>
      </c>
      <c r="N570" s="3" t="s">
        <v>2119</v>
      </c>
      <c r="O570" s="3" t="s">
        <v>2120</v>
      </c>
      <c r="P570" s="3" t="s">
        <v>215</v>
      </c>
      <c r="Q570" t="str">
        <f t="shared" si="36"/>
        <v>http://roarmap.eprints.org/view/country/840.html</v>
      </c>
      <c r="R570" s="3">
        <v>840</v>
      </c>
      <c r="S570" s="6" t="s">
        <v>359</v>
      </c>
      <c r="T570" s="9">
        <v>840</v>
      </c>
      <c r="U570" s="7" t="s">
        <v>2518</v>
      </c>
      <c r="V570" s="6" t="s">
        <v>66</v>
      </c>
      <c r="W570" s="3" t="s">
        <v>158</v>
      </c>
      <c r="X570" s="3" t="s">
        <v>160</v>
      </c>
      <c r="Y570" s="3" t="s">
        <v>2118</v>
      </c>
      <c r="Z570" s="8" t="str">
        <f>HYPERLINK("https://www.amherst.edu/","https://www.amherst.edu/")</f>
        <v>https://www.amherst.edu/</v>
      </c>
      <c r="AA570" s="8" t="str">
        <f>HYPERLINK("https://www.amherst.edu/library/services/facstaff/openaccessresolution","https://www.amherst.edu/library/services/facstaff/openaccessresolution")</f>
        <v>https://www.amherst.edu/library/services/facstaff/openaccessresolution</v>
      </c>
      <c r="AC570" s="3">
        <v>41338</v>
      </c>
      <c r="AF570" s="3" t="s">
        <v>244</v>
      </c>
      <c r="AG570" s="3" t="s">
        <v>178</v>
      </c>
      <c r="AH570" s="3" t="s">
        <v>180</v>
      </c>
      <c r="AI570" s="3" t="s">
        <v>392</v>
      </c>
      <c r="AJ570" s="3" t="s">
        <v>182</v>
      </c>
      <c r="AK570" s="3" t="s">
        <v>393</v>
      </c>
      <c r="AL570" s="3" t="s">
        <v>189</v>
      </c>
      <c r="AM570" s="3" t="s">
        <v>178</v>
      </c>
      <c r="AN570" s="3" t="s">
        <v>189</v>
      </c>
      <c r="AO570" s="3" t="s">
        <v>247</v>
      </c>
      <c r="AP570" s="3" t="s">
        <v>244</v>
      </c>
      <c r="AQ570" s="3" t="s">
        <v>648</v>
      </c>
      <c r="AR570" s="3" t="s">
        <v>189</v>
      </c>
      <c r="AS570" s="3" t="s">
        <v>189</v>
      </c>
      <c r="AT570" s="3" t="s">
        <v>244</v>
      </c>
      <c r="AU570" s="3" t="s">
        <v>244</v>
      </c>
      <c r="AV570" s="3" t="s">
        <v>288</v>
      </c>
      <c r="AW570" s="3" t="s">
        <v>339</v>
      </c>
      <c r="AX570" s="3" t="s">
        <v>341</v>
      </c>
      <c r="AY570" s="3" t="s">
        <v>428</v>
      </c>
      <c r="AZ570" s="8" t="str">
        <f>HYPERLINK("https://www.amherst.edu/media/view/20316/original/authorcharges.pdf","https://www.amherst.edu/media/view/20316/original/authorcharges.pdf")</f>
        <v>https://www.amherst.edu/media/view/20316/original/authorcharges.pdf</v>
      </c>
    </row>
    <row r="571" spans="1:52" ht="15.75" customHeight="1">
      <c r="A571" s="3">
        <v>446</v>
      </c>
      <c r="B571" s="5" t="str">
        <f t="shared" si="0"/>
        <v>http://roarmap.eprints.org/446/</v>
      </c>
      <c r="C571" s="3">
        <v>3</v>
      </c>
      <c r="D571" s="3" t="s">
        <v>98</v>
      </c>
      <c r="E571" s="3">
        <v>1</v>
      </c>
      <c r="F571" s="3" t="s">
        <v>2121</v>
      </c>
      <c r="G571" s="3">
        <v>41988.92396990741</v>
      </c>
      <c r="H571" s="3">
        <v>41988.92396990741</v>
      </c>
      <c r="I571" s="3">
        <v>41988.92396990741</v>
      </c>
      <c r="J571" s="3" t="s">
        <v>103</v>
      </c>
      <c r="K571" s="3" t="s">
        <v>105</v>
      </c>
      <c r="L571" s="3" t="s">
        <v>2122</v>
      </c>
      <c r="M571" s="3" t="s">
        <v>352</v>
      </c>
      <c r="N571" s="3" t="s">
        <v>2123</v>
      </c>
      <c r="P571" s="3" t="s">
        <v>215</v>
      </c>
      <c r="Q571" t="str">
        <f t="shared" si="36"/>
        <v>http://roarmap.eprints.org/view/country/840.html</v>
      </c>
      <c r="R571" s="3">
        <v>840</v>
      </c>
      <c r="S571" s="6" t="s">
        <v>359</v>
      </c>
      <c r="T571" s="9">
        <v>840</v>
      </c>
      <c r="U571" s="7" t="s">
        <v>2518</v>
      </c>
      <c r="V571" s="6" t="s">
        <v>66</v>
      </c>
      <c r="W571" s="3" t="s">
        <v>158</v>
      </c>
      <c r="X571" s="3" t="s">
        <v>384</v>
      </c>
      <c r="Y571" s="3" t="s">
        <v>2122</v>
      </c>
      <c r="Z571" s="8" t="str">
        <f>HYPERLINK("https://lib.asu.edu/","https://lib.asu.edu/")</f>
        <v>https://lib.asu.edu/</v>
      </c>
      <c r="AA571" s="8" t="str">
        <f>HYPERLINK("https://lib.asu.edu/librarychannel/2010/10/21/oaweek_commitment/","https://lib.asu.edu/librarychannel/2010/10/21/oaweek_commitment/")</f>
        <v>https://lib.asu.edu/librarychannel/2010/10/21/oaweek_commitment/</v>
      </c>
      <c r="AB571" s="8" t="str">
        <f>HYPERLINK("http://repository.asu.edu/","http://repository.asu.edu/")</f>
        <v>http://repository.asu.edu/</v>
      </c>
      <c r="AC571" s="3">
        <v>40471</v>
      </c>
      <c r="AF571" s="3" t="s">
        <v>478</v>
      </c>
      <c r="AG571" s="3" t="s">
        <v>333</v>
      </c>
      <c r="AH571" s="3" t="s">
        <v>180</v>
      </c>
      <c r="AI571" s="3" t="s">
        <v>181</v>
      </c>
      <c r="AJ571" s="3" t="s">
        <v>371</v>
      </c>
      <c r="AK571" s="3" t="s">
        <v>393</v>
      </c>
      <c r="AL571" s="3" t="s">
        <v>288</v>
      </c>
      <c r="AM571" s="3" t="s">
        <v>479</v>
      </c>
      <c r="AN571" s="3" t="s">
        <v>244</v>
      </c>
      <c r="AO571" s="3" t="s">
        <v>181</v>
      </c>
      <c r="AP571" s="3" t="s">
        <v>244</v>
      </c>
      <c r="AQ571" s="3" t="s">
        <v>394</v>
      </c>
      <c r="AR571" s="3" t="s">
        <v>288</v>
      </c>
      <c r="AS571" s="3" t="s">
        <v>288</v>
      </c>
      <c r="AT571" s="3" t="s">
        <v>244</v>
      </c>
      <c r="AU571" s="3" t="s">
        <v>244</v>
      </c>
      <c r="AV571" s="3" t="s">
        <v>288</v>
      </c>
      <c r="AW571" s="3" t="s">
        <v>908</v>
      </c>
      <c r="AX571" s="3" t="s">
        <v>442</v>
      </c>
      <c r="AY571" s="3" t="s">
        <v>428</v>
      </c>
      <c r="AZ571" s="8" t="str">
        <f>HYPERLINK("http://libguides.asu.edu/OAMemberships","http://libguides.asu.edu/OAMemberships")</f>
        <v>http://libguides.asu.edu/OAMemberships</v>
      </c>
    </row>
    <row r="572" spans="1:52" ht="15.75" customHeight="1">
      <c r="A572" s="3">
        <v>447</v>
      </c>
      <c r="B572" s="5" t="str">
        <f t="shared" si="0"/>
        <v>http://roarmap.eprints.org/447/</v>
      </c>
      <c r="C572" s="3">
        <v>3</v>
      </c>
      <c r="D572" s="3" t="s">
        <v>98</v>
      </c>
      <c r="E572" s="3">
        <v>1</v>
      </c>
      <c r="F572" s="3" t="s">
        <v>2124</v>
      </c>
      <c r="G572" s="3">
        <v>41988.923981481479</v>
      </c>
      <c r="H572" s="3">
        <v>41988.923981481479</v>
      </c>
      <c r="I572" s="3">
        <v>41988.923981481479</v>
      </c>
      <c r="J572" s="3" t="s">
        <v>103</v>
      </c>
      <c r="K572" s="3" t="s">
        <v>105</v>
      </c>
      <c r="L572" s="3" t="s">
        <v>2125</v>
      </c>
      <c r="M572" s="3" t="s">
        <v>374</v>
      </c>
      <c r="O572" s="3" t="s">
        <v>2126</v>
      </c>
      <c r="P572" s="3" t="s">
        <v>215</v>
      </c>
      <c r="Q572" t="str">
        <f t="shared" si="36"/>
        <v>http://roarmap.eprints.org/view/country/840.html</v>
      </c>
      <c r="R572" s="3">
        <v>840</v>
      </c>
      <c r="S572" s="6" t="s">
        <v>359</v>
      </c>
      <c r="T572" s="9">
        <v>840</v>
      </c>
      <c r="U572" s="7" t="s">
        <v>2518</v>
      </c>
      <c r="V572" s="6" t="s">
        <v>66</v>
      </c>
      <c r="W572" s="3" t="s">
        <v>158</v>
      </c>
      <c r="X572" s="3" t="s">
        <v>376</v>
      </c>
      <c r="Y572" s="3" t="s">
        <v>2125</v>
      </c>
      <c r="Z572" s="8" t="str">
        <f>HYPERLINK("http://www.autismspeaks.org/","http://www.autismspeaks.org/")</f>
        <v>http://www.autismspeaks.org/</v>
      </c>
      <c r="AA572" s="8" t="str">
        <f>HYPERLINK("http://www.autismspeaks.org/science/policy-statements/policy-public-access-research-we-fund","http://www.autismspeaks.org/science/policy-statements/policy-public-access-research-we-fund")</f>
        <v>http://www.autismspeaks.org/science/policy-statements/policy-public-access-research-we-fund</v>
      </c>
      <c r="AB572" s="8" t="str">
        <f>HYPERLINK("http://www.pubmedcentral.gov/","http://www.pubmedcentral.gov/")</f>
        <v>http://www.pubmedcentral.gov/</v>
      </c>
      <c r="AD572" s="3">
        <v>39785</v>
      </c>
      <c r="AF572" s="3" t="s">
        <v>244</v>
      </c>
      <c r="AG572" s="3" t="s">
        <v>178</v>
      </c>
      <c r="AH572" s="3" t="s">
        <v>463</v>
      </c>
      <c r="AI572" s="3" t="s">
        <v>187</v>
      </c>
      <c r="AJ572" s="3" t="s">
        <v>182</v>
      </c>
      <c r="AK572" s="3" t="s">
        <v>393</v>
      </c>
      <c r="AL572" s="3" t="s">
        <v>244</v>
      </c>
      <c r="AM572" s="3" t="s">
        <v>178</v>
      </c>
      <c r="AN572" s="3" t="s">
        <v>244</v>
      </c>
      <c r="AO572" s="3" t="s">
        <v>378</v>
      </c>
      <c r="AP572" s="3" t="s">
        <v>244</v>
      </c>
      <c r="AQ572" s="3" t="s">
        <v>247</v>
      </c>
      <c r="AR572" s="3" t="s">
        <v>288</v>
      </c>
      <c r="AS572" s="3" t="s">
        <v>288</v>
      </c>
      <c r="AT572" s="3" t="s">
        <v>395</v>
      </c>
      <c r="AU572" s="3" t="s">
        <v>244</v>
      </c>
      <c r="AV572" s="3" t="s">
        <v>244</v>
      </c>
      <c r="AW572" s="3" t="s">
        <v>339</v>
      </c>
      <c r="AX572" s="3" t="s">
        <v>244</v>
      </c>
      <c r="AY572" s="3" t="s">
        <v>198</v>
      </c>
    </row>
    <row r="573" spans="1:52" ht="15.75" customHeight="1">
      <c r="A573" s="3">
        <v>726</v>
      </c>
      <c r="B573" s="5" t="str">
        <f t="shared" si="0"/>
        <v>http://roarmap.eprints.org/726/</v>
      </c>
      <c r="C573" s="3">
        <v>5</v>
      </c>
      <c r="D573" s="3" t="s">
        <v>98</v>
      </c>
      <c r="E573" s="3">
        <v>65</v>
      </c>
      <c r="F573" s="3" t="s">
        <v>2127</v>
      </c>
      <c r="G573" s="3">
        <v>42103.593634259261</v>
      </c>
      <c r="H573" s="3">
        <v>42121.434016203704</v>
      </c>
      <c r="I573" s="3">
        <v>42103.593634259261</v>
      </c>
      <c r="J573" s="3" t="s">
        <v>103</v>
      </c>
      <c r="K573" s="3" t="s">
        <v>105</v>
      </c>
      <c r="L573" s="3" t="s">
        <v>2128</v>
      </c>
      <c r="N573" s="3" t="s">
        <v>2129</v>
      </c>
      <c r="P573" s="3" t="s">
        <v>215</v>
      </c>
      <c r="Q573" t="str">
        <f t="shared" si="36"/>
        <v>http://roarmap.eprints.org/view/country/840.html</v>
      </c>
      <c r="R573" s="3">
        <v>840</v>
      </c>
      <c r="S573" s="6" t="s">
        <v>359</v>
      </c>
      <c r="T573" s="9">
        <v>840</v>
      </c>
      <c r="U573" s="7" t="s">
        <v>2518</v>
      </c>
      <c r="V573" s="6" t="s">
        <v>66</v>
      </c>
      <c r="W573" s="3" t="s">
        <v>158</v>
      </c>
      <c r="X573" s="3" t="s">
        <v>376</v>
      </c>
      <c r="Y573" s="3" t="s">
        <v>2128</v>
      </c>
      <c r="Z573" s="8" t="str">
        <f>HYPERLINK("http://www.gatesfoundation.org/","http://www.gatesfoundation.org/")</f>
        <v>http://www.gatesfoundation.org/</v>
      </c>
      <c r="AA573" s="8" t="str">
        <f>HYPERLINK("http://www.gatesfoundation.org/How-We-Work/General-Information/Open-Access-Policy","http://www.gatesfoundation.org/How-We-Work/General-Information/Open-Access-Policy")</f>
        <v>http://www.gatesfoundation.org/How-We-Work/General-Information/Open-Access-Policy</v>
      </c>
      <c r="AC573" s="3">
        <v>42005</v>
      </c>
      <c r="AF573" s="3" t="s">
        <v>177</v>
      </c>
      <c r="AG573" s="3" t="s">
        <v>178</v>
      </c>
      <c r="AH573" s="3" t="s">
        <v>370</v>
      </c>
      <c r="AI573" s="3" t="s">
        <v>392</v>
      </c>
      <c r="AJ573" s="3" t="s">
        <v>182</v>
      </c>
      <c r="AK573" s="3" t="s">
        <v>183</v>
      </c>
      <c r="AL573" s="3" t="s">
        <v>185</v>
      </c>
      <c r="AM573" s="3" t="s">
        <v>178</v>
      </c>
      <c r="AN573" s="3" t="s">
        <v>185</v>
      </c>
      <c r="AO573" s="3" t="s">
        <v>392</v>
      </c>
      <c r="AP573" s="3" t="s">
        <v>244</v>
      </c>
      <c r="AQ573" s="3" t="s">
        <v>247</v>
      </c>
      <c r="AR573" s="3" t="s">
        <v>244</v>
      </c>
      <c r="AS573" s="3" t="s">
        <v>185</v>
      </c>
      <c r="AT573" s="3" t="s">
        <v>785</v>
      </c>
      <c r="AU573" s="3" t="s">
        <v>785</v>
      </c>
      <c r="AV573" s="3" t="s">
        <v>185</v>
      </c>
      <c r="AW573" s="3" t="s">
        <v>520</v>
      </c>
      <c r="AX573" s="3" t="s">
        <v>341</v>
      </c>
      <c r="AY573" s="3" t="s">
        <v>521</v>
      </c>
    </row>
    <row r="574" spans="1:52" ht="15.75" customHeight="1">
      <c r="A574" s="3">
        <v>719</v>
      </c>
      <c r="B574" s="5" t="str">
        <f t="shared" si="0"/>
        <v>http://roarmap.eprints.org/719/</v>
      </c>
      <c r="C574" s="3">
        <v>4</v>
      </c>
      <c r="D574" s="3" t="s">
        <v>98</v>
      </c>
      <c r="E574" s="3">
        <v>65</v>
      </c>
      <c r="F574" s="3" t="s">
        <v>2130</v>
      </c>
      <c r="G574" s="3">
        <v>42093.573553240742</v>
      </c>
      <c r="H574" s="3">
        <v>42093.573553240742</v>
      </c>
      <c r="I574" s="3">
        <v>42093.573553240742</v>
      </c>
      <c r="J574" s="3" t="s">
        <v>103</v>
      </c>
      <c r="K574" s="3" t="s">
        <v>105</v>
      </c>
      <c r="L574" s="3" t="s">
        <v>2131</v>
      </c>
      <c r="P574" s="3" t="s">
        <v>215</v>
      </c>
      <c r="Q574" t="str">
        <f t="shared" si="36"/>
        <v>http://roarmap.eprints.org/view/country/840.html</v>
      </c>
      <c r="R574" s="3">
        <v>840</v>
      </c>
      <c r="S574" s="6" t="s">
        <v>359</v>
      </c>
      <c r="T574" s="9">
        <v>840</v>
      </c>
      <c r="U574" s="7" t="s">
        <v>2518</v>
      </c>
      <c r="V574" s="6" t="s">
        <v>66</v>
      </c>
      <c r="W574" s="3" t="s">
        <v>158</v>
      </c>
      <c r="X574" s="3" t="s">
        <v>160</v>
      </c>
      <c r="Y574" s="3" t="s">
        <v>2131</v>
      </c>
      <c r="Z574" s="8" t="str">
        <f>HYPERLINK("http://www.bu.edu/","http://www.bu.edu/")</f>
        <v>http://www.bu.edu/</v>
      </c>
      <c r="AA574" s="8" t="str">
        <f>HYPERLINK("http://www.bu.edu/library/files/2015/02/Open-Access-Policy-2015.pdf","http://www.bu.edu/library/files/2015/02/Open-Access-Policy-2015.pdf")</f>
        <v>http://www.bu.edu/library/files/2015/02/Open-Access-Policy-2015.pdf</v>
      </c>
      <c r="AB574" s="8" t="str">
        <f>HYPERLINK("https://open.bu.edu/","https://open.bu.edu/")</f>
        <v>https://open.bu.edu/</v>
      </c>
      <c r="AC574" s="3">
        <v>42046</v>
      </c>
      <c r="AF574" s="3" t="s">
        <v>478</v>
      </c>
      <c r="AH574" s="3" t="s">
        <v>180</v>
      </c>
      <c r="AI574" s="3" t="s">
        <v>392</v>
      </c>
      <c r="AJ574" s="3" t="s">
        <v>182</v>
      </c>
      <c r="AK574" s="3" t="s">
        <v>393</v>
      </c>
      <c r="AL574" s="3" t="s">
        <v>185</v>
      </c>
      <c r="AM574" s="3" t="s">
        <v>178</v>
      </c>
      <c r="AN574" s="3" t="s">
        <v>189</v>
      </c>
      <c r="AO574" s="3" t="s">
        <v>247</v>
      </c>
      <c r="AP574" s="3" t="s">
        <v>244</v>
      </c>
      <c r="AQ574" s="3" t="s">
        <v>394</v>
      </c>
      <c r="AR574" s="3" t="s">
        <v>189</v>
      </c>
      <c r="AS574" s="3" t="s">
        <v>189</v>
      </c>
      <c r="AT574" s="3" t="s">
        <v>244</v>
      </c>
      <c r="AU574" s="3" t="s">
        <v>244</v>
      </c>
      <c r="AV574" s="3" t="s">
        <v>244</v>
      </c>
      <c r="AW574" s="3" t="s">
        <v>630</v>
      </c>
      <c r="AX574" s="3" t="s">
        <v>244</v>
      </c>
      <c r="AY574" s="3" t="s">
        <v>247</v>
      </c>
    </row>
    <row r="575" spans="1:52" ht="15.75" customHeight="1">
      <c r="A575" s="3">
        <v>448</v>
      </c>
      <c r="B575" s="5" t="str">
        <f t="shared" si="0"/>
        <v>http://roarmap.eprints.org/448/</v>
      </c>
      <c r="C575" s="3">
        <v>3</v>
      </c>
      <c r="D575" s="3" t="s">
        <v>98</v>
      </c>
      <c r="E575" s="3">
        <v>1</v>
      </c>
      <c r="F575" s="3" t="s">
        <v>2132</v>
      </c>
      <c r="G575" s="3">
        <v>41988.923981481479</v>
      </c>
      <c r="H575" s="3">
        <v>41988.923981481479</v>
      </c>
      <c r="I575" s="3">
        <v>41988.923981481479</v>
      </c>
      <c r="J575" s="3" t="s">
        <v>103</v>
      </c>
      <c r="K575" s="3" t="s">
        <v>105</v>
      </c>
      <c r="L575" s="3" t="s">
        <v>2133</v>
      </c>
      <c r="M575" s="3" t="s">
        <v>352</v>
      </c>
      <c r="O575" s="3" t="s">
        <v>704</v>
      </c>
      <c r="P575" s="3" t="s">
        <v>215</v>
      </c>
      <c r="Q575" t="str">
        <f t="shared" si="36"/>
        <v>http://roarmap.eprints.org/view/country/840.html</v>
      </c>
      <c r="R575" s="3">
        <v>840</v>
      </c>
      <c r="S575" s="6" t="s">
        <v>359</v>
      </c>
      <c r="T575" s="9">
        <v>840</v>
      </c>
      <c r="U575" s="7" t="s">
        <v>2518</v>
      </c>
      <c r="V575" s="6" t="s">
        <v>66</v>
      </c>
      <c r="W575" s="3" t="s">
        <v>158</v>
      </c>
      <c r="X575" s="3" t="s">
        <v>160</v>
      </c>
      <c r="Y575" s="3" t="s">
        <v>2133</v>
      </c>
      <c r="Z575" s="8" t="str">
        <f>HYPERLINK("http://www.brandeis.edu/","http://www.brandeis.edu/")</f>
        <v>http://www.brandeis.edu/</v>
      </c>
      <c r="AB575" s="8" t="str">
        <f>HYPERLINK("http://bir.brandeis.edu/","http://bir.brandeis.edu/")</f>
        <v>http://bir.brandeis.edu/</v>
      </c>
      <c r="AG575" s="3" t="s">
        <v>244</v>
      </c>
      <c r="AH575" s="3" t="s">
        <v>244</v>
      </c>
      <c r="AI575" s="3" t="s">
        <v>244</v>
      </c>
      <c r="AJ575" s="3" t="s">
        <v>244</v>
      </c>
      <c r="AK575" s="3" t="s">
        <v>244</v>
      </c>
      <c r="AL575" s="3" t="s">
        <v>244</v>
      </c>
      <c r="AM575" s="3" t="s">
        <v>247</v>
      </c>
      <c r="AN575" s="3" t="s">
        <v>244</v>
      </c>
      <c r="AO575" s="3" t="s">
        <v>247</v>
      </c>
      <c r="AP575" s="3" t="s">
        <v>244</v>
      </c>
      <c r="AQ575" s="3" t="s">
        <v>247</v>
      </c>
      <c r="AR575" s="3" t="s">
        <v>288</v>
      </c>
      <c r="AS575" s="3" t="s">
        <v>244</v>
      </c>
      <c r="AT575" s="3" t="s">
        <v>244</v>
      </c>
      <c r="AU575" s="3" t="s">
        <v>244</v>
      </c>
      <c r="AV575" s="3" t="s">
        <v>288</v>
      </c>
      <c r="AW575" s="3" t="s">
        <v>244</v>
      </c>
      <c r="AX575" s="3" t="s">
        <v>244</v>
      </c>
      <c r="AY575" s="3" t="s">
        <v>428</v>
      </c>
      <c r="AZ575" s="8" t="str">
        <f>HYPERLINK("http://scholcomm.brandeis.edu/open-access/brandeis-open-access-fund-description/","http://scholcomm.brandeis.edu/open-access/brandeis-open-access-fund-description/")</f>
        <v>http://scholcomm.brandeis.edu/open-access/brandeis-open-access-fund-description/</v>
      </c>
    </row>
    <row r="576" spans="1:52" ht="15.75" customHeight="1">
      <c r="A576" s="3">
        <v>450</v>
      </c>
      <c r="B576" s="5" t="str">
        <f t="shared" si="0"/>
        <v>http://roarmap.eprints.org/450/</v>
      </c>
      <c r="C576" s="3">
        <v>6</v>
      </c>
      <c r="D576" s="3" t="s">
        <v>98</v>
      </c>
      <c r="E576" s="3">
        <v>1</v>
      </c>
      <c r="F576" s="3" t="s">
        <v>2134</v>
      </c>
      <c r="G576" s="3">
        <v>41988.923981481479</v>
      </c>
      <c r="H576" s="3">
        <v>41988.923981481479</v>
      </c>
      <c r="I576" s="3">
        <v>41988.923981481479</v>
      </c>
      <c r="J576" s="3" t="s">
        <v>103</v>
      </c>
      <c r="K576" s="3" t="s">
        <v>105</v>
      </c>
      <c r="L576" s="3" t="s">
        <v>2135</v>
      </c>
      <c r="M576" s="3" t="s">
        <v>352</v>
      </c>
      <c r="N576" s="3" t="s">
        <v>2136</v>
      </c>
      <c r="O576" s="3" t="s">
        <v>2137</v>
      </c>
      <c r="P576" s="3" t="s">
        <v>215</v>
      </c>
      <c r="Q576" t="str">
        <f t="shared" si="36"/>
        <v>http://roarmap.eprints.org/view/country/840.html</v>
      </c>
      <c r="R576" s="3">
        <v>840</v>
      </c>
      <c r="S576" s="6" t="s">
        <v>359</v>
      </c>
      <c r="T576" s="9">
        <v>840</v>
      </c>
      <c r="U576" s="7" t="s">
        <v>2518</v>
      </c>
      <c r="V576" s="6" t="s">
        <v>66</v>
      </c>
      <c r="W576" s="3" t="s">
        <v>158</v>
      </c>
      <c r="X576" s="3" t="s">
        <v>384</v>
      </c>
      <c r="Y576" s="3" t="s">
        <v>2135</v>
      </c>
      <c r="Z576" s="8" t="str">
        <f>HYPERLINK("http://lib.byu.edu/","http://lib.byu.edu/")</f>
        <v>http://lib.byu.edu/</v>
      </c>
      <c r="AA576" s="8" t="str">
        <f>HYPERLINK("http://etd.byu.edu/","http://etd.byu.edu/")</f>
        <v>http://etd.byu.edu/</v>
      </c>
      <c r="AB576" s="8" t="str">
        <f>HYPERLINK("http://scholarsarchive.byu.edu/","http://scholarsarchive.byu.edu/")</f>
        <v>http://scholarsarchive.byu.edu/</v>
      </c>
      <c r="AC576" s="3">
        <v>40087</v>
      </c>
      <c r="AD576" s="3">
        <v>2009</v>
      </c>
      <c r="AG576" s="3" t="s">
        <v>178</v>
      </c>
      <c r="AH576" s="3" t="s">
        <v>180</v>
      </c>
      <c r="AI576" s="3" t="s">
        <v>371</v>
      </c>
      <c r="AJ576" s="3" t="s">
        <v>385</v>
      </c>
      <c r="AK576" s="3" t="s">
        <v>244</v>
      </c>
      <c r="AL576" s="3" t="s">
        <v>244</v>
      </c>
      <c r="AM576" s="3" t="s">
        <v>247</v>
      </c>
      <c r="AN576" s="3" t="s">
        <v>244</v>
      </c>
      <c r="AO576" s="3" t="s">
        <v>247</v>
      </c>
      <c r="AP576" s="3" t="s">
        <v>244</v>
      </c>
      <c r="AQ576" s="3" t="s">
        <v>394</v>
      </c>
      <c r="AR576" s="3" t="s">
        <v>288</v>
      </c>
      <c r="AS576" s="3" t="s">
        <v>244</v>
      </c>
      <c r="AT576" s="3" t="s">
        <v>193</v>
      </c>
      <c r="AU576" s="3" t="s">
        <v>193</v>
      </c>
      <c r="AV576" s="3" t="s">
        <v>288</v>
      </c>
      <c r="AW576" s="3" t="s">
        <v>244</v>
      </c>
      <c r="AX576" s="3" t="s">
        <v>244</v>
      </c>
      <c r="AY576" s="3" t="s">
        <v>247</v>
      </c>
    </row>
    <row r="577" spans="1:52" ht="15.75" customHeight="1">
      <c r="A577" s="3">
        <v>451</v>
      </c>
      <c r="B577" s="5" t="str">
        <f t="shared" si="0"/>
        <v>http://roarmap.eprints.org/451/</v>
      </c>
      <c r="C577" s="3">
        <v>3</v>
      </c>
      <c r="D577" s="3" t="s">
        <v>98</v>
      </c>
      <c r="E577" s="3">
        <v>1</v>
      </c>
      <c r="F577" s="3" t="s">
        <v>2138</v>
      </c>
      <c r="G577" s="3">
        <v>41988.923981481479</v>
      </c>
      <c r="H577" s="3">
        <v>41988.923981481479</v>
      </c>
      <c r="I577" s="3">
        <v>41988.923981481479</v>
      </c>
      <c r="J577" s="3" t="s">
        <v>103</v>
      </c>
      <c r="K577" s="3" t="s">
        <v>105</v>
      </c>
      <c r="L577" s="3" t="s">
        <v>2139</v>
      </c>
      <c r="M577" s="3" t="s">
        <v>374</v>
      </c>
      <c r="N577" s="3" t="s">
        <v>2140</v>
      </c>
      <c r="O577" s="3" t="s">
        <v>2141</v>
      </c>
      <c r="P577" s="3" t="s">
        <v>215</v>
      </c>
      <c r="Q577" t="str">
        <f t="shared" si="36"/>
        <v>http://roarmap.eprints.org/view/country/840.html</v>
      </c>
      <c r="R577" s="3">
        <v>840</v>
      </c>
      <c r="S577" s="6" t="s">
        <v>359</v>
      </c>
      <c r="T577" s="9">
        <v>840</v>
      </c>
      <c r="U577" s="7" t="s">
        <v>2518</v>
      </c>
      <c r="V577" s="6" t="s">
        <v>66</v>
      </c>
      <c r="W577" s="3" t="s">
        <v>158</v>
      </c>
      <c r="X577" s="3" t="s">
        <v>160</v>
      </c>
      <c r="Y577" s="3" t="s">
        <v>2139</v>
      </c>
      <c r="Z577" s="8" t="str">
        <f>HYPERLINK("http://www.brynmawr.edu/","http://www.brynmawr.edu/")</f>
        <v>http://www.brynmawr.edu/</v>
      </c>
      <c r="AA577" s="8" t="str">
        <f>HYPERLINK("http://www.brynmawr.edu/openaccess/","http://www.brynmawr.edu/openaccess/")</f>
        <v>http://www.brynmawr.edu/openaccess/</v>
      </c>
      <c r="AB577" s="8" t="str">
        <f>HYPERLINK("http://repository.brynmawr.edu/","http://repository.brynmawr.edu/")</f>
        <v>http://repository.brynmawr.edu/</v>
      </c>
      <c r="AC577" s="3">
        <v>41619</v>
      </c>
      <c r="AD577" s="3">
        <v>41619</v>
      </c>
      <c r="AF577" s="3" t="s">
        <v>478</v>
      </c>
      <c r="AG577" s="3" t="s">
        <v>178</v>
      </c>
      <c r="AH577" s="3" t="s">
        <v>180</v>
      </c>
      <c r="AI577" s="3" t="s">
        <v>392</v>
      </c>
      <c r="AJ577" s="3" t="s">
        <v>182</v>
      </c>
      <c r="AK577" s="3" t="s">
        <v>393</v>
      </c>
      <c r="AL577" s="3" t="s">
        <v>189</v>
      </c>
      <c r="AM577" s="3" t="s">
        <v>178</v>
      </c>
      <c r="AN577" s="3" t="s">
        <v>244</v>
      </c>
      <c r="AO577" s="3" t="s">
        <v>247</v>
      </c>
      <c r="AP577" s="3" t="s">
        <v>244</v>
      </c>
      <c r="AQ577" s="3" t="s">
        <v>394</v>
      </c>
      <c r="AR577" s="3" t="s">
        <v>288</v>
      </c>
      <c r="AS577" s="3" t="s">
        <v>288</v>
      </c>
      <c r="AT577" s="3" t="s">
        <v>244</v>
      </c>
      <c r="AU577" s="3" t="s">
        <v>244</v>
      </c>
      <c r="AV577" s="3" t="s">
        <v>288</v>
      </c>
      <c r="AW577" s="3" t="s">
        <v>371</v>
      </c>
      <c r="AX577" s="3" t="s">
        <v>244</v>
      </c>
      <c r="AY577" s="3" t="s">
        <v>247</v>
      </c>
    </row>
    <row r="578" spans="1:52" ht="15.75" customHeight="1">
      <c r="A578" s="3">
        <v>452</v>
      </c>
      <c r="B578" s="5" t="str">
        <f t="shared" si="0"/>
        <v>http://roarmap.eprints.org/452/</v>
      </c>
      <c r="C578" s="3">
        <v>4</v>
      </c>
      <c r="D578" s="3" t="s">
        <v>98</v>
      </c>
      <c r="E578" s="3">
        <v>318</v>
      </c>
      <c r="F578" s="3" t="s">
        <v>2142</v>
      </c>
      <c r="G578" s="3">
        <v>41988.923981481479</v>
      </c>
      <c r="H578" s="3">
        <v>42046.981724537036</v>
      </c>
      <c r="I578" s="3">
        <v>41988.923981481479</v>
      </c>
      <c r="J578" s="3" t="s">
        <v>103</v>
      </c>
      <c r="K578" s="3" t="s">
        <v>105</v>
      </c>
      <c r="L578" s="3" t="s">
        <v>2143</v>
      </c>
      <c r="M578" s="3" t="s">
        <v>374</v>
      </c>
      <c r="N578" s="3" t="s">
        <v>2144</v>
      </c>
      <c r="P578" s="3" t="s">
        <v>215</v>
      </c>
      <c r="Q578" t="str">
        <f t="shared" si="36"/>
        <v>http://roarmap.eprints.org/view/country/840.html</v>
      </c>
      <c r="R578" s="3">
        <v>840</v>
      </c>
      <c r="S578" s="6" t="s">
        <v>359</v>
      </c>
      <c r="T578" s="9">
        <v>840</v>
      </c>
      <c r="U578" s="7" t="s">
        <v>2518</v>
      </c>
      <c r="V578" s="6" t="s">
        <v>66</v>
      </c>
      <c r="W578" s="3" t="s">
        <v>158</v>
      </c>
      <c r="X578" s="3" t="s">
        <v>160</v>
      </c>
      <c r="Y578" s="3" t="s">
        <v>2143</v>
      </c>
      <c r="Z578" s="8" t="str">
        <f>HYPERLINK("http://www.bucknell.edu/","http://www.bucknell.edu/")</f>
        <v>http://www.bucknell.edu/</v>
      </c>
      <c r="AA578" s="8" t="str">
        <f>HYPERLINK("https://www.bucknell.edu/library-and-information-technology/library/open-access/open-access-publishing-policy.html","https://www.bucknell.edu/library-and-information-technology/library/open-access/open-access-publishing-policy.html")</f>
        <v>https://www.bucknell.edu/library-and-information-technology/library/open-access/open-access-publishing-policy.html</v>
      </c>
      <c r="AB578" s="8" t="str">
        <f>HYPERLINK("http://digitalcommons.bucknell.edu/","http://digitalcommons.bucknell.edu/")</f>
        <v>http://digitalcommons.bucknell.edu/</v>
      </c>
      <c r="AC578" s="3">
        <v>40820</v>
      </c>
      <c r="AD578" s="3">
        <v>40820</v>
      </c>
      <c r="AF578" s="3" t="s">
        <v>478</v>
      </c>
      <c r="AG578" s="3" t="s">
        <v>178</v>
      </c>
      <c r="AH578" s="3" t="s">
        <v>180</v>
      </c>
      <c r="AI578" s="3" t="s">
        <v>371</v>
      </c>
      <c r="AJ578" s="3" t="s">
        <v>182</v>
      </c>
      <c r="AK578" s="3" t="s">
        <v>393</v>
      </c>
      <c r="AL578" s="3" t="s">
        <v>244</v>
      </c>
      <c r="AM578" s="3" t="s">
        <v>178</v>
      </c>
      <c r="AN578" s="3" t="s">
        <v>189</v>
      </c>
      <c r="AO578" s="3" t="s">
        <v>247</v>
      </c>
      <c r="AP578" s="3" t="s">
        <v>244</v>
      </c>
      <c r="AQ578" s="3" t="s">
        <v>394</v>
      </c>
      <c r="AR578" s="3" t="s">
        <v>288</v>
      </c>
      <c r="AS578" s="3" t="s">
        <v>288</v>
      </c>
      <c r="AT578" s="3" t="s">
        <v>244</v>
      </c>
      <c r="AU578" s="3" t="s">
        <v>244</v>
      </c>
      <c r="AV578" s="3" t="s">
        <v>288</v>
      </c>
      <c r="AW578" s="3" t="s">
        <v>371</v>
      </c>
      <c r="AX578" s="3" t="s">
        <v>244</v>
      </c>
      <c r="AY578" s="3" t="s">
        <v>247</v>
      </c>
    </row>
    <row r="579" spans="1:52" ht="15.75" customHeight="1">
      <c r="A579" s="3">
        <v>453</v>
      </c>
      <c r="B579" s="5" t="str">
        <f t="shared" si="0"/>
        <v>http://roarmap.eprints.org/453/</v>
      </c>
      <c r="C579" s="3">
        <v>4</v>
      </c>
      <c r="D579" s="3" t="s">
        <v>98</v>
      </c>
      <c r="E579" s="3">
        <v>319</v>
      </c>
      <c r="F579" s="3" t="s">
        <v>2145</v>
      </c>
      <c r="G579" s="3">
        <v>41988.923981481479</v>
      </c>
      <c r="H579" s="3">
        <v>42046.981724537036</v>
      </c>
      <c r="I579" s="3">
        <v>41988.923981481479</v>
      </c>
      <c r="J579" s="3" t="s">
        <v>103</v>
      </c>
      <c r="K579" s="3" t="s">
        <v>105</v>
      </c>
      <c r="L579" s="3" t="s">
        <v>2146</v>
      </c>
      <c r="M579" s="3" t="s">
        <v>374</v>
      </c>
      <c r="N579" s="3" t="s">
        <v>2147</v>
      </c>
      <c r="P579" s="3" t="s">
        <v>215</v>
      </c>
      <c r="Q579" t="str">
        <f t="shared" ref="Q579:Q642" si="38">CONCATENATE("http://roarmap.eprints.org/view/country/",T579,".html")</f>
        <v>http://roarmap.eprints.org/view/country/840.html</v>
      </c>
      <c r="R579" s="3">
        <v>840</v>
      </c>
      <c r="S579" s="6" t="s">
        <v>359</v>
      </c>
      <c r="T579" s="9">
        <v>840</v>
      </c>
      <c r="U579" s="7" t="s">
        <v>2518</v>
      </c>
      <c r="V579" s="6" t="s">
        <v>66</v>
      </c>
      <c r="W579" s="3" t="s">
        <v>158</v>
      </c>
      <c r="X579" s="3" t="s">
        <v>160</v>
      </c>
      <c r="Y579" s="3" t="s">
        <v>2146</v>
      </c>
      <c r="Z579" s="8" t="str">
        <f>HYPERLINK("http://www.caltech.edu/","http://www.caltech.edu/")</f>
        <v>http://www.caltech.edu/</v>
      </c>
      <c r="AA579" s="8" t="str">
        <f>HYPERLINK("http://library.caltech.edu/coda/OA_Policy_6.10.2013.pdf","http://library.caltech.edu/coda/OA_Policy_6.10.2013.pdf")</f>
        <v>http://library.caltech.edu/coda/OA_Policy_6.10.2013.pdf</v>
      </c>
      <c r="AB579" s="8" t="str">
        <f>HYPERLINK("http://authors.library.caltech.edu/","http://authors.library.caltech.edu/")</f>
        <v>http://authors.library.caltech.edu/</v>
      </c>
      <c r="AC579" s="3">
        <v>41435</v>
      </c>
      <c r="AD579" s="3">
        <v>41640</v>
      </c>
      <c r="AF579" s="3" t="s">
        <v>478</v>
      </c>
      <c r="AG579" s="3" t="s">
        <v>333</v>
      </c>
      <c r="AH579" s="3" t="s">
        <v>180</v>
      </c>
      <c r="AI579" s="3" t="s">
        <v>392</v>
      </c>
      <c r="AJ579" s="3" t="s">
        <v>182</v>
      </c>
      <c r="AK579" s="3" t="s">
        <v>393</v>
      </c>
      <c r="AL579" s="3" t="s">
        <v>288</v>
      </c>
      <c r="AM579" s="3" t="s">
        <v>479</v>
      </c>
      <c r="AN579" s="3" t="s">
        <v>189</v>
      </c>
      <c r="AO579" s="3" t="s">
        <v>181</v>
      </c>
      <c r="AP579" s="3" t="s">
        <v>244</v>
      </c>
      <c r="AQ579" s="3" t="s">
        <v>394</v>
      </c>
      <c r="AR579" s="3" t="s">
        <v>288</v>
      </c>
      <c r="AS579" s="3" t="s">
        <v>189</v>
      </c>
      <c r="AT579" s="3" t="s">
        <v>244</v>
      </c>
      <c r="AU579" s="3" t="s">
        <v>244</v>
      </c>
      <c r="AV579" s="3" t="s">
        <v>288</v>
      </c>
      <c r="AW579" s="3" t="s">
        <v>371</v>
      </c>
      <c r="AX579" s="3" t="s">
        <v>244</v>
      </c>
      <c r="AY579" s="3" t="s">
        <v>247</v>
      </c>
    </row>
    <row r="580" spans="1:52" ht="15.75" customHeight="1">
      <c r="A580" s="3">
        <v>454</v>
      </c>
      <c r="B580" s="5" t="str">
        <f t="shared" si="0"/>
        <v>http://roarmap.eprints.org/454/</v>
      </c>
      <c r="C580" s="3">
        <v>3</v>
      </c>
      <c r="D580" s="3" t="s">
        <v>98</v>
      </c>
      <c r="E580" s="3">
        <v>1</v>
      </c>
      <c r="F580" s="3" t="s">
        <v>2148</v>
      </c>
      <c r="G580" s="3">
        <v>41988.923981481479</v>
      </c>
      <c r="H580" s="3">
        <v>41988.923981481479</v>
      </c>
      <c r="I580" s="3">
        <v>41988.923981481479</v>
      </c>
      <c r="J580" s="3" t="s">
        <v>103</v>
      </c>
      <c r="K580" s="3" t="s">
        <v>105</v>
      </c>
      <c r="L580" s="3" t="s">
        <v>2149</v>
      </c>
      <c r="M580" s="3" t="s">
        <v>352</v>
      </c>
      <c r="O580" s="3" t="s">
        <v>2150</v>
      </c>
      <c r="P580" s="3" t="s">
        <v>215</v>
      </c>
      <c r="Q580" t="str">
        <f t="shared" si="38"/>
        <v>http://roarmap.eprints.org/view/country/840.html</v>
      </c>
      <c r="R580" s="3">
        <v>840</v>
      </c>
      <c r="S580" s="6" t="s">
        <v>359</v>
      </c>
      <c r="T580" s="9">
        <v>840</v>
      </c>
      <c r="U580" s="7" t="s">
        <v>2518</v>
      </c>
      <c r="V580" s="6" t="s">
        <v>66</v>
      </c>
      <c r="W580" s="3" t="s">
        <v>158</v>
      </c>
      <c r="X580" s="3" t="s">
        <v>160</v>
      </c>
      <c r="Y580" s="3" t="s">
        <v>2149</v>
      </c>
      <c r="Z580" s="8" t="str">
        <f>HYPERLINK("http://www.calpoly.edu/","http://www.calpoly.edu/")</f>
        <v>http://www.calpoly.edu/</v>
      </c>
      <c r="AB580" s="8" t="str">
        <f>HYPERLINK("http://digitalcommons.calpoly.edu/","http://digitalcommons.calpoly.edu/")</f>
        <v>http://digitalcommons.calpoly.edu/</v>
      </c>
      <c r="AG580" s="3" t="s">
        <v>244</v>
      </c>
      <c r="AH580" s="3" t="s">
        <v>244</v>
      </c>
      <c r="AI580" s="3" t="s">
        <v>244</v>
      </c>
      <c r="AJ580" s="3" t="s">
        <v>244</v>
      </c>
      <c r="AK580" s="3" t="s">
        <v>244</v>
      </c>
      <c r="AL580" s="3" t="s">
        <v>244</v>
      </c>
      <c r="AM580" s="3" t="s">
        <v>247</v>
      </c>
      <c r="AN580" s="3" t="s">
        <v>244</v>
      </c>
      <c r="AO580" s="3" t="s">
        <v>247</v>
      </c>
      <c r="AP580" s="3" t="s">
        <v>244</v>
      </c>
      <c r="AQ580" s="3" t="s">
        <v>247</v>
      </c>
      <c r="AR580" s="3" t="s">
        <v>288</v>
      </c>
      <c r="AS580" s="3" t="s">
        <v>244</v>
      </c>
      <c r="AT580" s="3" t="s">
        <v>244</v>
      </c>
      <c r="AU580" s="3" t="s">
        <v>244</v>
      </c>
      <c r="AV580" s="3" t="s">
        <v>288</v>
      </c>
      <c r="AW580" s="3" t="s">
        <v>244</v>
      </c>
      <c r="AX580" s="3" t="s">
        <v>244</v>
      </c>
      <c r="AY580" s="3" t="s">
        <v>247</v>
      </c>
    </row>
    <row r="581" spans="1:52" ht="15.75" customHeight="1">
      <c r="A581" s="3">
        <v>455</v>
      </c>
      <c r="B581" s="5" t="str">
        <f t="shared" si="0"/>
        <v>http://roarmap.eprints.org/455/</v>
      </c>
      <c r="C581" s="3">
        <v>4</v>
      </c>
      <c r="D581" s="3" t="s">
        <v>98</v>
      </c>
      <c r="E581" s="3">
        <v>320</v>
      </c>
      <c r="F581" s="3" t="s">
        <v>2151</v>
      </c>
      <c r="G581" s="3">
        <v>41988.923981481479</v>
      </c>
      <c r="H581" s="3">
        <v>42046.981724537036</v>
      </c>
      <c r="I581" s="3">
        <v>41988.923981481479</v>
      </c>
      <c r="J581" s="3" t="s">
        <v>103</v>
      </c>
      <c r="K581" s="3" t="s">
        <v>105</v>
      </c>
      <c r="L581" s="3" t="s">
        <v>2152</v>
      </c>
      <c r="M581" s="3" t="s">
        <v>352</v>
      </c>
      <c r="O581" s="3" t="s">
        <v>2153</v>
      </c>
      <c r="P581" s="3" t="s">
        <v>215</v>
      </c>
      <c r="Q581" t="str">
        <f t="shared" si="38"/>
        <v>http://roarmap.eprints.org/view/country/840.html</v>
      </c>
      <c r="R581" s="3">
        <v>840</v>
      </c>
      <c r="S581" s="6" t="s">
        <v>359</v>
      </c>
      <c r="T581" s="9">
        <v>840</v>
      </c>
      <c r="U581" s="7" t="s">
        <v>2518</v>
      </c>
      <c r="V581" s="6" t="s">
        <v>66</v>
      </c>
      <c r="W581" s="3" t="s">
        <v>158</v>
      </c>
      <c r="X581" s="3" t="s">
        <v>160</v>
      </c>
      <c r="Y581" s="3" t="s">
        <v>2152</v>
      </c>
      <c r="Z581" s="8" t="str">
        <f>HYPERLINK("http://www.csuchico.edu/","http://www.csuchico.edu/")</f>
        <v>http://www.csuchico.edu/</v>
      </c>
      <c r="AB581" s="8" t="str">
        <f>HYPERLINK("http://csuchico-dspace.calstate.edu/","http://csuchico-dspace.calstate.edu/")</f>
        <v>http://csuchico-dspace.calstate.edu/</v>
      </c>
      <c r="AG581" s="3" t="s">
        <v>244</v>
      </c>
      <c r="AH581" s="3" t="s">
        <v>244</v>
      </c>
      <c r="AI581" s="3" t="s">
        <v>244</v>
      </c>
      <c r="AJ581" s="3" t="s">
        <v>244</v>
      </c>
      <c r="AK581" s="3" t="s">
        <v>244</v>
      </c>
      <c r="AL581" s="3" t="s">
        <v>244</v>
      </c>
      <c r="AM581" s="3" t="s">
        <v>247</v>
      </c>
      <c r="AN581" s="3" t="s">
        <v>244</v>
      </c>
      <c r="AO581" s="3" t="s">
        <v>247</v>
      </c>
      <c r="AP581" s="3" t="s">
        <v>244</v>
      </c>
      <c r="AQ581" s="3" t="s">
        <v>247</v>
      </c>
      <c r="AR581" s="3" t="s">
        <v>288</v>
      </c>
      <c r="AS581" s="3" t="s">
        <v>244</v>
      </c>
      <c r="AT581" s="3" t="s">
        <v>244</v>
      </c>
      <c r="AU581" s="3" t="s">
        <v>244</v>
      </c>
      <c r="AV581" s="3" t="s">
        <v>288</v>
      </c>
      <c r="AW581" s="3" t="s">
        <v>244</v>
      </c>
      <c r="AX581" s="3" t="s">
        <v>244</v>
      </c>
      <c r="AY581" s="3" t="s">
        <v>247</v>
      </c>
    </row>
    <row r="582" spans="1:52" ht="15.75" customHeight="1">
      <c r="A582" s="3">
        <v>456</v>
      </c>
      <c r="B582" s="5" t="str">
        <f t="shared" si="0"/>
        <v>http://roarmap.eprints.org/456/</v>
      </c>
      <c r="C582" s="3">
        <v>4</v>
      </c>
      <c r="D582" s="3" t="s">
        <v>98</v>
      </c>
      <c r="E582" s="3">
        <v>321</v>
      </c>
      <c r="F582" s="3" t="s">
        <v>2154</v>
      </c>
      <c r="G582" s="3">
        <v>41988.923981481479</v>
      </c>
      <c r="H582" s="3">
        <v>42046.981724537036</v>
      </c>
      <c r="I582" s="3">
        <v>41988.923981481479</v>
      </c>
      <c r="J582" s="3" t="s">
        <v>103</v>
      </c>
      <c r="K582" s="3" t="s">
        <v>105</v>
      </c>
      <c r="L582" s="3" t="s">
        <v>2155</v>
      </c>
      <c r="M582" s="3" t="s">
        <v>374</v>
      </c>
      <c r="N582" s="3" t="s">
        <v>2156</v>
      </c>
      <c r="O582" s="3" t="s">
        <v>2157</v>
      </c>
      <c r="P582" s="3" t="s">
        <v>215</v>
      </c>
      <c r="Q582" t="str">
        <f t="shared" si="38"/>
        <v>http://roarmap.eprints.org/view/country/840.html</v>
      </c>
      <c r="R582" s="3">
        <v>840</v>
      </c>
      <c r="S582" s="6" t="s">
        <v>359</v>
      </c>
      <c r="T582" s="9">
        <v>840</v>
      </c>
      <c r="U582" s="7" t="s">
        <v>2518</v>
      </c>
      <c r="V582" s="6" t="s">
        <v>66</v>
      </c>
      <c r="W582" s="3" t="s">
        <v>158</v>
      </c>
      <c r="X582" s="3" t="s">
        <v>160</v>
      </c>
      <c r="Y582" s="3" t="s">
        <v>2155</v>
      </c>
      <c r="Z582" s="8" t="str">
        <f>HYPERLINK("http://www.csun.edu/","http://www.csun.edu/")</f>
        <v>http://www.csun.edu/</v>
      </c>
      <c r="AA582" s="8" t="str">
        <f>HYPERLINK("http://www.csun.edu/senate/resolutions/openaccess-resolution112113.pdf","http://www.csun.edu/senate/resolutions/openaccess-resolution112113.pdf")</f>
        <v>http://www.csun.edu/senate/resolutions/openaccess-resolution112113.pdf</v>
      </c>
      <c r="AB582" s="8" t="str">
        <f>HYPERLINK("http://scholarworks.csun.edu/","http://scholarworks.csun.edu/")</f>
        <v>http://scholarworks.csun.edu/</v>
      </c>
      <c r="AC582" s="3">
        <v>41599</v>
      </c>
      <c r="AF582" s="3" t="s">
        <v>478</v>
      </c>
      <c r="AG582" s="3" t="s">
        <v>333</v>
      </c>
      <c r="AH582" s="3" t="s">
        <v>180</v>
      </c>
      <c r="AI582" s="3" t="s">
        <v>371</v>
      </c>
      <c r="AJ582" s="3" t="s">
        <v>182</v>
      </c>
      <c r="AK582" s="3" t="s">
        <v>244</v>
      </c>
      <c r="AL582" s="3" t="s">
        <v>288</v>
      </c>
      <c r="AM582" s="3" t="s">
        <v>479</v>
      </c>
      <c r="AN582" s="3" t="s">
        <v>244</v>
      </c>
      <c r="AO582" s="3" t="s">
        <v>247</v>
      </c>
      <c r="AP582" s="3" t="s">
        <v>244</v>
      </c>
      <c r="AQ582" s="3" t="s">
        <v>394</v>
      </c>
      <c r="AR582" s="3" t="s">
        <v>288</v>
      </c>
      <c r="AS582" s="3" t="s">
        <v>288</v>
      </c>
      <c r="AT582" s="3" t="s">
        <v>244</v>
      </c>
      <c r="AU582" s="3" t="s">
        <v>244</v>
      </c>
      <c r="AV582" s="3" t="s">
        <v>288</v>
      </c>
      <c r="AW582" s="3" t="s">
        <v>371</v>
      </c>
      <c r="AX582" s="3" t="s">
        <v>244</v>
      </c>
      <c r="AY582" s="3" t="s">
        <v>247</v>
      </c>
    </row>
    <row r="583" spans="1:52" ht="15.75" customHeight="1">
      <c r="A583" s="3">
        <v>457</v>
      </c>
      <c r="B583" s="5" t="str">
        <f t="shared" si="0"/>
        <v>http://roarmap.eprints.org/457/</v>
      </c>
      <c r="C583" s="3">
        <v>3</v>
      </c>
      <c r="D583" s="3" t="s">
        <v>98</v>
      </c>
      <c r="E583" s="3">
        <v>1</v>
      </c>
      <c r="F583" s="3" t="s">
        <v>2158</v>
      </c>
      <c r="G583" s="3">
        <v>41988.923993055556</v>
      </c>
      <c r="H583" s="3">
        <v>41988.923993055556</v>
      </c>
      <c r="I583" s="3">
        <v>41988.923993055556</v>
      </c>
      <c r="J583" s="3" t="s">
        <v>103</v>
      </c>
      <c r="K583" s="3" t="s">
        <v>105</v>
      </c>
      <c r="L583" s="3" t="s">
        <v>2159</v>
      </c>
      <c r="M583" s="3" t="s">
        <v>352</v>
      </c>
      <c r="O583" s="3" t="s">
        <v>2160</v>
      </c>
      <c r="P583" s="3" t="s">
        <v>215</v>
      </c>
      <c r="Q583" t="str">
        <f t="shared" si="38"/>
        <v>http://roarmap.eprints.org/view/country/840.html</v>
      </c>
      <c r="R583" s="3">
        <v>840</v>
      </c>
      <c r="S583" s="6" t="s">
        <v>359</v>
      </c>
      <c r="T583" s="9">
        <v>840</v>
      </c>
      <c r="U583" s="7" t="s">
        <v>2518</v>
      </c>
      <c r="V583" s="6" t="s">
        <v>66</v>
      </c>
      <c r="W583" s="3" t="s">
        <v>158</v>
      </c>
      <c r="X583" s="3" t="s">
        <v>160</v>
      </c>
      <c r="Y583" s="3" t="s">
        <v>2159</v>
      </c>
      <c r="Z583" s="8" t="str">
        <f>HYPERLINK("http://www.case.edu/","http://www.case.edu/")</f>
        <v>http://www.case.edu/</v>
      </c>
      <c r="AB583" s="8" t="str">
        <f>HYPERLINK("http://library.case.edu/digitalcase/","http://library.case.edu/digitalcase/")</f>
        <v>http://library.case.edu/digitalcase/</v>
      </c>
      <c r="AG583" s="3" t="s">
        <v>244</v>
      </c>
      <c r="AH583" s="3" t="s">
        <v>244</v>
      </c>
      <c r="AI583" s="3" t="s">
        <v>244</v>
      </c>
      <c r="AJ583" s="3" t="s">
        <v>244</v>
      </c>
      <c r="AK583" s="3" t="s">
        <v>244</v>
      </c>
      <c r="AL583" s="3" t="s">
        <v>244</v>
      </c>
      <c r="AM583" s="3" t="s">
        <v>247</v>
      </c>
      <c r="AN583" s="3" t="s">
        <v>244</v>
      </c>
      <c r="AO583" s="3" t="s">
        <v>247</v>
      </c>
      <c r="AP583" s="3" t="s">
        <v>244</v>
      </c>
      <c r="AQ583" s="3" t="s">
        <v>247</v>
      </c>
      <c r="AR583" s="3" t="s">
        <v>288</v>
      </c>
      <c r="AS583" s="3" t="s">
        <v>244</v>
      </c>
      <c r="AT583" s="3" t="s">
        <v>244</v>
      </c>
      <c r="AU583" s="3" t="s">
        <v>244</v>
      </c>
      <c r="AV583" s="3" t="s">
        <v>288</v>
      </c>
      <c r="AW583" s="3" t="s">
        <v>244</v>
      </c>
      <c r="AX583" s="3" t="s">
        <v>244</v>
      </c>
      <c r="AY583" s="3" t="s">
        <v>247</v>
      </c>
    </row>
    <row r="584" spans="1:52" ht="15.75" customHeight="1">
      <c r="A584" s="3">
        <v>458</v>
      </c>
      <c r="B584" s="5" t="str">
        <f t="shared" si="0"/>
        <v>http://roarmap.eprints.org/458/</v>
      </c>
      <c r="C584" s="3">
        <v>4</v>
      </c>
      <c r="D584" s="3" t="s">
        <v>98</v>
      </c>
      <c r="E584" s="3">
        <v>322</v>
      </c>
      <c r="F584" s="3" t="s">
        <v>2161</v>
      </c>
      <c r="G584" s="3">
        <v>41988.923993055556</v>
      </c>
      <c r="H584" s="3">
        <v>42046.981724537036</v>
      </c>
      <c r="I584" s="3">
        <v>41988.923993055556</v>
      </c>
      <c r="J584" s="3" t="s">
        <v>103</v>
      </c>
      <c r="K584" s="3" t="s">
        <v>105</v>
      </c>
      <c r="L584" s="3" t="s">
        <v>2162</v>
      </c>
      <c r="M584" s="3" t="s">
        <v>374</v>
      </c>
      <c r="N584" s="3" t="s">
        <v>2163</v>
      </c>
      <c r="P584" s="3" t="s">
        <v>215</v>
      </c>
      <c r="Q584" t="str">
        <f t="shared" si="38"/>
        <v>http://roarmap.eprints.org/view/country/840.html</v>
      </c>
      <c r="R584" s="3">
        <v>840</v>
      </c>
      <c r="S584" s="6" t="s">
        <v>359</v>
      </c>
      <c r="T584" s="9">
        <v>840</v>
      </c>
      <c r="U584" s="7" t="s">
        <v>2518</v>
      </c>
      <c r="V584" s="6" t="s">
        <v>66</v>
      </c>
      <c r="W584" s="3" t="s">
        <v>158</v>
      </c>
      <c r="X584" s="3" t="s">
        <v>384</v>
      </c>
      <c r="Y584" s="3" t="s">
        <v>2162</v>
      </c>
      <c r="Z584" s="8" t="str">
        <f>HYPERLINK("http://www.ldeo.columbia.edu/","http://www.ldeo.columbia.edu/")</f>
        <v>http://www.ldeo.columbia.edu/</v>
      </c>
      <c r="AA584" s="8" t="str">
        <f>HYPERLINK("http://scholcomm.columbia.edu/open-access/open-access-policies/lamont-doherty-earth-observatory-open-access-policy/","http://scholcomm.columbia.edu/open-access/open-access-policies/lamont-doherty-earth-observatory-open-access-policy/")</f>
        <v>http://scholcomm.columbia.edu/open-access/open-access-policies/lamont-doherty-earth-observatory-open-access-policy/</v>
      </c>
      <c r="AB584" s="8" t="str">
        <f t="shared" ref="AB584:AB587" si="39">HYPERLINK("http://academiccommons.columbia.edu/","http://academiccommons.columbia.edu/")</f>
        <v>http://academiccommons.columbia.edu/</v>
      </c>
      <c r="AC584" s="3">
        <v>40534</v>
      </c>
      <c r="AD584" s="3">
        <v>40603</v>
      </c>
      <c r="AF584" s="3" t="s">
        <v>478</v>
      </c>
      <c r="AG584" s="3" t="s">
        <v>178</v>
      </c>
      <c r="AH584" s="3" t="s">
        <v>370</v>
      </c>
      <c r="AI584" s="3" t="s">
        <v>244</v>
      </c>
      <c r="AJ584" s="3" t="s">
        <v>182</v>
      </c>
      <c r="AK584" s="3" t="s">
        <v>393</v>
      </c>
      <c r="AL584" s="3" t="s">
        <v>189</v>
      </c>
      <c r="AM584" s="3" t="s">
        <v>479</v>
      </c>
      <c r="AN584" s="3" t="s">
        <v>244</v>
      </c>
      <c r="AO584" s="3" t="s">
        <v>247</v>
      </c>
      <c r="AP584" s="3" t="s">
        <v>244</v>
      </c>
      <c r="AQ584" s="3" t="s">
        <v>394</v>
      </c>
      <c r="AR584" s="3" t="s">
        <v>288</v>
      </c>
      <c r="AS584" s="3" t="s">
        <v>189</v>
      </c>
      <c r="AT584" s="3" t="s">
        <v>244</v>
      </c>
      <c r="AU584" s="3" t="s">
        <v>244</v>
      </c>
      <c r="AV584" s="3" t="s">
        <v>288</v>
      </c>
      <c r="AW584" s="3" t="s">
        <v>371</v>
      </c>
      <c r="AX584" s="3" t="s">
        <v>244</v>
      </c>
      <c r="AY584" s="3" t="s">
        <v>428</v>
      </c>
      <c r="AZ584" s="8" t="str">
        <f t="shared" ref="AZ584:AZ586" si="40">HYPERLINK("http://scholcomm.columbia.edu/services/coap-fund/","http://scholcomm.columbia.edu/services/coap-fund/")</f>
        <v>http://scholcomm.columbia.edu/services/coap-fund/</v>
      </c>
    </row>
    <row r="585" spans="1:52" ht="15.75" customHeight="1">
      <c r="A585" s="3">
        <v>459</v>
      </c>
      <c r="B585" s="5" t="str">
        <f t="shared" si="0"/>
        <v>http://roarmap.eprints.org/459/</v>
      </c>
      <c r="C585" s="3">
        <v>4</v>
      </c>
      <c r="D585" s="3" t="s">
        <v>98</v>
      </c>
      <c r="E585" s="3">
        <v>322</v>
      </c>
      <c r="F585" s="3" t="s">
        <v>2164</v>
      </c>
      <c r="G585" s="3">
        <v>41988.923993055556</v>
      </c>
      <c r="H585" s="3">
        <v>42046.981724537036</v>
      </c>
      <c r="I585" s="3">
        <v>41988.923993055556</v>
      </c>
      <c r="J585" s="3" t="s">
        <v>103</v>
      </c>
      <c r="K585" s="3" t="s">
        <v>105</v>
      </c>
      <c r="L585" s="3" t="s">
        <v>2165</v>
      </c>
      <c r="M585" s="3" t="s">
        <v>374</v>
      </c>
      <c r="N585" s="3" t="s">
        <v>2166</v>
      </c>
      <c r="P585" s="3" t="s">
        <v>215</v>
      </c>
      <c r="Q585" t="str">
        <f t="shared" si="38"/>
        <v>http://roarmap.eprints.org/view/country/840.html</v>
      </c>
      <c r="R585" s="3">
        <v>840</v>
      </c>
      <c r="S585" s="6" t="s">
        <v>359</v>
      </c>
      <c r="T585" s="9">
        <v>840</v>
      </c>
      <c r="U585" s="7" t="s">
        <v>2518</v>
      </c>
      <c r="V585" s="6" t="s">
        <v>66</v>
      </c>
      <c r="W585" s="3" t="s">
        <v>158</v>
      </c>
      <c r="X585" s="3" t="s">
        <v>384</v>
      </c>
      <c r="Y585" s="3" t="s">
        <v>2165</v>
      </c>
      <c r="Z585" s="8" t="str">
        <f>HYPERLINK("http://library.columbia.edu/","http://library.columbia.edu/")</f>
        <v>http://library.columbia.edu/</v>
      </c>
      <c r="AA585" s="8" t="str">
        <f>HYPERLINK("http://scholcomm.columbia.edu/open-access/open-access-policies/columbia-university-libraries-information-services-open-access-policy/","http://scholcomm.columbia.edu/open-access/open-access-policies/columbia-university-libraries-information-services-open-access-policy/")</f>
        <v>http://scholcomm.columbia.edu/open-access/open-access-policies/columbia-university-libraries-information-services-open-access-policy/</v>
      </c>
      <c r="AB585" s="8" t="str">
        <f t="shared" si="39"/>
        <v>http://academiccommons.columbia.edu/</v>
      </c>
      <c r="AC585" s="3">
        <v>40674</v>
      </c>
      <c r="AD585" s="3">
        <v>40695</v>
      </c>
      <c r="AF585" s="3" t="s">
        <v>478</v>
      </c>
      <c r="AG585" s="3" t="s">
        <v>178</v>
      </c>
      <c r="AH585" s="3" t="s">
        <v>370</v>
      </c>
      <c r="AI585" s="3" t="s">
        <v>244</v>
      </c>
      <c r="AJ585" s="3" t="s">
        <v>182</v>
      </c>
      <c r="AK585" s="3" t="s">
        <v>393</v>
      </c>
      <c r="AL585" s="3" t="s">
        <v>189</v>
      </c>
      <c r="AM585" s="3" t="s">
        <v>479</v>
      </c>
      <c r="AN585" s="3" t="s">
        <v>244</v>
      </c>
      <c r="AO585" s="3" t="s">
        <v>247</v>
      </c>
      <c r="AP585" s="3" t="s">
        <v>244</v>
      </c>
      <c r="AQ585" s="3" t="s">
        <v>394</v>
      </c>
      <c r="AR585" s="3" t="s">
        <v>288</v>
      </c>
      <c r="AS585" s="3" t="s">
        <v>189</v>
      </c>
      <c r="AT585" s="3" t="s">
        <v>244</v>
      </c>
      <c r="AU585" s="3" t="s">
        <v>244</v>
      </c>
      <c r="AV585" s="3" t="s">
        <v>288</v>
      </c>
      <c r="AW585" s="3" t="s">
        <v>371</v>
      </c>
      <c r="AX585" s="3" t="s">
        <v>244</v>
      </c>
      <c r="AY585" s="3" t="s">
        <v>428</v>
      </c>
      <c r="AZ585" s="8" t="str">
        <f t="shared" si="40"/>
        <v>http://scholcomm.columbia.edu/services/coap-fund/</v>
      </c>
    </row>
    <row r="586" spans="1:52" ht="15.75" customHeight="1">
      <c r="A586" s="3">
        <v>461</v>
      </c>
      <c r="B586" s="5" t="str">
        <f t="shared" si="0"/>
        <v>http://roarmap.eprints.org/461/</v>
      </c>
      <c r="C586" s="3">
        <v>4</v>
      </c>
      <c r="D586" s="3" t="s">
        <v>98</v>
      </c>
      <c r="E586" s="3">
        <v>322</v>
      </c>
      <c r="F586" s="3" t="s">
        <v>2167</v>
      </c>
      <c r="G586" s="3">
        <v>41988.923993055556</v>
      </c>
      <c r="H586" s="3">
        <v>42046.981724537036</v>
      </c>
      <c r="I586" s="3">
        <v>41988.923993055556</v>
      </c>
      <c r="J586" s="3" t="s">
        <v>103</v>
      </c>
      <c r="K586" s="3" t="s">
        <v>105</v>
      </c>
      <c r="L586" s="3" t="s">
        <v>2168</v>
      </c>
      <c r="M586" s="3" t="s">
        <v>374</v>
      </c>
      <c r="P586" s="3" t="s">
        <v>215</v>
      </c>
      <c r="Q586" t="str">
        <f t="shared" si="38"/>
        <v>http://roarmap.eprints.org/view/country/840.html</v>
      </c>
      <c r="R586" s="3">
        <v>840</v>
      </c>
      <c r="S586" s="6" t="s">
        <v>359</v>
      </c>
      <c r="T586" s="9">
        <v>840</v>
      </c>
      <c r="U586" s="7" t="s">
        <v>2518</v>
      </c>
      <c r="V586" s="6" t="s">
        <v>66</v>
      </c>
      <c r="W586" s="3" t="s">
        <v>158</v>
      </c>
      <c r="X586" s="3" t="s">
        <v>384</v>
      </c>
      <c r="Y586" s="3" t="s">
        <v>2168</v>
      </c>
      <c r="Z586" s="8" t="str">
        <f>HYPERLINK("http://www.mailman.columbia.edu/","http://www.mailman.columbia.edu/")</f>
        <v>http://www.mailman.columbia.edu/</v>
      </c>
      <c r="AA586" s="8" t="str">
        <f>HYPERLINK("http://scholcomm.columbia.edu/open-access/open-access-policies/mailman-school-of-public-health-open-access-policy/","http://scholcomm.columbia.edu/open-access/open-access-policies/mailman-school-of-public-health-open-access-policy/")</f>
        <v>http://scholcomm.columbia.edu/open-access/open-access-policies/mailman-school-of-public-health-open-access-policy/</v>
      </c>
      <c r="AB586" s="8" t="str">
        <f t="shared" si="39"/>
        <v>http://academiccommons.columbia.edu/</v>
      </c>
      <c r="AC586" s="3">
        <v>41395</v>
      </c>
      <c r="AF586" s="3" t="s">
        <v>478</v>
      </c>
      <c r="AG586" s="3" t="s">
        <v>178</v>
      </c>
      <c r="AH586" s="3" t="s">
        <v>180</v>
      </c>
      <c r="AI586" s="3" t="s">
        <v>244</v>
      </c>
      <c r="AJ586" s="3" t="s">
        <v>182</v>
      </c>
      <c r="AK586" s="3" t="s">
        <v>393</v>
      </c>
      <c r="AL586" s="3" t="s">
        <v>189</v>
      </c>
      <c r="AM586" s="3" t="s">
        <v>479</v>
      </c>
      <c r="AN586" s="3" t="s">
        <v>244</v>
      </c>
      <c r="AO586" s="3" t="s">
        <v>247</v>
      </c>
      <c r="AP586" s="3" t="s">
        <v>244</v>
      </c>
      <c r="AQ586" s="3" t="s">
        <v>394</v>
      </c>
      <c r="AR586" s="3" t="s">
        <v>288</v>
      </c>
      <c r="AS586" s="3" t="s">
        <v>189</v>
      </c>
      <c r="AT586" s="3" t="s">
        <v>244</v>
      </c>
      <c r="AU586" s="3" t="s">
        <v>244</v>
      </c>
      <c r="AV586" s="3" t="s">
        <v>288</v>
      </c>
      <c r="AW586" s="3" t="s">
        <v>371</v>
      </c>
      <c r="AX586" s="3" t="s">
        <v>244</v>
      </c>
      <c r="AY586" s="3" t="s">
        <v>428</v>
      </c>
      <c r="AZ586" s="8" t="str">
        <f t="shared" si="40"/>
        <v>http://scholcomm.columbia.edu/services/coap-fund/</v>
      </c>
    </row>
    <row r="587" spans="1:52" ht="15.75" customHeight="1">
      <c r="A587" s="3">
        <v>460</v>
      </c>
      <c r="B587" s="5" t="str">
        <f t="shared" si="0"/>
        <v>http://roarmap.eprints.org/460/</v>
      </c>
      <c r="C587" s="3">
        <v>4</v>
      </c>
      <c r="D587" s="3" t="s">
        <v>98</v>
      </c>
      <c r="E587" s="3">
        <v>322</v>
      </c>
      <c r="F587" s="3" t="s">
        <v>2169</v>
      </c>
      <c r="G587" s="3">
        <v>41988.923993055556</v>
      </c>
      <c r="H587" s="3">
        <v>42046.981724537036</v>
      </c>
      <c r="I587" s="3">
        <v>41988.923993055556</v>
      </c>
      <c r="J587" s="3" t="s">
        <v>103</v>
      </c>
      <c r="K587" s="3" t="s">
        <v>105</v>
      </c>
      <c r="L587" s="3" t="s">
        <v>2170</v>
      </c>
      <c r="M587" s="3" t="s">
        <v>374</v>
      </c>
      <c r="N587" s="3" t="s">
        <v>2171</v>
      </c>
      <c r="O587" s="3" t="s">
        <v>2172</v>
      </c>
      <c r="P587" s="3" t="s">
        <v>215</v>
      </c>
      <c r="Q587" t="str">
        <f t="shared" si="38"/>
        <v>http://roarmap.eprints.org/view/country/840.html</v>
      </c>
      <c r="R587" s="3">
        <v>840</v>
      </c>
      <c r="S587" s="6" t="s">
        <v>359</v>
      </c>
      <c r="T587" s="9">
        <v>840</v>
      </c>
      <c r="U587" s="7" t="s">
        <v>2518</v>
      </c>
      <c r="V587" s="6" t="s">
        <v>66</v>
      </c>
      <c r="W587" s="3" t="s">
        <v>158</v>
      </c>
      <c r="X587" s="3" t="s">
        <v>384</v>
      </c>
      <c r="Y587" s="3" t="s">
        <v>2170</v>
      </c>
      <c r="Z587" s="8" t="str">
        <f>HYPERLINK("http://socialwork.columbia.edu/","http://socialwork.columbia.edu/")</f>
        <v>http://socialwork.columbia.edu/</v>
      </c>
      <c r="AA587" s="8" t="str">
        <f>HYPERLINK("http://www.csun.edu/senate/resolutions/openaccess-resolution112113.pdf","http://www.csun.edu/senate/resolutions/openaccess-resolution112113.pdf")</f>
        <v>http://www.csun.edu/senate/resolutions/openaccess-resolution112113.pdf</v>
      </c>
      <c r="AB587" s="8" t="str">
        <f t="shared" si="39"/>
        <v>http://academiccommons.columbia.edu/</v>
      </c>
      <c r="AC587" s="3">
        <v>41610</v>
      </c>
      <c r="AF587" s="3" t="s">
        <v>478</v>
      </c>
      <c r="AG587" s="3" t="s">
        <v>333</v>
      </c>
      <c r="AH587" s="3" t="s">
        <v>180</v>
      </c>
      <c r="AI587" s="3" t="s">
        <v>187</v>
      </c>
      <c r="AJ587" s="3" t="s">
        <v>182</v>
      </c>
      <c r="AK587" s="3" t="s">
        <v>393</v>
      </c>
      <c r="AL587" s="3" t="s">
        <v>288</v>
      </c>
      <c r="AM587" s="3" t="s">
        <v>479</v>
      </c>
      <c r="AN587" s="3" t="s">
        <v>189</v>
      </c>
      <c r="AO587" s="3" t="s">
        <v>247</v>
      </c>
      <c r="AP587" s="3" t="s">
        <v>244</v>
      </c>
      <c r="AQ587" s="3" t="s">
        <v>394</v>
      </c>
      <c r="AR587" s="3" t="s">
        <v>288</v>
      </c>
      <c r="AS587" s="3" t="s">
        <v>189</v>
      </c>
      <c r="AT587" s="3" t="s">
        <v>244</v>
      </c>
      <c r="AU587" s="3" t="s">
        <v>244</v>
      </c>
      <c r="AV587" s="3" t="s">
        <v>288</v>
      </c>
      <c r="AW587" s="3" t="s">
        <v>371</v>
      </c>
      <c r="AX587" s="3" t="s">
        <v>244</v>
      </c>
      <c r="AY587" s="3" t="s">
        <v>247</v>
      </c>
    </row>
    <row r="588" spans="1:52" ht="15.75" customHeight="1">
      <c r="A588" s="3">
        <v>462</v>
      </c>
      <c r="B588" s="5" t="str">
        <f t="shared" si="0"/>
        <v>http://roarmap.eprints.org/462/</v>
      </c>
      <c r="C588" s="3">
        <v>4</v>
      </c>
      <c r="D588" s="3" t="s">
        <v>98</v>
      </c>
      <c r="E588" s="3">
        <v>323</v>
      </c>
      <c r="F588" s="3" t="s">
        <v>2173</v>
      </c>
      <c r="G588" s="3">
        <v>41988.923993055556</v>
      </c>
      <c r="H588" s="3">
        <v>42046.981724537036</v>
      </c>
      <c r="I588" s="3">
        <v>41988.923993055556</v>
      </c>
      <c r="J588" s="3" t="s">
        <v>103</v>
      </c>
      <c r="K588" s="3" t="s">
        <v>105</v>
      </c>
      <c r="L588" s="3" t="s">
        <v>2174</v>
      </c>
      <c r="M588" s="3" t="s">
        <v>374</v>
      </c>
      <c r="N588" s="3" t="s">
        <v>2175</v>
      </c>
      <c r="O588" s="3" t="s">
        <v>2176</v>
      </c>
      <c r="P588" s="3" t="s">
        <v>215</v>
      </c>
      <c r="Q588" t="str">
        <f t="shared" si="38"/>
        <v>http://roarmap.eprints.org/view/country/840.html</v>
      </c>
      <c r="R588" s="3">
        <v>840</v>
      </c>
      <c r="S588" s="6" t="s">
        <v>359</v>
      </c>
      <c r="T588" s="9">
        <v>840</v>
      </c>
      <c r="U588" s="7" t="s">
        <v>2518</v>
      </c>
      <c r="V588" s="6" t="s">
        <v>66</v>
      </c>
      <c r="W588" s="3" t="s">
        <v>158</v>
      </c>
      <c r="X588" s="3" t="s">
        <v>160</v>
      </c>
      <c r="Y588" s="3" t="s">
        <v>2174</v>
      </c>
      <c r="Z588" s="8" t="str">
        <f>HYPERLINK("http://www.conncoll.edu/","http://www.conncoll.edu/")</f>
        <v>http://www.conncoll.edu/</v>
      </c>
      <c r="AA588" s="8" t="str">
        <f>HYPERLINK("http://www.conncoll.edu/media/website-media/libraries/Open-Access-Policy-of-the-Connecticut-College-Faculty.pdf","http://www.conncoll.edu/media/website-media/libraries/Open-Access-Policy-of-the-Connecticut-College-Faculty.pdf")</f>
        <v>http://www.conncoll.edu/media/website-media/libraries/Open-Access-Policy-of-the-Connecticut-College-Faculty.pdf</v>
      </c>
      <c r="AB588" s="8" t="str">
        <f>HYPERLINK("http://digitalcommons.conncoll.edu/","http://digitalcommons.conncoll.edu/")</f>
        <v>http://digitalcommons.conncoll.edu/</v>
      </c>
      <c r="AC588" s="3">
        <v>41334</v>
      </c>
      <c r="AF588" s="3" t="s">
        <v>244</v>
      </c>
      <c r="AG588" s="3" t="s">
        <v>178</v>
      </c>
      <c r="AH588" s="3" t="s">
        <v>180</v>
      </c>
      <c r="AI588" s="3" t="s">
        <v>392</v>
      </c>
      <c r="AJ588" s="3" t="s">
        <v>182</v>
      </c>
      <c r="AK588" s="3" t="s">
        <v>393</v>
      </c>
      <c r="AL588" s="3" t="s">
        <v>189</v>
      </c>
      <c r="AM588" s="3" t="s">
        <v>178</v>
      </c>
      <c r="AN588" s="3" t="s">
        <v>185</v>
      </c>
      <c r="AO588" s="3" t="s">
        <v>181</v>
      </c>
      <c r="AP588" s="3" t="s">
        <v>244</v>
      </c>
      <c r="AQ588" s="3" t="s">
        <v>394</v>
      </c>
      <c r="AR588" s="3" t="s">
        <v>288</v>
      </c>
      <c r="AS588" s="3" t="s">
        <v>185</v>
      </c>
      <c r="AT588" s="3" t="s">
        <v>244</v>
      </c>
      <c r="AU588" s="3" t="s">
        <v>244</v>
      </c>
      <c r="AV588" s="3" t="s">
        <v>288</v>
      </c>
      <c r="AW588" s="3" t="s">
        <v>371</v>
      </c>
      <c r="AX588" s="3" t="s">
        <v>244</v>
      </c>
      <c r="AY588" s="3" t="s">
        <v>247</v>
      </c>
    </row>
    <row r="589" spans="1:52" ht="15.75" customHeight="1">
      <c r="A589" s="3">
        <v>463</v>
      </c>
      <c r="B589" s="5" t="str">
        <f t="shared" si="0"/>
        <v>http://roarmap.eprints.org/463/</v>
      </c>
      <c r="C589" s="3">
        <v>3</v>
      </c>
      <c r="D589" s="3" t="s">
        <v>98</v>
      </c>
      <c r="E589" s="3">
        <v>1</v>
      </c>
      <c r="F589" s="3" t="s">
        <v>2177</v>
      </c>
      <c r="G589" s="3">
        <v>41988.923993055556</v>
      </c>
      <c r="H589" s="3">
        <v>41988.923993055556</v>
      </c>
      <c r="I589" s="3">
        <v>41988.923993055556</v>
      </c>
      <c r="J589" s="3" t="s">
        <v>103</v>
      </c>
      <c r="K589" s="3" t="s">
        <v>105</v>
      </c>
      <c r="L589" s="3" t="s">
        <v>2178</v>
      </c>
      <c r="M589" s="3" t="s">
        <v>374</v>
      </c>
      <c r="N589" s="3" t="s">
        <v>2179</v>
      </c>
      <c r="P589" s="3" t="s">
        <v>215</v>
      </c>
      <c r="Q589" t="str">
        <f t="shared" si="38"/>
        <v>http://roarmap.eprints.org/view/country/840.html</v>
      </c>
      <c r="R589" s="3">
        <v>840</v>
      </c>
      <c r="S589" s="6" t="s">
        <v>359</v>
      </c>
      <c r="T589" s="9">
        <v>840</v>
      </c>
      <c r="U589" s="7" t="s">
        <v>2518</v>
      </c>
      <c r="V589" s="6" t="s">
        <v>66</v>
      </c>
      <c r="W589" s="3" t="s">
        <v>158</v>
      </c>
      <c r="X589" s="3" t="s">
        <v>160</v>
      </c>
      <c r="Y589" s="3" t="s">
        <v>2178</v>
      </c>
      <c r="Z589" s="8" t="str">
        <f>HYPERLINK("http://www.cornell.edu/","http://www.cornell.edu/")</f>
        <v>http://www.cornell.edu/</v>
      </c>
      <c r="AA589" s="8" t="str">
        <f>HYPERLINK("http://wayback.archive-it.org/2566/20130608143253/http:/www.library.cornell.edu/scholarlycomm/resolution.html","http://wayback.archive-it.org/2566/20130608143253/http://www.library.cornell.edu/scholarlycomm/resolution.html")</f>
        <v>http://wayback.archive-it.org/2566/20130608143253/http://www.library.cornell.edu/scholarlycomm/resolution.html</v>
      </c>
      <c r="AB589" s="8" t="str">
        <f>HYPERLINK("http://ecommons.library.cornell.edu/","http://ecommons.library.cornell.edu/")</f>
        <v>http://ecommons.library.cornell.edu/</v>
      </c>
      <c r="AC589" s="3">
        <v>38483</v>
      </c>
      <c r="AF589" s="3" t="s">
        <v>478</v>
      </c>
      <c r="AG589" s="3" t="s">
        <v>333</v>
      </c>
      <c r="AH589" s="3" t="s">
        <v>370</v>
      </c>
      <c r="AI589" s="3" t="s">
        <v>244</v>
      </c>
      <c r="AJ589" s="3" t="s">
        <v>182</v>
      </c>
      <c r="AK589" s="3" t="s">
        <v>393</v>
      </c>
      <c r="AL589" s="3" t="s">
        <v>288</v>
      </c>
      <c r="AM589" s="3" t="s">
        <v>247</v>
      </c>
      <c r="AN589" s="3" t="s">
        <v>244</v>
      </c>
      <c r="AO589" s="3" t="s">
        <v>247</v>
      </c>
      <c r="AP589" s="3" t="s">
        <v>244</v>
      </c>
      <c r="AQ589" s="3" t="s">
        <v>247</v>
      </c>
      <c r="AR589" s="3" t="s">
        <v>288</v>
      </c>
      <c r="AS589" s="3" t="s">
        <v>288</v>
      </c>
      <c r="AT589" s="3" t="s">
        <v>244</v>
      </c>
      <c r="AU589" s="3" t="s">
        <v>244</v>
      </c>
      <c r="AV589" s="3" t="s">
        <v>288</v>
      </c>
      <c r="AW589" s="3" t="s">
        <v>371</v>
      </c>
      <c r="AX589" s="3" t="s">
        <v>442</v>
      </c>
      <c r="AY589" s="3" t="s">
        <v>428</v>
      </c>
      <c r="AZ589" s="8" t="str">
        <f>HYPERLINK("https://beta.library.cornell.edu/about/collections/coap/funding","https://beta.library.cornell.edu/about/collections/coap/funding")</f>
        <v>https://beta.library.cornell.edu/about/collections/coap/funding</v>
      </c>
    </row>
    <row r="590" spans="1:52" ht="15.75" customHeight="1">
      <c r="A590" s="3">
        <v>464</v>
      </c>
      <c r="B590" s="5" t="str">
        <f t="shared" si="0"/>
        <v>http://roarmap.eprints.org/464/</v>
      </c>
      <c r="C590" s="3">
        <v>3</v>
      </c>
      <c r="D590" s="3" t="s">
        <v>98</v>
      </c>
      <c r="E590" s="3">
        <v>1</v>
      </c>
      <c r="F590" s="3" t="s">
        <v>2180</v>
      </c>
      <c r="G590" s="3">
        <v>41988.923993055556</v>
      </c>
      <c r="H590" s="3">
        <v>41988.923993055556</v>
      </c>
      <c r="I590" s="3">
        <v>41988.923993055556</v>
      </c>
      <c r="J590" s="3" t="s">
        <v>103</v>
      </c>
      <c r="K590" s="3" t="s">
        <v>105</v>
      </c>
      <c r="L590" s="3" t="s">
        <v>2181</v>
      </c>
      <c r="M590" s="3" t="s">
        <v>374</v>
      </c>
      <c r="N590" s="3" t="s">
        <v>2182</v>
      </c>
      <c r="O590" s="3" t="s">
        <v>2183</v>
      </c>
      <c r="P590" s="3" t="s">
        <v>215</v>
      </c>
      <c r="Q590" t="str">
        <f t="shared" si="38"/>
        <v>http://roarmap.eprints.org/view/country/840.html</v>
      </c>
      <c r="R590" s="3">
        <v>840</v>
      </c>
      <c r="S590" s="6" t="s">
        <v>359</v>
      </c>
      <c r="T590" s="9">
        <v>840</v>
      </c>
      <c r="U590" s="7" t="s">
        <v>2518</v>
      </c>
      <c r="V590" s="6" t="s">
        <v>66</v>
      </c>
      <c r="W590" s="3" t="s">
        <v>158</v>
      </c>
      <c r="X590" s="3" t="s">
        <v>160</v>
      </c>
      <c r="Y590" s="3" t="s">
        <v>2181</v>
      </c>
      <c r="Z590" s="8" t="str">
        <f>HYPERLINK("http://www.drake.edu/","http://www.drake.edu/")</f>
        <v>http://www.drake.edu/</v>
      </c>
      <c r="AA590" s="8" t="str">
        <f>HYPERLINK("http://facultysenate.drake.edu/wp-content/uploads/sites/4/2012/09/Open-Access-Policy-12Apr-updated.pdf","http://facultysenate.drake.edu/wp-content/uploads/sites/4/2012/09/Open-Access-Policy-12Apr-updated.pdf")</f>
        <v>http://facultysenate.drake.edu/wp-content/uploads/sites/4/2012/09/Open-Access-Policy-12Apr-updated.pdf</v>
      </c>
      <c r="AB590" s="8" t="str">
        <f>HYPERLINK("http://escholarshare.drake.edu/","http://escholarshare.drake.edu/")</f>
        <v>http://escholarshare.drake.edu/</v>
      </c>
      <c r="AC590" s="3">
        <v>41376</v>
      </c>
      <c r="AF590" s="3" t="s">
        <v>478</v>
      </c>
      <c r="AG590" s="3" t="s">
        <v>333</v>
      </c>
      <c r="AH590" s="3" t="s">
        <v>180</v>
      </c>
      <c r="AI590" s="3" t="s">
        <v>181</v>
      </c>
      <c r="AJ590" s="3" t="s">
        <v>182</v>
      </c>
      <c r="AK590" s="3" t="s">
        <v>393</v>
      </c>
      <c r="AL590" s="3" t="s">
        <v>288</v>
      </c>
      <c r="AM590" s="3" t="s">
        <v>247</v>
      </c>
      <c r="AN590" s="3" t="s">
        <v>244</v>
      </c>
      <c r="AO590" s="3" t="s">
        <v>181</v>
      </c>
      <c r="AP590" s="3" t="s">
        <v>244</v>
      </c>
      <c r="AQ590" s="3" t="s">
        <v>394</v>
      </c>
      <c r="AR590" s="3" t="s">
        <v>288</v>
      </c>
      <c r="AS590" s="3" t="s">
        <v>288</v>
      </c>
      <c r="AT590" s="3" t="s">
        <v>244</v>
      </c>
      <c r="AU590" s="3" t="s">
        <v>244</v>
      </c>
      <c r="AV590" s="3" t="s">
        <v>288</v>
      </c>
      <c r="AW590" s="3" t="s">
        <v>371</v>
      </c>
      <c r="AX590" s="3" t="s">
        <v>244</v>
      </c>
      <c r="AY590" s="3" t="s">
        <v>247</v>
      </c>
    </row>
    <row r="591" spans="1:52" ht="15.75" customHeight="1">
      <c r="A591" s="3">
        <v>465</v>
      </c>
      <c r="B591" s="5" t="str">
        <f t="shared" si="0"/>
        <v>http://roarmap.eprints.org/465/</v>
      </c>
      <c r="C591" s="3">
        <v>4</v>
      </c>
      <c r="D591" s="3" t="s">
        <v>98</v>
      </c>
      <c r="E591" s="3">
        <v>1</v>
      </c>
      <c r="F591" s="3" t="s">
        <v>2184</v>
      </c>
      <c r="G591" s="3">
        <v>41988.923993055556</v>
      </c>
      <c r="H591" s="3">
        <v>41988.924004629633</v>
      </c>
      <c r="I591" s="3">
        <v>41988.923993055556</v>
      </c>
      <c r="J591" s="3" t="s">
        <v>103</v>
      </c>
      <c r="K591" s="3" t="s">
        <v>105</v>
      </c>
      <c r="L591" s="3" t="s">
        <v>2185</v>
      </c>
      <c r="M591" s="3" t="s">
        <v>374</v>
      </c>
      <c r="N591" s="3" t="s">
        <v>2186</v>
      </c>
      <c r="O591" s="3" t="s">
        <v>2187</v>
      </c>
      <c r="P591" s="3" t="s">
        <v>215</v>
      </c>
      <c r="Q591" t="str">
        <f t="shared" si="38"/>
        <v>http://roarmap.eprints.org/view/country/840.html</v>
      </c>
      <c r="R591" s="3">
        <v>840</v>
      </c>
      <c r="S591" s="6" t="s">
        <v>359</v>
      </c>
      <c r="T591" s="9">
        <v>840</v>
      </c>
      <c r="U591" s="7" t="s">
        <v>2518</v>
      </c>
      <c r="V591" s="6" t="s">
        <v>66</v>
      </c>
      <c r="W591" s="3" t="s">
        <v>158</v>
      </c>
      <c r="X591" s="3" t="s">
        <v>160</v>
      </c>
      <c r="Y591" s="3" t="s">
        <v>2185</v>
      </c>
      <c r="Z591" s="8" t="str">
        <f>HYPERLINK("http://duke.edu/","http://duke.edu/")</f>
        <v>http://duke.edu/</v>
      </c>
      <c r="AA591" s="8" t="str">
        <f>HYPERLINK("http://provost.duke.edu/wp-content/uploads/FHB_App_P.pdf","http://provost.duke.edu/wp-content/uploads/FHB_App_P.pdf")</f>
        <v>http://provost.duke.edu/wp-content/uploads/FHB_App_P.pdf</v>
      </c>
      <c r="AB591" s="8" t="str">
        <f>HYPERLINK("http://dukespace.lib.duke.edu/dspace/","http://dukespace.lib.duke.edu/dspace/")</f>
        <v>http://dukespace.lib.duke.edu/dspace/</v>
      </c>
      <c r="AC591" s="3">
        <v>40255</v>
      </c>
      <c r="AF591" s="3" t="s">
        <v>478</v>
      </c>
      <c r="AG591" s="3" t="s">
        <v>178</v>
      </c>
      <c r="AH591" s="3" t="s">
        <v>180</v>
      </c>
      <c r="AI591" s="3" t="s">
        <v>392</v>
      </c>
      <c r="AJ591" s="3" t="s">
        <v>182</v>
      </c>
      <c r="AK591" s="3" t="s">
        <v>393</v>
      </c>
      <c r="AL591" s="3" t="s">
        <v>244</v>
      </c>
      <c r="AM591" s="3" t="s">
        <v>479</v>
      </c>
      <c r="AN591" s="3" t="s">
        <v>189</v>
      </c>
      <c r="AO591" s="3" t="s">
        <v>181</v>
      </c>
      <c r="AP591" s="3" t="s">
        <v>244</v>
      </c>
      <c r="AQ591" s="3" t="s">
        <v>394</v>
      </c>
      <c r="AR591" s="3" t="s">
        <v>288</v>
      </c>
      <c r="AS591" s="3" t="s">
        <v>189</v>
      </c>
      <c r="AT591" s="3" t="s">
        <v>244</v>
      </c>
      <c r="AU591" s="3" t="s">
        <v>244</v>
      </c>
      <c r="AV591" s="3" t="s">
        <v>288</v>
      </c>
      <c r="AW591" s="3" t="s">
        <v>371</v>
      </c>
      <c r="AX591" s="3" t="s">
        <v>244</v>
      </c>
      <c r="AY591" s="3" t="s">
        <v>428</v>
      </c>
      <c r="AZ591" s="8" t="str">
        <f>HYPERLINK("http://library.duke.edu/research/openaccess/cope","http://library.duke.edu/research/openaccess/cope")</f>
        <v>http://library.duke.edu/research/openaccess/cope</v>
      </c>
    </row>
    <row r="592" spans="1:52" ht="15.75" customHeight="1">
      <c r="A592" s="3">
        <v>466</v>
      </c>
      <c r="B592" s="5" t="str">
        <f t="shared" si="0"/>
        <v>http://roarmap.eprints.org/466/</v>
      </c>
      <c r="C592" s="3">
        <v>5</v>
      </c>
      <c r="D592" s="3" t="s">
        <v>98</v>
      </c>
      <c r="E592" s="3">
        <v>1</v>
      </c>
      <c r="F592" s="3" t="s">
        <v>2188</v>
      </c>
      <c r="G592" s="3">
        <v>41988.924004629633</v>
      </c>
      <c r="H592" s="3">
        <v>41988.924004629633</v>
      </c>
      <c r="I592" s="3">
        <v>41988.924004629633</v>
      </c>
      <c r="J592" s="3" t="s">
        <v>103</v>
      </c>
      <c r="K592" s="3" t="s">
        <v>105</v>
      </c>
      <c r="L592" s="3" t="s">
        <v>2189</v>
      </c>
      <c r="M592" s="3" t="s">
        <v>352</v>
      </c>
      <c r="N592" s="3" t="s">
        <v>2190</v>
      </c>
      <c r="O592" s="3" t="s">
        <v>2191</v>
      </c>
      <c r="P592" s="3" t="s">
        <v>215</v>
      </c>
      <c r="Q592" t="str">
        <f t="shared" si="38"/>
        <v>http://roarmap.eprints.org/view/country/840.html</v>
      </c>
      <c r="R592" s="3">
        <v>840</v>
      </c>
      <c r="S592" s="6" t="s">
        <v>359</v>
      </c>
      <c r="T592" s="9">
        <v>840</v>
      </c>
      <c r="U592" s="7" t="s">
        <v>2518</v>
      </c>
      <c r="V592" s="6" t="s">
        <v>66</v>
      </c>
      <c r="W592" s="3" t="s">
        <v>158</v>
      </c>
      <c r="X592" s="3" t="s">
        <v>160</v>
      </c>
      <c r="Y592" s="3" t="s">
        <v>2189</v>
      </c>
      <c r="Z592" s="8" t="str">
        <f>HYPERLINK("http://gradschool.duke.edu/","http://gradschool.duke.edu/")</f>
        <v>http://gradschool.duke.edu/</v>
      </c>
      <c r="AA592" s="8" t="str">
        <f>HYPERLINK("http://gradschool.duke.edu/sites/default/files/documents/ElectronicThesisDissGuide.pdf","http://gradschool.duke.edu/sites/default/files/documents/ElectronicThesisDissGuide.pdf")</f>
        <v>http://gradschool.duke.edu/sites/default/files/documents/ElectronicThesisDissGuide.pdf</v>
      </c>
      <c r="AB592" s="8" t="str">
        <f>HYPERLINK("http://dukespace.lib.duke.edu/dspace/handle/10161/1","http://dukespace.lib.duke.edu/dspace/handle/10161/1")</f>
        <v>http://dukespace.lib.duke.edu/dspace/handle/10161/1</v>
      </c>
      <c r="AC592" s="3">
        <v>2009</v>
      </c>
      <c r="AD592" s="3">
        <v>2009</v>
      </c>
      <c r="AE592" s="3">
        <v>2009</v>
      </c>
      <c r="AF592" s="3" t="s">
        <v>177</v>
      </c>
      <c r="AG592" s="3" t="s">
        <v>178</v>
      </c>
      <c r="AH592" s="3" t="s">
        <v>180</v>
      </c>
      <c r="AI592" s="3" t="s">
        <v>371</v>
      </c>
      <c r="AJ592" s="3" t="s">
        <v>385</v>
      </c>
      <c r="AK592" s="3" t="s">
        <v>371</v>
      </c>
      <c r="AL592" s="3" t="s">
        <v>185</v>
      </c>
      <c r="AM592" s="3" t="s">
        <v>178</v>
      </c>
      <c r="AN592" s="3" t="s">
        <v>185</v>
      </c>
      <c r="AO592" s="3" t="s">
        <v>378</v>
      </c>
      <c r="AP592" s="3" t="s">
        <v>244</v>
      </c>
      <c r="AQ592" s="3" t="s">
        <v>394</v>
      </c>
      <c r="AR592" s="3" t="s">
        <v>185</v>
      </c>
      <c r="AS592" s="3" t="s">
        <v>185</v>
      </c>
      <c r="AT592" s="3" t="s">
        <v>459</v>
      </c>
      <c r="AU592" s="3" t="s">
        <v>459</v>
      </c>
      <c r="AV592" s="3" t="s">
        <v>189</v>
      </c>
      <c r="AW592" s="3" t="s">
        <v>630</v>
      </c>
      <c r="AX592" s="3" t="s">
        <v>244</v>
      </c>
      <c r="AY592" s="3" t="s">
        <v>247</v>
      </c>
    </row>
    <row r="593" spans="1:52" ht="15.75" customHeight="1">
      <c r="A593" s="3">
        <v>467</v>
      </c>
      <c r="B593" s="5" t="str">
        <f t="shared" si="0"/>
        <v>http://roarmap.eprints.org/467/</v>
      </c>
      <c r="C593" s="3">
        <v>4</v>
      </c>
      <c r="D593" s="3" t="s">
        <v>98</v>
      </c>
      <c r="E593" s="3">
        <v>324</v>
      </c>
      <c r="F593" s="3" t="s">
        <v>2192</v>
      </c>
      <c r="G593" s="3">
        <v>41988.924004629633</v>
      </c>
      <c r="H593" s="3">
        <v>42046.981724537036</v>
      </c>
      <c r="I593" s="3">
        <v>41988.924004629633</v>
      </c>
      <c r="J593" s="3" t="s">
        <v>103</v>
      </c>
      <c r="K593" s="3" t="s">
        <v>105</v>
      </c>
      <c r="L593" s="3" t="s">
        <v>2193</v>
      </c>
      <c r="M593" s="3" t="s">
        <v>374</v>
      </c>
      <c r="N593" s="3" t="s">
        <v>2194</v>
      </c>
      <c r="P593" s="3" t="s">
        <v>215</v>
      </c>
      <c r="Q593" t="str">
        <f t="shared" si="38"/>
        <v>http://roarmap.eprints.org/view/country/840.html</v>
      </c>
      <c r="R593" s="3">
        <v>840</v>
      </c>
      <c r="S593" s="6" t="s">
        <v>359</v>
      </c>
      <c r="T593" s="9">
        <v>840</v>
      </c>
      <c r="U593" s="7" t="s">
        <v>2518</v>
      </c>
      <c r="V593" s="6" t="s">
        <v>66</v>
      </c>
      <c r="W593" s="3" t="s">
        <v>158</v>
      </c>
      <c r="X593" s="3" t="s">
        <v>160</v>
      </c>
      <c r="Y593" s="3" t="s">
        <v>2193</v>
      </c>
      <c r="Z593" s="8" t="str">
        <f>HYPERLINK("http://www.emory.edu","http://www.emory.edu")</f>
        <v>http://www.emory.edu</v>
      </c>
      <c r="AA593" s="8" t="str">
        <f>HYPERLINK("http://guides.main.library.emory.edu/content.php?pid=43389&amp;sid=2144393","http://guides.main.library.emory.edu/content.php?pid=43389&amp;sid=2144393")</f>
        <v>http://guides.main.library.emory.edu/content.php?pid=43389&amp;sid=2144393</v>
      </c>
      <c r="AB593" s="8" t="str">
        <f>HYPERLINK("https://open.library.emory.edu/","https://open.library.emory.edu/")</f>
        <v>https://open.library.emory.edu/</v>
      </c>
      <c r="AC593" s="3">
        <v>40617</v>
      </c>
      <c r="AF593" s="3" t="s">
        <v>478</v>
      </c>
      <c r="AG593" s="3" t="s">
        <v>333</v>
      </c>
      <c r="AH593" s="3" t="s">
        <v>180</v>
      </c>
      <c r="AI593" s="3" t="s">
        <v>244</v>
      </c>
      <c r="AJ593" s="3" t="s">
        <v>182</v>
      </c>
      <c r="AK593" s="3" t="s">
        <v>393</v>
      </c>
      <c r="AL593" s="3" t="s">
        <v>288</v>
      </c>
      <c r="AM593" s="3" t="s">
        <v>479</v>
      </c>
      <c r="AN593" s="3" t="s">
        <v>189</v>
      </c>
      <c r="AO593" s="3" t="s">
        <v>247</v>
      </c>
      <c r="AP593" s="3" t="s">
        <v>244</v>
      </c>
      <c r="AQ593" s="3" t="s">
        <v>394</v>
      </c>
      <c r="AR593" s="3" t="s">
        <v>288</v>
      </c>
      <c r="AS593" s="3" t="s">
        <v>189</v>
      </c>
      <c r="AT593" s="3" t="s">
        <v>244</v>
      </c>
      <c r="AU593" s="3" t="s">
        <v>244</v>
      </c>
      <c r="AV593" s="3" t="s">
        <v>288</v>
      </c>
      <c r="AW593" s="3" t="s">
        <v>371</v>
      </c>
      <c r="AX593" s="3" t="s">
        <v>442</v>
      </c>
      <c r="AY593" s="3" t="s">
        <v>428</v>
      </c>
      <c r="AZ593" s="8" t="str">
        <f>HYPERLINK("https://open.library.emory.edu/authors/oa-fund/","https://open.library.emory.edu/authors/oa-fund/")</f>
        <v>https://open.library.emory.edu/authors/oa-fund/</v>
      </c>
    </row>
    <row r="594" spans="1:52" ht="15.75" customHeight="1">
      <c r="A594" s="3">
        <v>468</v>
      </c>
      <c r="B594" s="5" t="str">
        <f t="shared" si="0"/>
        <v>http://roarmap.eprints.org/468/</v>
      </c>
      <c r="C594" s="3">
        <v>4</v>
      </c>
      <c r="D594" s="3" t="s">
        <v>98</v>
      </c>
      <c r="E594" s="3">
        <v>325</v>
      </c>
      <c r="F594" s="3" t="s">
        <v>2195</v>
      </c>
      <c r="G594" s="3">
        <v>41988.924004629633</v>
      </c>
      <c r="H594" s="3">
        <v>42046.981724537036</v>
      </c>
      <c r="I594" s="3">
        <v>41988.924004629633</v>
      </c>
      <c r="J594" s="3" t="s">
        <v>103</v>
      </c>
      <c r="K594" s="3" t="s">
        <v>105</v>
      </c>
      <c r="L594" s="3" t="s">
        <v>2196</v>
      </c>
      <c r="M594" s="3" t="s">
        <v>374</v>
      </c>
      <c r="N594" s="3" t="s">
        <v>2197</v>
      </c>
      <c r="O594" s="3" t="s">
        <v>2198</v>
      </c>
      <c r="P594" s="3" t="s">
        <v>215</v>
      </c>
      <c r="Q594" t="str">
        <f t="shared" si="38"/>
        <v>http://roarmap.eprints.org/view/country/840.html</v>
      </c>
      <c r="R594" s="3">
        <v>840</v>
      </c>
      <c r="S594" s="6" t="s">
        <v>359</v>
      </c>
      <c r="T594" s="9">
        <v>840</v>
      </c>
      <c r="U594" s="7" t="s">
        <v>2518</v>
      </c>
      <c r="V594" s="6" t="s">
        <v>66</v>
      </c>
      <c r="W594" s="3" t="s">
        <v>158</v>
      </c>
      <c r="X594" s="3" t="s">
        <v>160</v>
      </c>
      <c r="Y594" s="3" t="s">
        <v>2196</v>
      </c>
      <c r="Z594" s="8" t="str">
        <f>HYPERLINK("https://www.fsu.edu/","https://www.fsu.edu/")</f>
        <v>https://www.fsu.edu/</v>
      </c>
      <c r="AA594" s="8" t="str">
        <f>HYPERLINK("https://www.lib.fsu.edu/tads/open-access-policy","https://www.lib.fsu.edu/tads/open-access-policy")</f>
        <v>https://www.lib.fsu.edu/tads/open-access-policy</v>
      </c>
      <c r="AB594" s="8" t="str">
        <f>HYPERLINK("http://diginole.lib.fsu.edu/","http://diginole.lib.fsu.edu/")</f>
        <v>http://diginole.lib.fsu.edu/</v>
      </c>
      <c r="AC594" s="3">
        <v>40835</v>
      </c>
      <c r="AF594" s="3" t="s">
        <v>478</v>
      </c>
      <c r="AG594" s="3" t="s">
        <v>244</v>
      </c>
      <c r="AH594" s="3" t="s">
        <v>180</v>
      </c>
      <c r="AI594" s="3" t="s">
        <v>244</v>
      </c>
      <c r="AJ594" s="3" t="s">
        <v>244</v>
      </c>
      <c r="AK594" s="3" t="s">
        <v>244</v>
      </c>
      <c r="AL594" s="3" t="s">
        <v>244</v>
      </c>
      <c r="AM594" s="3" t="s">
        <v>247</v>
      </c>
      <c r="AN594" s="3" t="s">
        <v>244</v>
      </c>
      <c r="AO594" s="3" t="s">
        <v>247</v>
      </c>
      <c r="AP594" s="3" t="s">
        <v>244</v>
      </c>
      <c r="AQ594" s="3" t="s">
        <v>247</v>
      </c>
      <c r="AR594" s="3" t="s">
        <v>288</v>
      </c>
      <c r="AS594" s="3" t="s">
        <v>288</v>
      </c>
      <c r="AT594" s="3" t="s">
        <v>244</v>
      </c>
      <c r="AU594" s="3" t="s">
        <v>244</v>
      </c>
      <c r="AV594" s="3" t="s">
        <v>288</v>
      </c>
      <c r="AW594" s="3" t="s">
        <v>339</v>
      </c>
      <c r="AX594" s="3" t="s">
        <v>244</v>
      </c>
      <c r="AY594" s="3" t="s">
        <v>428</v>
      </c>
      <c r="AZ594" s="8" t="str">
        <f>HYPERLINK("https://www.lib.fsu.edu/tads/open-access-fund","https://www.lib.fsu.edu/tads/open-access-fund")</f>
        <v>https://www.lib.fsu.edu/tads/open-access-fund</v>
      </c>
    </row>
    <row r="595" spans="1:52" ht="15.75" customHeight="1">
      <c r="A595" s="3">
        <v>469</v>
      </c>
      <c r="B595" s="5" t="str">
        <f t="shared" si="0"/>
        <v>http://roarmap.eprints.org/469/</v>
      </c>
      <c r="C595" s="3">
        <v>5</v>
      </c>
      <c r="D595" s="3" t="s">
        <v>98</v>
      </c>
      <c r="E595" s="3">
        <v>1</v>
      </c>
      <c r="F595" s="3" t="s">
        <v>2199</v>
      </c>
      <c r="G595" s="3">
        <v>41988.924004629633</v>
      </c>
      <c r="H595" s="3">
        <v>41988.924004629633</v>
      </c>
      <c r="I595" s="3">
        <v>41988.924004629633</v>
      </c>
      <c r="J595" s="3" t="s">
        <v>103</v>
      </c>
      <c r="K595" s="3" t="s">
        <v>105</v>
      </c>
      <c r="L595" s="3" t="s">
        <v>2200</v>
      </c>
      <c r="M595" s="3" t="s">
        <v>374</v>
      </c>
      <c r="N595" s="3" t="s">
        <v>2201</v>
      </c>
      <c r="O595" s="3" t="s">
        <v>2202</v>
      </c>
      <c r="P595" s="3" t="s">
        <v>215</v>
      </c>
      <c r="Q595" t="str">
        <f t="shared" si="38"/>
        <v>http://roarmap.eprints.org/view/country/840.html</v>
      </c>
      <c r="R595" s="3">
        <v>840</v>
      </c>
      <c r="S595" s="6" t="s">
        <v>359</v>
      </c>
      <c r="T595" s="9">
        <v>840</v>
      </c>
      <c r="U595" s="7" t="s">
        <v>2518</v>
      </c>
      <c r="V595" s="6" t="s">
        <v>66</v>
      </c>
      <c r="W595" s="3" t="s">
        <v>158</v>
      </c>
      <c r="X595" s="3" t="s">
        <v>160</v>
      </c>
      <c r="Y595" s="3" t="s">
        <v>2200</v>
      </c>
      <c r="Z595" s="8" t="str">
        <f>HYPERLINK("http://www.gatech.edu/","http://www.gatech.edu/")</f>
        <v>http://www.gatech.edu/</v>
      </c>
      <c r="AA595" s="8" t="str">
        <f>HYPERLINK("http://www.policylibrary.gatech.edu/faculty-handbook/5.5-policy-open-access-faculty-publications","http://www.policylibrary.gatech.edu/faculty-handbook/5.5-policy-open-access-faculty-publications")</f>
        <v>http://www.policylibrary.gatech.edu/faculty-handbook/5.5-policy-open-access-faculty-publications</v>
      </c>
      <c r="AB595" s="8" t="str">
        <f>HYPERLINK("https://smartech.gatech.edu/","https://smartech.gatech.edu/")</f>
        <v>https://smartech.gatech.edu/</v>
      </c>
      <c r="AC595" s="3">
        <v>41240</v>
      </c>
      <c r="AD595" s="3">
        <v>41275</v>
      </c>
      <c r="AF595" s="3" t="s">
        <v>478</v>
      </c>
      <c r="AG595" s="3" t="s">
        <v>178</v>
      </c>
      <c r="AH595" s="3" t="s">
        <v>180</v>
      </c>
      <c r="AI595" s="3" t="s">
        <v>392</v>
      </c>
      <c r="AJ595" s="3" t="s">
        <v>182</v>
      </c>
      <c r="AK595" s="3" t="s">
        <v>393</v>
      </c>
      <c r="AL595" s="3" t="s">
        <v>189</v>
      </c>
      <c r="AM595" s="3" t="s">
        <v>178</v>
      </c>
      <c r="AN595" s="3" t="s">
        <v>189</v>
      </c>
      <c r="AO595" s="3" t="s">
        <v>378</v>
      </c>
      <c r="AP595" s="3" t="s">
        <v>185</v>
      </c>
      <c r="AQ595" s="3" t="s">
        <v>247</v>
      </c>
      <c r="AR595" s="3" t="s">
        <v>244</v>
      </c>
      <c r="AS595" s="3" t="s">
        <v>189</v>
      </c>
      <c r="AT595" s="3" t="s">
        <v>395</v>
      </c>
      <c r="AU595" s="3" t="s">
        <v>395</v>
      </c>
      <c r="AV595" s="3" t="s">
        <v>288</v>
      </c>
      <c r="AW595" s="3" t="s">
        <v>371</v>
      </c>
      <c r="AX595" s="3" t="s">
        <v>244</v>
      </c>
      <c r="AY595" s="3" t="s">
        <v>247</v>
      </c>
    </row>
    <row r="596" spans="1:52" ht="15.75" customHeight="1">
      <c r="A596" s="3">
        <v>470</v>
      </c>
      <c r="B596" s="5" t="str">
        <f t="shared" si="0"/>
        <v>http://roarmap.eprints.org/470/</v>
      </c>
      <c r="C596" s="3">
        <v>4</v>
      </c>
      <c r="D596" s="3" t="s">
        <v>98</v>
      </c>
      <c r="E596" s="3">
        <v>1</v>
      </c>
      <c r="F596" s="3" t="s">
        <v>2203</v>
      </c>
      <c r="G596" s="3">
        <v>41988.924004629633</v>
      </c>
      <c r="H596" s="3">
        <v>42115.454872685186</v>
      </c>
      <c r="I596" s="3">
        <v>41988.924004629633</v>
      </c>
      <c r="J596" s="3" t="s">
        <v>103</v>
      </c>
      <c r="K596" s="3" t="s">
        <v>105</v>
      </c>
      <c r="L596" s="3" t="s">
        <v>2204</v>
      </c>
      <c r="M596" s="3" t="s">
        <v>374</v>
      </c>
      <c r="N596" s="3" t="s">
        <v>2205</v>
      </c>
      <c r="P596" s="3" t="s">
        <v>215</v>
      </c>
      <c r="Q596" t="str">
        <f t="shared" si="38"/>
        <v>http://roarmap.eprints.org/view/country/840.html</v>
      </c>
      <c r="R596" s="3">
        <v>840</v>
      </c>
      <c r="S596" s="6" t="s">
        <v>359</v>
      </c>
      <c r="T596" s="9">
        <v>840</v>
      </c>
      <c r="U596" s="7" t="s">
        <v>2518</v>
      </c>
      <c r="V596" s="6" t="s">
        <v>66</v>
      </c>
      <c r="W596" s="3" t="s">
        <v>158</v>
      </c>
      <c r="X596" s="3" t="s">
        <v>384</v>
      </c>
      <c r="Y596" s="3" t="s">
        <v>2204</v>
      </c>
      <c r="Z596" s="8" t="str">
        <f>HYPERLINK("https://gustavus.edu/library/","https://gustavus.edu/library/")</f>
        <v>https://gustavus.edu/library/</v>
      </c>
      <c r="AA596" s="8" t="str">
        <f>HYPERLINK("https://gustavus.edu/library/Pubs/OApledge.html","https://gustavus.edu/library/Pubs/OApledge.html")</f>
        <v>https://gustavus.edu/library/Pubs/OApledge.html</v>
      </c>
      <c r="AB596" s="8" t="str">
        <f>HYPERLINK("http://archives.gac.edu/cdm/landingpage/collection/ir","http://archives.gac.edu/cdm/landingpage/collection/ir")</f>
        <v>http://archives.gac.edu/cdm/landingpage/collection/ir</v>
      </c>
      <c r="AG596" s="3" t="s">
        <v>244</v>
      </c>
      <c r="AH596" s="3" t="s">
        <v>244</v>
      </c>
      <c r="AI596" s="3" t="s">
        <v>244</v>
      </c>
      <c r="AJ596" s="3" t="s">
        <v>244</v>
      </c>
      <c r="AK596" s="3" t="s">
        <v>244</v>
      </c>
      <c r="AL596" s="3" t="s">
        <v>244</v>
      </c>
      <c r="AM596" s="3" t="s">
        <v>247</v>
      </c>
      <c r="AN596" s="3" t="s">
        <v>244</v>
      </c>
      <c r="AO596" s="3" t="s">
        <v>247</v>
      </c>
      <c r="AP596" s="3" t="s">
        <v>244</v>
      </c>
      <c r="AQ596" s="3" t="s">
        <v>247</v>
      </c>
      <c r="AR596" s="3" t="s">
        <v>288</v>
      </c>
      <c r="AS596" s="3" t="s">
        <v>244</v>
      </c>
      <c r="AT596" s="3" t="s">
        <v>244</v>
      </c>
      <c r="AU596" s="3" t="s">
        <v>244</v>
      </c>
      <c r="AV596" s="3" t="s">
        <v>288</v>
      </c>
      <c r="AW596" s="3" t="s">
        <v>244</v>
      </c>
      <c r="AX596" s="3" t="s">
        <v>244</v>
      </c>
      <c r="AY596" s="3" t="s">
        <v>247</v>
      </c>
    </row>
    <row r="597" spans="1:52" ht="15.75" customHeight="1">
      <c r="A597" s="3">
        <v>471</v>
      </c>
      <c r="B597" s="5" t="str">
        <f t="shared" si="0"/>
        <v>http://roarmap.eprints.org/471/</v>
      </c>
      <c r="C597" s="3">
        <v>3</v>
      </c>
      <c r="D597" s="3" t="s">
        <v>98</v>
      </c>
      <c r="E597" s="3">
        <v>1</v>
      </c>
      <c r="F597" s="3" t="s">
        <v>2206</v>
      </c>
      <c r="G597" s="3">
        <v>41988.924004629633</v>
      </c>
      <c r="H597" s="3">
        <v>41988.924004629633</v>
      </c>
      <c r="I597" s="3">
        <v>41988.924004629633</v>
      </c>
      <c r="J597" s="3" t="s">
        <v>103</v>
      </c>
      <c r="K597" s="3" t="s">
        <v>105</v>
      </c>
      <c r="L597" s="3" t="s">
        <v>2207</v>
      </c>
      <c r="M597" s="3" t="s">
        <v>374</v>
      </c>
      <c r="N597" s="3" t="s">
        <v>2208</v>
      </c>
      <c r="P597" s="3" t="s">
        <v>215</v>
      </c>
      <c r="Q597" t="str">
        <f t="shared" si="38"/>
        <v>http://roarmap.eprints.org/view/country/840.html</v>
      </c>
      <c r="R597" s="3">
        <v>840</v>
      </c>
      <c r="S597" s="6" t="s">
        <v>359</v>
      </c>
      <c r="T597" s="9">
        <v>840</v>
      </c>
      <c r="U597" s="7" t="s">
        <v>2518</v>
      </c>
      <c r="V597" s="6" t="s">
        <v>66</v>
      </c>
      <c r="W597" s="3" t="s">
        <v>158</v>
      </c>
      <c r="X597" s="3" t="s">
        <v>160</v>
      </c>
      <c r="Y597" s="3" t="s">
        <v>2207</v>
      </c>
      <c r="Z597" s="8" t="str">
        <f>HYPERLINK("http://www.hbs.edu/Pages/default.aspx","http://www.hbs.edu/Pages/default.aspx")</f>
        <v>http://www.hbs.edu/Pages/default.aspx</v>
      </c>
      <c r="AA597" s="8" t="str">
        <f>HYPERLINK("https://osc.hul.harvard.edu/hbspolicy","https://osc.hul.harvard.edu/hbspolicy")</f>
        <v>https://osc.hul.harvard.edu/hbspolicy</v>
      </c>
      <c r="AB597" s="8" t="str">
        <f t="shared" ref="AB597:AB604" si="41">HYPERLINK("http://dash.harvard.edu/","http://dash.harvard.edu/")</f>
        <v>http://dash.harvard.edu/</v>
      </c>
      <c r="AC597" s="3">
        <v>40221</v>
      </c>
      <c r="AF597" s="3" t="s">
        <v>478</v>
      </c>
      <c r="AG597" s="3" t="s">
        <v>178</v>
      </c>
      <c r="AH597" s="3" t="s">
        <v>180</v>
      </c>
      <c r="AI597" s="3" t="s">
        <v>392</v>
      </c>
      <c r="AJ597" s="3" t="s">
        <v>182</v>
      </c>
      <c r="AK597" s="3" t="s">
        <v>393</v>
      </c>
      <c r="AL597" s="3" t="s">
        <v>185</v>
      </c>
      <c r="AM597" s="3" t="s">
        <v>178</v>
      </c>
      <c r="AN597" s="3" t="s">
        <v>189</v>
      </c>
      <c r="AO597" s="3" t="s">
        <v>247</v>
      </c>
      <c r="AP597" s="3" t="s">
        <v>244</v>
      </c>
      <c r="AQ597" s="3" t="s">
        <v>648</v>
      </c>
      <c r="AR597" s="3" t="s">
        <v>189</v>
      </c>
      <c r="AS597" s="3" t="s">
        <v>189</v>
      </c>
      <c r="AT597" s="3" t="s">
        <v>244</v>
      </c>
      <c r="AU597" s="3" t="s">
        <v>244</v>
      </c>
      <c r="AV597" s="3" t="s">
        <v>288</v>
      </c>
      <c r="AW597" s="3" t="s">
        <v>371</v>
      </c>
      <c r="AX597" s="3" t="s">
        <v>442</v>
      </c>
      <c r="AY597" s="3" t="s">
        <v>428</v>
      </c>
      <c r="AZ597" s="8" t="str">
        <f t="shared" ref="AZ597:AZ606" si="42">HYPERLINK("https://osc.hul.harvard.edu/hope","https://osc.hul.harvard.edu/hope")</f>
        <v>https://osc.hul.harvard.edu/hope</v>
      </c>
    </row>
    <row r="598" spans="1:52" ht="15.75" customHeight="1">
      <c r="A598" s="3">
        <v>472</v>
      </c>
      <c r="B598" s="5" t="str">
        <f t="shared" si="0"/>
        <v>http://roarmap.eprints.org/472/</v>
      </c>
      <c r="C598" s="3">
        <v>3</v>
      </c>
      <c r="D598" s="3" t="s">
        <v>98</v>
      </c>
      <c r="E598" s="3">
        <v>1</v>
      </c>
      <c r="F598" s="3" t="s">
        <v>2209</v>
      </c>
      <c r="G598" s="3">
        <v>41988.924004629633</v>
      </c>
      <c r="H598" s="3">
        <v>41988.924004629633</v>
      </c>
      <c r="I598" s="3">
        <v>41988.924004629633</v>
      </c>
      <c r="J598" s="3" t="s">
        <v>103</v>
      </c>
      <c r="K598" s="3" t="s">
        <v>105</v>
      </c>
      <c r="L598" s="3" t="s">
        <v>2210</v>
      </c>
      <c r="M598" s="3" t="s">
        <v>374</v>
      </c>
      <c r="N598" s="3" t="s">
        <v>2208</v>
      </c>
      <c r="P598" s="3" t="s">
        <v>215</v>
      </c>
      <c r="Q598" t="str">
        <f t="shared" si="38"/>
        <v>http://roarmap.eprints.org/view/country/840.html</v>
      </c>
      <c r="R598" s="3">
        <v>840</v>
      </c>
      <c r="S598" s="6" t="s">
        <v>359</v>
      </c>
      <c r="T598" s="9">
        <v>840</v>
      </c>
      <c r="U598" s="7" t="s">
        <v>2518</v>
      </c>
      <c r="V598" s="6" t="s">
        <v>66</v>
      </c>
      <c r="W598" s="3" t="s">
        <v>158</v>
      </c>
      <c r="X598" s="3" t="s">
        <v>160</v>
      </c>
      <c r="Y598" s="3" t="s">
        <v>2210</v>
      </c>
      <c r="Z598" s="8" t="str">
        <f>HYPERLINK("http://hds.harvard.edu/","http://hds.harvard.edu/")</f>
        <v>http://hds.harvard.edu/</v>
      </c>
      <c r="AA598" s="8" t="str">
        <f>HYPERLINK("https://osc.hul.harvard.edu/hdspolicy","https://osc.hul.harvard.edu/hdspolicy")</f>
        <v>https://osc.hul.harvard.edu/hdspolicy</v>
      </c>
      <c r="AB598" s="8" t="str">
        <f t="shared" si="41"/>
        <v>http://dash.harvard.edu/</v>
      </c>
      <c r="AC598" s="3">
        <v>40497</v>
      </c>
      <c r="AF598" s="3" t="s">
        <v>478</v>
      </c>
      <c r="AG598" s="3" t="s">
        <v>178</v>
      </c>
      <c r="AH598" s="3" t="s">
        <v>180</v>
      </c>
      <c r="AI598" s="3" t="s">
        <v>392</v>
      </c>
      <c r="AJ598" s="3" t="s">
        <v>182</v>
      </c>
      <c r="AK598" s="3" t="s">
        <v>393</v>
      </c>
      <c r="AL598" s="3" t="s">
        <v>185</v>
      </c>
      <c r="AM598" s="3" t="s">
        <v>178</v>
      </c>
      <c r="AN598" s="3" t="s">
        <v>189</v>
      </c>
      <c r="AO598" s="3" t="s">
        <v>247</v>
      </c>
      <c r="AP598" s="3" t="s">
        <v>244</v>
      </c>
      <c r="AQ598" s="3" t="s">
        <v>648</v>
      </c>
      <c r="AR598" s="3" t="s">
        <v>189</v>
      </c>
      <c r="AS598" s="3" t="s">
        <v>189</v>
      </c>
      <c r="AT598" s="3" t="s">
        <v>244</v>
      </c>
      <c r="AU598" s="3" t="s">
        <v>244</v>
      </c>
      <c r="AV598" s="3" t="s">
        <v>288</v>
      </c>
      <c r="AW598" s="3" t="s">
        <v>371</v>
      </c>
      <c r="AX598" s="3" t="s">
        <v>442</v>
      </c>
      <c r="AY598" s="3" t="s">
        <v>428</v>
      </c>
      <c r="AZ598" s="8" t="str">
        <f t="shared" si="42"/>
        <v>https://osc.hul.harvard.edu/hope</v>
      </c>
    </row>
    <row r="599" spans="1:52" ht="15.75" customHeight="1">
      <c r="A599" s="3">
        <v>473</v>
      </c>
      <c r="B599" s="5" t="str">
        <f t="shared" si="0"/>
        <v>http://roarmap.eprints.org/473/</v>
      </c>
      <c r="C599" s="3">
        <v>3</v>
      </c>
      <c r="D599" s="3" t="s">
        <v>98</v>
      </c>
      <c r="E599" s="3">
        <v>1</v>
      </c>
      <c r="F599" s="3" t="s">
        <v>2211</v>
      </c>
      <c r="G599" s="3">
        <v>41988.924004629633</v>
      </c>
      <c r="H599" s="3">
        <v>41988.924004629633</v>
      </c>
      <c r="I599" s="3">
        <v>41988.924004629633</v>
      </c>
      <c r="J599" s="3" t="s">
        <v>103</v>
      </c>
      <c r="K599" s="3" t="s">
        <v>105</v>
      </c>
      <c r="L599" s="3" t="s">
        <v>2212</v>
      </c>
      <c r="M599" s="3" t="s">
        <v>374</v>
      </c>
      <c r="N599" s="3" t="s">
        <v>2208</v>
      </c>
      <c r="P599" s="3" t="s">
        <v>215</v>
      </c>
      <c r="Q599" t="str">
        <f t="shared" si="38"/>
        <v>http://roarmap.eprints.org/view/country/840.html</v>
      </c>
      <c r="R599" s="3">
        <v>840</v>
      </c>
      <c r="S599" s="6" t="s">
        <v>359</v>
      </c>
      <c r="T599" s="9">
        <v>840</v>
      </c>
      <c r="U599" s="7" t="s">
        <v>2518</v>
      </c>
      <c r="V599" s="6" t="s">
        <v>66</v>
      </c>
      <c r="W599" s="3" t="s">
        <v>158</v>
      </c>
      <c r="X599" s="3" t="s">
        <v>160</v>
      </c>
      <c r="Y599" s="3" t="s">
        <v>2212</v>
      </c>
      <c r="Z599" s="8" t="str">
        <f>HYPERLINK("http://www.law.harvard.edu/","http://www.law.harvard.edu/")</f>
        <v>http://www.law.harvard.edu/</v>
      </c>
      <c r="AA599" s="8" t="str">
        <f>HYPERLINK("https://osc.hul.harvard.edu/hlspolicy","https://osc.hul.harvard.edu/hlspolicy")</f>
        <v>https://osc.hul.harvard.edu/hlspolicy</v>
      </c>
      <c r="AB599" s="8" t="str">
        <f t="shared" si="41"/>
        <v>http://dash.harvard.edu/</v>
      </c>
      <c r="AC599" s="3">
        <v>39569</v>
      </c>
      <c r="AF599" s="3" t="s">
        <v>478</v>
      </c>
      <c r="AG599" s="3" t="s">
        <v>178</v>
      </c>
      <c r="AH599" s="3" t="s">
        <v>180</v>
      </c>
      <c r="AI599" s="3" t="s">
        <v>392</v>
      </c>
      <c r="AJ599" s="3" t="s">
        <v>182</v>
      </c>
      <c r="AK599" s="3" t="s">
        <v>393</v>
      </c>
      <c r="AL599" s="3" t="s">
        <v>185</v>
      </c>
      <c r="AM599" s="3" t="s">
        <v>178</v>
      </c>
      <c r="AN599" s="3" t="s">
        <v>189</v>
      </c>
      <c r="AO599" s="3" t="s">
        <v>247</v>
      </c>
      <c r="AP599" s="3" t="s">
        <v>244</v>
      </c>
      <c r="AQ599" s="3" t="s">
        <v>648</v>
      </c>
      <c r="AR599" s="3" t="s">
        <v>189</v>
      </c>
      <c r="AS599" s="3" t="s">
        <v>189</v>
      </c>
      <c r="AT599" s="3" t="s">
        <v>244</v>
      </c>
      <c r="AU599" s="3" t="s">
        <v>244</v>
      </c>
      <c r="AV599" s="3" t="s">
        <v>288</v>
      </c>
      <c r="AW599" s="3" t="s">
        <v>371</v>
      </c>
      <c r="AX599" s="3" t="s">
        <v>442</v>
      </c>
      <c r="AY599" s="3" t="s">
        <v>428</v>
      </c>
      <c r="AZ599" s="8" t="str">
        <f t="shared" si="42"/>
        <v>https://osc.hul.harvard.edu/hope</v>
      </c>
    </row>
    <row r="600" spans="1:52" ht="15.75" customHeight="1">
      <c r="A600" s="3">
        <v>474</v>
      </c>
      <c r="B600" s="5" t="str">
        <f t="shared" si="0"/>
        <v>http://roarmap.eprints.org/474/</v>
      </c>
      <c r="C600" s="3">
        <v>3</v>
      </c>
      <c r="D600" s="3" t="s">
        <v>98</v>
      </c>
      <c r="E600" s="3">
        <v>1</v>
      </c>
      <c r="F600" s="3" t="s">
        <v>2213</v>
      </c>
      <c r="G600" s="3">
        <v>41988.924004629633</v>
      </c>
      <c r="H600" s="3">
        <v>41988.924004629633</v>
      </c>
      <c r="I600" s="3">
        <v>41988.924004629633</v>
      </c>
      <c r="J600" s="3" t="s">
        <v>103</v>
      </c>
      <c r="K600" s="3" t="s">
        <v>105</v>
      </c>
      <c r="L600" s="3" t="s">
        <v>2214</v>
      </c>
      <c r="M600" s="3" t="s">
        <v>374</v>
      </c>
      <c r="N600" s="3" t="s">
        <v>2208</v>
      </c>
      <c r="P600" s="3" t="s">
        <v>215</v>
      </c>
      <c r="Q600" t="str">
        <f t="shared" si="38"/>
        <v>http://roarmap.eprints.org/view/country/840.html</v>
      </c>
      <c r="R600" s="3">
        <v>840</v>
      </c>
      <c r="S600" s="6" t="s">
        <v>359</v>
      </c>
      <c r="T600" s="9">
        <v>840</v>
      </c>
      <c r="U600" s="7" t="s">
        <v>2518</v>
      </c>
      <c r="V600" s="6" t="s">
        <v>66</v>
      </c>
      <c r="W600" s="3" t="s">
        <v>158</v>
      </c>
      <c r="X600" s="3" t="s">
        <v>160</v>
      </c>
      <c r="Y600" s="3" t="s">
        <v>2214</v>
      </c>
      <c r="Z600" s="8" t="str">
        <f>HYPERLINK("http://www.hsph.harvard.edu/","http://www.hsph.harvard.edu/")</f>
        <v>http://www.hsph.harvard.edu/</v>
      </c>
      <c r="AA600" s="8" t="str">
        <f>HYPERLINK("https://osc.hul.harvard.edu/hsphpolicy","https://osc.hul.harvard.edu/hsphpolicy")</f>
        <v>https://osc.hul.harvard.edu/hsphpolicy</v>
      </c>
      <c r="AB600" s="8" t="str">
        <f t="shared" si="41"/>
        <v>http://dash.harvard.edu/</v>
      </c>
      <c r="AC600" s="3">
        <v>41239</v>
      </c>
      <c r="AF600" s="3" t="s">
        <v>478</v>
      </c>
      <c r="AG600" s="3" t="s">
        <v>178</v>
      </c>
      <c r="AH600" s="3" t="s">
        <v>180</v>
      </c>
      <c r="AI600" s="3" t="s">
        <v>392</v>
      </c>
      <c r="AJ600" s="3" t="s">
        <v>182</v>
      </c>
      <c r="AK600" s="3" t="s">
        <v>393</v>
      </c>
      <c r="AL600" s="3" t="s">
        <v>185</v>
      </c>
      <c r="AM600" s="3" t="s">
        <v>178</v>
      </c>
      <c r="AN600" s="3" t="s">
        <v>189</v>
      </c>
      <c r="AO600" s="3" t="s">
        <v>247</v>
      </c>
      <c r="AP600" s="3" t="s">
        <v>244</v>
      </c>
      <c r="AQ600" s="3" t="s">
        <v>648</v>
      </c>
      <c r="AR600" s="3" t="s">
        <v>189</v>
      </c>
      <c r="AS600" s="3" t="s">
        <v>189</v>
      </c>
      <c r="AT600" s="3" t="s">
        <v>244</v>
      </c>
      <c r="AU600" s="3" t="s">
        <v>244</v>
      </c>
      <c r="AV600" s="3" t="s">
        <v>288</v>
      </c>
      <c r="AW600" s="3" t="s">
        <v>371</v>
      </c>
      <c r="AX600" s="3" t="s">
        <v>442</v>
      </c>
      <c r="AY600" s="3" t="s">
        <v>428</v>
      </c>
      <c r="AZ600" s="8" t="str">
        <f t="shared" si="42"/>
        <v>https://osc.hul.harvard.edu/hope</v>
      </c>
    </row>
    <row r="601" spans="1:52" ht="15.75" customHeight="1">
      <c r="A601" s="3">
        <v>477</v>
      </c>
      <c r="B601" s="5" t="str">
        <f t="shared" si="0"/>
        <v>http://roarmap.eprints.org/477/</v>
      </c>
      <c r="C601" s="3">
        <v>3</v>
      </c>
      <c r="D601" s="3" t="s">
        <v>98</v>
      </c>
      <c r="E601" s="3">
        <v>1</v>
      </c>
      <c r="F601" s="3" t="s">
        <v>2215</v>
      </c>
      <c r="G601" s="3">
        <v>41988.924016203702</v>
      </c>
      <c r="H601" s="3">
        <v>41988.924016203702</v>
      </c>
      <c r="I601" s="3">
        <v>41988.924016203702</v>
      </c>
      <c r="J601" s="3" t="s">
        <v>103</v>
      </c>
      <c r="K601" s="3" t="s">
        <v>105</v>
      </c>
      <c r="L601" s="3" t="s">
        <v>2216</v>
      </c>
      <c r="M601" s="3" t="s">
        <v>374</v>
      </c>
      <c r="N601" s="3" t="s">
        <v>2208</v>
      </c>
      <c r="P601" s="3" t="s">
        <v>215</v>
      </c>
      <c r="Q601" t="str">
        <f t="shared" si="38"/>
        <v>http://roarmap.eprints.org/view/country/840.html</v>
      </c>
      <c r="R601" s="3">
        <v>840</v>
      </c>
      <c r="S601" s="6" t="s">
        <v>359</v>
      </c>
      <c r="T601" s="9">
        <v>840</v>
      </c>
      <c r="U601" s="7" t="s">
        <v>2518</v>
      </c>
      <c r="V601" s="6" t="s">
        <v>66</v>
      </c>
      <c r="W601" s="3" t="s">
        <v>158</v>
      </c>
      <c r="X601" s="3" t="s">
        <v>160</v>
      </c>
      <c r="Y601" s="3" t="s">
        <v>2216</v>
      </c>
      <c r="Z601" s="8" t="str">
        <f>HYPERLINK("http://www.fas.harvard.edu/","http://www.fas.harvard.edu/")</f>
        <v>http://www.fas.harvard.edu/</v>
      </c>
      <c r="AA601" s="8" t="str">
        <f>HYPERLINK("https://osc.hul.harvard.edu/hfaspolicy","https://osc.hul.harvard.edu/hfaspolicy")</f>
        <v>https://osc.hul.harvard.edu/hfaspolicy</v>
      </c>
      <c r="AB601" s="8" t="str">
        <f t="shared" si="41"/>
        <v>http://dash.harvard.edu/</v>
      </c>
      <c r="AC601" s="3">
        <v>39490</v>
      </c>
      <c r="AF601" s="3" t="s">
        <v>478</v>
      </c>
      <c r="AG601" s="3" t="s">
        <v>178</v>
      </c>
      <c r="AH601" s="3" t="s">
        <v>180</v>
      </c>
      <c r="AI601" s="3" t="s">
        <v>392</v>
      </c>
      <c r="AJ601" s="3" t="s">
        <v>182</v>
      </c>
      <c r="AK601" s="3" t="s">
        <v>393</v>
      </c>
      <c r="AL601" s="3" t="s">
        <v>185</v>
      </c>
      <c r="AM601" s="3" t="s">
        <v>178</v>
      </c>
      <c r="AN601" s="3" t="s">
        <v>189</v>
      </c>
      <c r="AO601" s="3" t="s">
        <v>247</v>
      </c>
      <c r="AP601" s="3" t="s">
        <v>244</v>
      </c>
      <c r="AQ601" s="3" t="s">
        <v>648</v>
      </c>
      <c r="AR601" s="3" t="s">
        <v>189</v>
      </c>
      <c r="AS601" s="3" t="s">
        <v>189</v>
      </c>
      <c r="AT601" s="3" t="s">
        <v>244</v>
      </c>
      <c r="AU601" s="3" t="s">
        <v>244</v>
      </c>
      <c r="AV601" s="3" t="s">
        <v>288</v>
      </c>
      <c r="AW601" s="3" t="s">
        <v>371</v>
      </c>
      <c r="AX601" s="3" t="s">
        <v>442</v>
      </c>
      <c r="AY601" s="3" t="s">
        <v>428</v>
      </c>
      <c r="AZ601" s="8" t="str">
        <f t="shared" si="42"/>
        <v>https://osc.hul.harvard.edu/hope</v>
      </c>
    </row>
    <row r="602" spans="1:52" ht="15.75" customHeight="1">
      <c r="A602" s="3">
        <v>475</v>
      </c>
      <c r="B602" s="5" t="str">
        <f t="shared" si="0"/>
        <v>http://roarmap.eprints.org/475/</v>
      </c>
      <c r="C602" s="3">
        <v>3</v>
      </c>
      <c r="D602" s="3" t="s">
        <v>98</v>
      </c>
      <c r="E602" s="3">
        <v>1</v>
      </c>
      <c r="F602" s="3" t="s">
        <v>2217</v>
      </c>
      <c r="G602" s="3">
        <v>41988.924016203702</v>
      </c>
      <c r="H602" s="3">
        <v>41988.924016203702</v>
      </c>
      <c r="I602" s="3">
        <v>41988.924016203702</v>
      </c>
      <c r="J602" s="3" t="s">
        <v>103</v>
      </c>
      <c r="K602" s="3" t="s">
        <v>105</v>
      </c>
      <c r="L602" s="3" t="s">
        <v>2218</v>
      </c>
      <c r="M602" s="3" t="s">
        <v>374</v>
      </c>
      <c r="N602" s="3" t="s">
        <v>2208</v>
      </c>
      <c r="P602" s="3" t="s">
        <v>215</v>
      </c>
      <c r="Q602" t="str">
        <f t="shared" si="38"/>
        <v>http://roarmap.eprints.org/view/country/840.html</v>
      </c>
      <c r="R602" s="3">
        <v>840</v>
      </c>
      <c r="S602" s="6" t="s">
        <v>359</v>
      </c>
      <c r="T602" s="9">
        <v>840</v>
      </c>
      <c r="U602" s="7" t="s">
        <v>2518</v>
      </c>
      <c r="V602" s="6" t="s">
        <v>66</v>
      </c>
      <c r="W602" s="3" t="s">
        <v>158</v>
      </c>
      <c r="X602" s="3" t="s">
        <v>160</v>
      </c>
      <c r="Y602" s="3" t="s">
        <v>2218</v>
      </c>
      <c r="Z602" s="8" t="str">
        <f>HYPERLINK("http://www.gsd.harvard.edu/","http://www.gsd.harvard.edu/")</f>
        <v>http://www.gsd.harvard.edu/</v>
      </c>
      <c r="AA602" s="8" t="str">
        <f>HYPERLINK("https://osc.hul.harvard.edu/hgsdpolicy","https://osc.hul.harvard.edu/hgsdpolicy")</f>
        <v>https://osc.hul.harvard.edu/hgsdpolicy</v>
      </c>
      <c r="AB602" s="8" t="str">
        <f t="shared" si="41"/>
        <v>http://dash.harvard.edu/</v>
      </c>
      <c r="AC602" s="3">
        <v>40632</v>
      </c>
      <c r="AF602" s="3" t="s">
        <v>478</v>
      </c>
      <c r="AG602" s="3" t="s">
        <v>178</v>
      </c>
      <c r="AH602" s="3" t="s">
        <v>180</v>
      </c>
      <c r="AI602" s="3" t="s">
        <v>392</v>
      </c>
      <c r="AJ602" s="3" t="s">
        <v>182</v>
      </c>
      <c r="AK602" s="3" t="s">
        <v>393</v>
      </c>
      <c r="AL602" s="3" t="s">
        <v>185</v>
      </c>
      <c r="AM602" s="3" t="s">
        <v>178</v>
      </c>
      <c r="AN602" s="3" t="s">
        <v>189</v>
      </c>
      <c r="AO602" s="3" t="s">
        <v>247</v>
      </c>
      <c r="AP602" s="3" t="s">
        <v>244</v>
      </c>
      <c r="AQ602" s="3" t="s">
        <v>648</v>
      </c>
      <c r="AR602" s="3" t="s">
        <v>189</v>
      </c>
      <c r="AS602" s="3" t="s">
        <v>189</v>
      </c>
      <c r="AT602" s="3" t="s">
        <v>244</v>
      </c>
      <c r="AU602" s="3" t="s">
        <v>244</v>
      </c>
      <c r="AV602" s="3" t="s">
        <v>288</v>
      </c>
      <c r="AW602" s="3" t="s">
        <v>371</v>
      </c>
      <c r="AX602" s="3" t="s">
        <v>442</v>
      </c>
      <c r="AY602" s="3" t="s">
        <v>428</v>
      </c>
      <c r="AZ602" s="8" t="str">
        <f t="shared" si="42"/>
        <v>https://osc.hul.harvard.edu/hope</v>
      </c>
    </row>
    <row r="603" spans="1:52" ht="15.75" customHeight="1">
      <c r="A603" s="3">
        <v>476</v>
      </c>
      <c r="B603" s="5" t="str">
        <f t="shared" si="0"/>
        <v>http://roarmap.eprints.org/476/</v>
      </c>
      <c r="C603" s="3">
        <v>3</v>
      </c>
      <c r="D603" s="3" t="s">
        <v>98</v>
      </c>
      <c r="E603" s="3">
        <v>1</v>
      </c>
      <c r="F603" s="3" t="s">
        <v>2219</v>
      </c>
      <c r="G603" s="3">
        <v>41988.924016203702</v>
      </c>
      <c r="H603" s="3">
        <v>41988.924016203702</v>
      </c>
      <c r="I603" s="3">
        <v>41988.924016203702</v>
      </c>
      <c r="J603" s="3" t="s">
        <v>103</v>
      </c>
      <c r="K603" s="3" t="s">
        <v>105</v>
      </c>
      <c r="L603" s="3" t="s">
        <v>2220</v>
      </c>
      <c r="M603" s="3" t="s">
        <v>374</v>
      </c>
      <c r="N603" s="3" t="s">
        <v>2208</v>
      </c>
      <c r="P603" s="3" t="s">
        <v>215</v>
      </c>
      <c r="Q603" t="str">
        <f t="shared" si="38"/>
        <v>http://roarmap.eprints.org/view/country/840.html</v>
      </c>
      <c r="R603" s="3">
        <v>840</v>
      </c>
      <c r="S603" s="6" t="s">
        <v>359</v>
      </c>
      <c r="T603" s="9">
        <v>840</v>
      </c>
      <c r="U603" s="7" t="s">
        <v>2518</v>
      </c>
      <c r="V603" s="6" t="s">
        <v>66</v>
      </c>
      <c r="W603" s="3" t="s">
        <v>158</v>
      </c>
      <c r="X603" s="3" t="s">
        <v>160</v>
      </c>
      <c r="Y603" s="3" t="s">
        <v>2220</v>
      </c>
      <c r="Z603" s="8" t="str">
        <f>HYPERLINK("http://www.gse.harvard.edu/","http://www.gse.harvard.edu/")</f>
        <v>http://www.gse.harvard.edu/</v>
      </c>
      <c r="AA603" s="8" t="str">
        <f>HYPERLINK("https://osc.hul.harvard.edu/hgsepolicy","https://osc.hul.harvard.edu/hgsepolicy")</f>
        <v>https://osc.hul.harvard.edu/hgsepolicy</v>
      </c>
      <c r="AB603" s="8" t="str">
        <f t="shared" si="41"/>
        <v>http://dash.harvard.edu/</v>
      </c>
      <c r="AC603" s="3">
        <v>39965</v>
      </c>
      <c r="AF603" s="3" t="s">
        <v>478</v>
      </c>
      <c r="AG603" s="3" t="s">
        <v>178</v>
      </c>
      <c r="AH603" s="3" t="s">
        <v>180</v>
      </c>
      <c r="AI603" s="3" t="s">
        <v>392</v>
      </c>
      <c r="AJ603" s="3" t="s">
        <v>182</v>
      </c>
      <c r="AK603" s="3" t="s">
        <v>393</v>
      </c>
      <c r="AL603" s="3" t="s">
        <v>185</v>
      </c>
      <c r="AM603" s="3" t="s">
        <v>178</v>
      </c>
      <c r="AN603" s="3" t="s">
        <v>189</v>
      </c>
      <c r="AO603" s="3" t="s">
        <v>247</v>
      </c>
      <c r="AP603" s="3" t="s">
        <v>244</v>
      </c>
      <c r="AQ603" s="3" t="s">
        <v>648</v>
      </c>
      <c r="AR603" s="3" t="s">
        <v>189</v>
      </c>
      <c r="AS603" s="3" t="s">
        <v>189</v>
      </c>
      <c r="AT603" s="3" t="s">
        <v>244</v>
      </c>
      <c r="AU603" s="3" t="s">
        <v>244</v>
      </c>
      <c r="AV603" s="3" t="s">
        <v>288</v>
      </c>
      <c r="AW603" s="3" t="s">
        <v>371</v>
      </c>
      <c r="AX603" s="3" t="s">
        <v>442</v>
      </c>
      <c r="AY603" s="3" t="s">
        <v>428</v>
      </c>
      <c r="AZ603" s="8" t="str">
        <f t="shared" si="42"/>
        <v>https://osc.hul.harvard.edu/hope</v>
      </c>
    </row>
    <row r="604" spans="1:52" ht="15.75" customHeight="1">
      <c r="A604" s="3">
        <v>478</v>
      </c>
      <c r="B604" s="5" t="str">
        <f t="shared" si="0"/>
        <v>http://roarmap.eprints.org/478/</v>
      </c>
      <c r="C604" s="3">
        <v>3</v>
      </c>
      <c r="D604" s="3" t="s">
        <v>98</v>
      </c>
      <c r="E604" s="3">
        <v>1</v>
      </c>
      <c r="F604" s="3" t="s">
        <v>2221</v>
      </c>
      <c r="G604" s="3">
        <v>41988.924016203702</v>
      </c>
      <c r="H604" s="3">
        <v>41988.924016203702</v>
      </c>
      <c r="I604" s="3">
        <v>41988.924016203702</v>
      </c>
      <c r="J604" s="3" t="s">
        <v>103</v>
      </c>
      <c r="K604" s="3" t="s">
        <v>105</v>
      </c>
      <c r="L604" s="3" t="s">
        <v>2222</v>
      </c>
      <c r="M604" s="3" t="s">
        <v>374</v>
      </c>
      <c r="P604" s="3" t="s">
        <v>215</v>
      </c>
      <c r="Q604" t="str">
        <f t="shared" si="38"/>
        <v>http://roarmap.eprints.org/view/country/840.html</v>
      </c>
      <c r="R604" s="3">
        <v>840</v>
      </c>
      <c r="S604" s="6" t="s">
        <v>359</v>
      </c>
      <c r="T604" s="9">
        <v>840</v>
      </c>
      <c r="U604" s="7" t="s">
        <v>2518</v>
      </c>
      <c r="V604" s="6" t="s">
        <v>66</v>
      </c>
      <c r="W604" s="3" t="s">
        <v>158</v>
      </c>
      <c r="X604" s="3" t="s">
        <v>160</v>
      </c>
      <c r="Y604" s="3" t="s">
        <v>2222</v>
      </c>
      <c r="Z604" s="8" t="str">
        <f>HYPERLINK("http://www.hks.harvard.edu/","http://www.hks.harvard.edu/")</f>
        <v>http://www.hks.harvard.edu/</v>
      </c>
      <c r="AA604" s="8" t="str">
        <f>HYPERLINK("https://osc.hul.harvard.edu/hksgpolicy","https://osc.hul.harvard.edu/hksgpolicy")</f>
        <v>https://osc.hul.harvard.edu/hksgpolicy</v>
      </c>
      <c r="AB604" s="8" t="str">
        <f t="shared" si="41"/>
        <v>http://dash.harvard.edu/</v>
      </c>
      <c r="AC604" s="3">
        <v>39882</v>
      </c>
      <c r="AF604" s="3" t="s">
        <v>478</v>
      </c>
      <c r="AG604" s="3" t="s">
        <v>178</v>
      </c>
      <c r="AH604" s="3" t="s">
        <v>180</v>
      </c>
      <c r="AI604" s="3" t="s">
        <v>392</v>
      </c>
      <c r="AJ604" s="3" t="s">
        <v>182</v>
      </c>
      <c r="AK604" s="3" t="s">
        <v>393</v>
      </c>
      <c r="AL604" s="3" t="s">
        <v>185</v>
      </c>
      <c r="AM604" s="3" t="s">
        <v>178</v>
      </c>
      <c r="AN604" s="3" t="s">
        <v>189</v>
      </c>
      <c r="AO604" s="3" t="s">
        <v>247</v>
      </c>
      <c r="AP604" s="3" t="s">
        <v>244</v>
      </c>
      <c r="AQ604" s="3" t="s">
        <v>648</v>
      </c>
      <c r="AR604" s="3" t="s">
        <v>189</v>
      </c>
      <c r="AS604" s="3" t="s">
        <v>189</v>
      </c>
      <c r="AT604" s="3" t="s">
        <v>244</v>
      </c>
      <c r="AU604" s="3" t="s">
        <v>244</v>
      </c>
      <c r="AV604" s="3" t="s">
        <v>288</v>
      </c>
      <c r="AW604" s="3" t="s">
        <v>371</v>
      </c>
      <c r="AX604" s="3" t="s">
        <v>442</v>
      </c>
      <c r="AY604" s="3" t="s">
        <v>428</v>
      </c>
      <c r="AZ604" s="8" t="str">
        <f t="shared" si="42"/>
        <v>https://osc.hul.harvard.edu/hope</v>
      </c>
    </row>
    <row r="605" spans="1:52" ht="15.75" customHeight="1">
      <c r="A605" s="3">
        <v>479</v>
      </c>
      <c r="B605" s="5" t="str">
        <f t="shared" si="0"/>
        <v>http://roarmap.eprints.org/479/</v>
      </c>
      <c r="C605" s="3">
        <v>4</v>
      </c>
      <c r="D605" s="3" t="s">
        <v>98</v>
      </c>
      <c r="E605" s="3">
        <v>1</v>
      </c>
      <c r="F605" s="3" t="s">
        <v>2223</v>
      </c>
      <c r="G605" s="3">
        <v>41988.924016203702</v>
      </c>
      <c r="H605" s="3">
        <v>42026.635937500003</v>
      </c>
      <c r="I605" s="3">
        <v>41988.924016203702</v>
      </c>
      <c r="J605" s="3" t="s">
        <v>103</v>
      </c>
      <c r="K605" s="3" t="s">
        <v>105</v>
      </c>
      <c r="L605" s="3" t="s">
        <v>2224</v>
      </c>
      <c r="M605" s="3" t="s">
        <v>469</v>
      </c>
      <c r="P605" s="3" t="s">
        <v>215</v>
      </c>
      <c r="Q605" t="str">
        <f t="shared" si="38"/>
        <v>http://roarmap.eprints.org/view/country/840.html</v>
      </c>
      <c r="R605" s="3">
        <v>840</v>
      </c>
      <c r="S605" s="6" t="s">
        <v>359</v>
      </c>
      <c r="T605" s="9">
        <v>840</v>
      </c>
      <c r="U605" s="7" t="s">
        <v>2518</v>
      </c>
      <c r="V605" s="6" t="s">
        <v>66</v>
      </c>
      <c r="W605" s="3" t="s">
        <v>158</v>
      </c>
      <c r="X605" s="3" t="s">
        <v>160</v>
      </c>
      <c r="Y605" s="3" t="s">
        <v>2224</v>
      </c>
      <c r="Z605" s="8" t="str">
        <f>HYPERLINK("http://hms.harvard.edu/","http://hms.harvard.edu/")</f>
        <v>http://hms.harvard.edu/</v>
      </c>
      <c r="AA605" s="8" t="str">
        <f>HYPERLINK("https://osc.hul.harvard.edu/hmspolicy","https://osc.hul.harvard.edu/hmspolicy")</f>
        <v>https://osc.hul.harvard.edu/hmspolicy</v>
      </c>
      <c r="AB605" s="8" t="str">
        <f>HYPERLINK("http://repository.countway.harvard.edu/","http://repository.countway.harvard.edu/")</f>
        <v>http://repository.countway.harvard.edu/</v>
      </c>
      <c r="AC605" s="3">
        <v>41808</v>
      </c>
      <c r="AF605" s="3" t="s">
        <v>478</v>
      </c>
      <c r="AG605" s="3" t="s">
        <v>178</v>
      </c>
      <c r="AH605" s="3" t="s">
        <v>180</v>
      </c>
      <c r="AI605" s="3" t="s">
        <v>392</v>
      </c>
      <c r="AJ605" s="3" t="s">
        <v>182</v>
      </c>
      <c r="AK605" s="3" t="s">
        <v>393</v>
      </c>
      <c r="AL605" s="3" t="s">
        <v>185</v>
      </c>
      <c r="AM605" s="3" t="s">
        <v>178</v>
      </c>
      <c r="AN605" s="3" t="s">
        <v>189</v>
      </c>
      <c r="AO605" s="3" t="s">
        <v>247</v>
      </c>
      <c r="AP605" s="3" t="s">
        <v>244</v>
      </c>
      <c r="AQ605" s="3" t="s">
        <v>648</v>
      </c>
      <c r="AR605" s="3" t="s">
        <v>189</v>
      </c>
      <c r="AS605" s="3" t="s">
        <v>189</v>
      </c>
      <c r="AT605" s="3" t="s">
        <v>244</v>
      </c>
      <c r="AU605" s="3" t="s">
        <v>244</v>
      </c>
      <c r="AV605" s="3" t="s">
        <v>288</v>
      </c>
      <c r="AW605" s="3" t="s">
        <v>371</v>
      </c>
      <c r="AX605" s="3" t="s">
        <v>442</v>
      </c>
      <c r="AY605" s="3" t="s">
        <v>428</v>
      </c>
      <c r="AZ605" s="8" t="str">
        <f t="shared" si="42"/>
        <v>https://osc.hul.harvard.edu/hope</v>
      </c>
    </row>
    <row r="606" spans="1:52" ht="15.75" customHeight="1">
      <c r="A606" s="3">
        <v>652</v>
      </c>
      <c r="B606" s="5" t="str">
        <f t="shared" si="0"/>
        <v>http://roarmap.eprints.org/652/</v>
      </c>
      <c r="C606" s="3">
        <v>6</v>
      </c>
      <c r="D606" s="3" t="s">
        <v>98</v>
      </c>
      <c r="E606" s="3">
        <v>65</v>
      </c>
      <c r="F606" s="3" t="s">
        <v>2225</v>
      </c>
      <c r="G606" s="3">
        <v>42012.548888888887</v>
      </c>
      <c r="H606" s="3">
        <v>42012.716643518521</v>
      </c>
      <c r="I606" s="3">
        <v>42012.548888888887</v>
      </c>
      <c r="J606" s="3" t="s">
        <v>103</v>
      </c>
      <c r="K606" s="3" t="s">
        <v>105</v>
      </c>
      <c r="L606" s="3" t="s">
        <v>2226</v>
      </c>
      <c r="P606" s="3" t="s">
        <v>215</v>
      </c>
      <c r="Q606" t="str">
        <f t="shared" si="38"/>
        <v>http://roarmap.eprints.org/view/country/840.html</v>
      </c>
      <c r="R606" s="3">
        <v>840</v>
      </c>
      <c r="S606" s="6" t="s">
        <v>359</v>
      </c>
      <c r="T606" s="9">
        <v>840</v>
      </c>
      <c r="U606" s="7" t="s">
        <v>2518</v>
      </c>
      <c r="V606" s="6" t="s">
        <v>66</v>
      </c>
      <c r="W606" s="3" t="s">
        <v>158</v>
      </c>
      <c r="X606" s="3" t="s">
        <v>160</v>
      </c>
      <c r="Y606" s="3" t="s">
        <v>2226</v>
      </c>
      <c r="Z606" s="8" t="str">
        <f>HYPERLINK("http://shorensteincenter.org/","http://shorensteincenter.org/")</f>
        <v>http://shorensteincenter.org/</v>
      </c>
      <c r="AA606" s="8" t="str">
        <f>HYPERLINK("https://osc.hul.harvard.edu/shorensteinpolicy","https://osc.hul.harvard.edu/shorensteinpolicy")</f>
        <v>https://osc.hul.harvard.edu/shorensteinpolicy</v>
      </c>
      <c r="AB606" s="8" t="str">
        <f>HYPERLINK("https://osc.hul.harvard.edu/dash/","https://osc.hul.harvard.edu/dash/")</f>
        <v>https://osc.hul.harvard.edu/dash/</v>
      </c>
      <c r="AC606" s="3">
        <v>41974</v>
      </c>
      <c r="AD606" s="3">
        <v>41974</v>
      </c>
      <c r="AF606" s="3" t="s">
        <v>478</v>
      </c>
      <c r="AG606" s="3" t="s">
        <v>178</v>
      </c>
      <c r="AH606" s="3" t="s">
        <v>180</v>
      </c>
      <c r="AI606" s="3" t="s">
        <v>392</v>
      </c>
      <c r="AJ606" s="3" t="s">
        <v>182</v>
      </c>
      <c r="AK606" s="3" t="s">
        <v>393</v>
      </c>
      <c r="AL606" s="3" t="s">
        <v>185</v>
      </c>
      <c r="AM606" s="3" t="s">
        <v>178</v>
      </c>
      <c r="AN606" s="3" t="s">
        <v>189</v>
      </c>
      <c r="AO606" s="3" t="s">
        <v>247</v>
      </c>
      <c r="AP606" s="3" t="s">
        <v>244</v>
      </c>
      <c r="AQ606" s="3" t="s">
        <v>648</v>
      </c>
      <c r="AR606" s="3" t="s">
        <v>189</v>
      </c>
      <c r="AS606" s="3" t="s">
        <v>189</v>
      </c>
      <c r="AT606" s="3" t="s">
        <v>244</v>
      </c>
      <c r="AU606" s="3" t="s">
        <v>244</v>
      </c>
      <c r="AV606" s="3" t="s">
        <v>288</v>
      </c>
      <c r="AW606" s="3" t="s">
        <v>371</v>
      </c>
      <c r="AX606" s="3" t="s">
        <v>442</v>
      </c>
      <c r="AY606" s="3" t="s">
        <v>428</v>
      </c>
      <c r="AZ606" s="8" t="str">
        <f t="shared" si="42"/>
        <v>https://osc.hul.harvard.edu/hope</v>
      </c>
    </row>
    <row r="607" spans="1:52" ht="15.75" customHeight="1">
      <c r="A607" s="3">
        <v>480</v>
      </c>
      <c r="B607" s="5" t="str">
        <f t="shared" si="0"/>
        <v>http://roarmap.eprints.org/480/</v>
      </c>
      <c r="C607" s="3">
        <v>3</v>
      </c>
      <c r="D607" s="3" t="s">
        <v>98</v>
      </c>
      <c r="E607" s="3">
        <v>1</v>
      </c>
      <c r="F607" s="3" t="s">
        <v>2227</v>
      </c>
      <c r="G607" s="3">
        <v>41988.924016203702</v>
      </c>
      <c r="H607" s="3">
        <v>41988.924016203702</v>
      </c>
      <c r="I607" s="3">
        <v>41988.924016203702</v>
      </c>
      <c r="J607" s="3" t="s">
        <v>103</v>
      </c>
      <c r="K607" s="3" t="s">
        <v>105</v>
      </c>
      <c r="L607" s="3" t="s">
        <v>2228</v>
      </c>
      <c r="M607" s="3" t="s">
        <v>374</v>
      </c>
      <c r="N607" s="3" t="s">
        <v>2229</v>
      </c>
      <c r="P607" s="3" t="s">
        <v>215</v>
      </c>
      <c r="Q607" t="str">
        <f t="shared" si="38"/>
        <v>http://roarmap.eprints.org/view/country/840.html</v>
      </c>
      <c r="R607" s="3">
        <v>840</v>
      </c>
      <c r="S607" s="6" t="s">
        <v>359</v>
      </c>
      <c r="T607" s="9">
        <v>840</v>
      </c>
      <c r="U607" s="7" t="s">
        <v>2518</v>
      </c>
      <c r="V607" s="6" t="s">
        <v>66</v>
      </c>
      <c r="W607" s="3" t="s">
        <v>158</v>
      </c>
      <c r="X607" s="3" t="s">
        <v>364</v>
      </c>
      <c r="Y607" s="3" t="s">
        <v>2228</v>
      </c>
      <c r="Z607" s="8" t="str">
        <f>HYPERLINK("http://www.hhmi.org/","http://www.hhmi.org/")</f>
        <v>http://www.hhmi.org/</v>
      </c>
      <c r="AA607" s="8" t="str">
        <f>HYPERLINK("http://www.hhmi.org/sites/default/files/About/Policies/sc320-public-access-to-publications.pdf","http://www.hhmi.org/sites/default/files/About/Policies/sc320-public-access-to-publications.pdf")</f>
        <v>http://www.hhmi.org/sites/default/files/About/Policies/sc320-public-access-to-publications.pdf</v>
      </c>
      <c r="AB607" s="8" t="str">
        <f>HYPERLINK("http://www.ncbi.nlm.nih.gov/pmc/","http://www.ncbi.nlm.nih.gov/pmc/")</f>
        <v>http://www.ncbi.nlm.nih.gov/pmc/</v>
      </c>
      <c r="AC607" s="3">
        <v>39392</v>
      </c>
      <c r="AD607" s="3">
        <v>39448</v>
      </c>
      <c r="AE607" s="3">
        <v>41315</v>
      </c>
      <c r="AF607" s="3" t="s">
        <v>244</v>
      </c>
      <c r="AG607" s="3" t="s">
        <v>333</v>
      </c>
      <c r="AH607" s="3" t="s">
        <v>463</v>
      </c>
      <c r="AI607" s="3" t="s">
        <v>377</v>
      </c>
      <c r="AJ607" s="3" t="s">
        <v>182</v>
      </c>
      <c r="AK607" s="3" t="s">
        <v>393</v>
      </c>
      <c r="AL607" s="3" t="s">
        <v>288</v>
      </c>
      <c r="AM607" s="3" t="s">
        <v>178</v>
      </c>
      <c r="AN607" s="3" t="s">
        <v>185</v>
      </c>
      <c r="AO607" s="3" t="s">
        <v>378</v>
      </c>
      <c r="AP607" s="3" t="s">
        <v>189</v>
      </c>
      <c r="AQ607" s="3" t="s">
        <v>394</v>
      </c>
      <c r="AR607" s="3" t="s">
        <v>288</v>
      </c>
      <c r="AS607" s="3" t="s">
        <v>185</v>
      </c>
      <c r="AT607" s="3" t="s">
        <v>395</v>
      </c>
      <c r="AU607" s="3" t="s">
        <v>244</v>
      </c>
      <c r="AV607" s="3" t="s">
        <v>288</v>
      </c>
      <c r="AW607" s="3" t="s">
        <v>339</v>
      </c>
      <c r="AX607" s="3" t="s">
        <v>244</v>
      </c>
      <c r="AY607" s="3" t="s">
        <v>247</v>
      </c>
    </row>
    <row r="608" spans="1:52" ht="15.75" customHeight="1">
      <c r="A608" s="3">
        <v>756</v>
      </c>
      <c r="B608" s="5" t="str">
        <f t="shared" si="0"/>
        <v>http://roarmap.eprints.org/756/</v>
      </c>
      <c r="C608" s="3">
        <v>6</v>
      </c>
      <c r="D608" s="3" t="s">
        <v>98</v>
      </c>
      <c r="E608" s="3">
        <v>730</v>
      </c>
      <c r="F608" s="3" t="s">
        <v>2230</v>
      </c>
      <c r="G608" s="3">
        <v>42122.595185185186</v>
      </c>
      <c r="H608" s="3">
        <v>42122.595185185186</v>
      </c>
      <c r="I608" s="3">
        <v>42122.595185185186</v>
      </c>
      <c r="J608" s="3" t="s">
        <v>103</v>
      </c>
      <c r="K608" s="3" t="s">
        <v>105</v>
      </c>
      <c r="L608" s="3" t="s">
        <v>2231</v>
      </c>
      <c r="Q608" t="str">
        <f t="shared" si="38"/>
        <v>http://roarmap.eprints.org/view/country/840.html</v>
      </c>
      <c r="R608" s="3">
        <v>840</v>
      </c>
      <c r="S608" s="6" t="s">
        <v>359</v>
      </c>
      <c r="T608" s="9">
        <v>840</v>
      </c>
      <c r="U608" s="7" t="s">
        <v>2518</v>
      </c>
      <c r="V608" s="6" t="s">
        <v>66</v>
      </c>
      <c r="W608" s="3" t="s">
        <v>158</v>
      </c>
      <c r="X608" s="3" t="s">
        <v>160</v>
      </c>
      <c r="Y608" s="3" t="s">
        <v>2231</v>
      </c>
      <c r="Z608" s="8" t="str">
        <f>HYPERLINK("http://library.ipfw.edu/","http://library.ipfw.edu/")</f>
        <v>http://library.ipfw.edu/</v>
      </c>
      <c r="AA608" s="3" t="s">
        <v>2232</v>
      </c>
      <c r="AB608" s="8" t="str">
        <f>HYPERLINK("http://opus.ipfw.edu/","http://opus.ipfw.edu/")</f>
        <v>http://opus.ipfw.edu/</v>
      </c>
      <c r="AC608" s="3">
        <v>42107</v>
      </c>
      <c r="AD608" s="3">
        <v>42107</v>
      </c>
      <c r="AF608" s="3" t="s">
        <v>478</v>
      </c>
      <c r="AG608" s="3" t="s">
        <v>178</v>
      </c>
      <c r="AH608" s="3" t="s">
        <v>180</v>
      </c>
      <c r="AI608" s="3" t="s">
        <v>392</v>
      </c>
      <c r="AJ608" s="3" t="s">
        <v>182</v>
      </c>
      <c r="AK608" s="3" t="s">
        <v>393</v>
      </c>
      <c r="AL608" s="3" t="s">
        <v>189</v>
      </c>
      <c r="AM608" s="3" t="s">
        <v>178</v>
      </c>
      <c r="AN608" s="3" t="s">
        <v>189</v>
      </c>
      <c r="AO608" s="3" t="s">
        <v>392</v>
      </c>
      <c r="AP608" s="3" t="s">
        <v>244</v>
      </c>
      <c r="AQ608" s="3" t="s">
        <v>648</v>
      </c>
      <c r="AR608" s="3" t="s">
        <v>189</v>
      </c>
      <c r="AS608" s="3" t="s">
        <v>189</v>
      </c>
      <c r="AT608" s="3" t="s">
        <v>244</v>
      </c>
      <c r="AU608" s="3" t="s">
        <v>244</v>
      </c>
      <c r="AV608" s="3" t="s">
        <v>288</v>
      </c>
      <c r="AW608" s="3" t="s">
        <v>244</v>
      </c>
      <c r="AX608" s="3" t="s">
        <v>244</v>
      </c>
      <c r="AY608" s="3" t="s">
        <v>247</v>
      </c>
    </row>
    <row r="609" spans="1:52" ht="15.75" customHeight="1">
      <c r="A609" s="3">
        <v>481</v>
      </c>
      <c r="B609" s="5" t="str">
        <f t="shared" si="0"/>
        <v>http://roarmap.eprints.org/481/</v>
      </c>
      <c r="C609" s="3">
        <v>3</v>
      </c>
      <c r="D609" s="3" t="s">
        <v>98</v>
      </c>
      <c r="E609" s="3">
        <v>1</v>
      </c>
      <c r="F609" s="3" t="s">
        <v>2233</v>
      </c>
      <c r="G609" s="3">
        <v>41988.924016203702</v>
      </c>
      <c r="H609" s="3">
        <v>41988.924016203702</v>
      </c>
      <c r="I609" s="3">
        <v>41988.924016203702</v>
      </c>
      <c r="J609" s="3" t="s">
        <v>103</v>
      </c>
      <c r="K609" s="3" t="s">
        <v>105</v>
      </c>
      <c r="L609" s="3" t="s">
        <v>2234</v>
      </c>
      <c r="M609" s="3" t="s">
        <v>374</v>
      </c>
      <c r="N609" s="3" t="s">
        <v>2235</v>
      </c>
      <c r="P609" s="3" t="s">
        <v>215</v>
      </c>
      <c r="Q609" t="str">
        <f t="shared" si="38"/>
        <v>http://roarmap.eprints.org/view/country/840.html</v>
      </c>
      <c r="R609" s="3">
        <v>840</v>
      </c>
      <c r="S609" s="6" t="s">
        <v>359</v>
      </c>
      <c r="T609" s="9">
        <v>840</v>
      </c>
      <c r="U609" s="7" t="s">
        <v>2518</v>
      </c>
      <c r="V609" s="6" t="s">
        <v>66</v>
      </c>
      <c r="W609" s="3" t="s">
        <v>158</v>
      </c>
      <c r="X609" s="3" t="s">
        <v>384</v>
      </c>
      <c r="Y609" s="3" t="s">
        <v>2234</v>
      </c>
      <c r="Z609" s="8" t="str">
        <f>HYPERLINK("http://www.ulib.iupui.edu/","http://www.ulib.iupui.edu/")</f>
        <v>http://www.ulib.iupui.edu/</v>
      </c>
      <c r="AA609" s="8" t="str">
        <f>HYPERLINK("http://www.ulib.iupui.edu/OAMandate","http://www.ulib.iupui.edu/OAMandate")</f>
        <v>http://www.ulib.iupui.edu/OAMandate</v>
      </c>
      <c r="AB609" s="8" t="str">
        <f>HYPERLINK("https://scholarworks.iupui.edu/","https://scholarworks.iupui.edu/")</f>
        <v>https://scholarworks.iupui.edu/</v>
      </c>
      <c r="AC609" s="3">
        <v>39908</v>
      </c>
      <c r="AF609" s="3" t="s">
        <v>478</v>
      </c>
      <c r="AG609" s="3" t="s">
        <v>178</v>
      </c>
      <c r="AH609" s="3" t="s">
        <v>180</v>
      </c>
      <c r="AI609" s="3" t="s">
        <v>187</v>
      </c>
      <c r="AJ609" s="3" t="s">
        <v>182</v>
      </c>
      <c r="AK609" s="3" t="s">
        <v>393</v>
      </c>
      <c r="AL609" s="3" t="s">
        <v>189</v>
      </c>
      <c r="AM609" s="3" t="s">
        <v>178</v>
      </c>
      <c r="AN609" s="3" t="s">
        <v>189</v>
      </c>
      <c r="AO609" s="3" t="s">
        <v>247</v>
      </c>
      <c r="AP609" s="3" t="s">
        <v>244</v>
      </c>
      <c r="AQ609" s="3" t="s">
        <v>648</v>
      </c>
      <c r="AR609" s="3" t="s">
        <v>189</v>
      </c>
      <c r="AS609" s="3" t="s">
        <v>189</v>
      </c>
      <c r="AT609" s="3" t="s">
        <v>244</v>
      </c>
      <c r="AU609" s="3" t="s">
        <v>244</v>
      </c>
      <c r="AV609" s="3" t="s">
        <v>288</v>
      </c>
      <c r="AW609" s="3" t="s">
        <v>630</v>
      </c>
      <c r="AX609" s="3" t="s">
        <v>442</v>
      </c>
      <c r="AY609" s="3" t="s">
        <v>428</v>
      </c>
      <c r="AZ609" s="8" t="str">
        <f>HYPERLINK("http://ulib.iupui.edu/digitalscholarship/oafund","http://ulib.iupui.edu/digitalscholarship/oafund")</f>
        <v>http://ulib.iupui.edu/digitalscholarship/oafund</v>
      </c>
    </row>
    <row r="610" spans="1:52" ht="15.75" customHeight="1">
      <c r="A610" s="3">
        <v>482</v>
      </c>
      <c r="B610" s="5" t="str">
        <f t="shared" si="0"/>
        <v>http://roarmap.eprints.org/482/</v>
      </c>
      <c r="C610" s="3">
        <v>3</v>
      </c>
      <c r="D610" s="3" t="s">
        <v>98</v>
      </c>
      <c r="E610" s="3">
        <v>1</v>
      </c>
      <c r="F610" s="3" t="s">
        <v>2236</v>
      </c>
      <c r="G610" s="3">
        <v>41988.924016203702</v>
      </c>
      <c r="H610" s="3">
        <v>41988.924016203702</v>
      </c>
      <c r="I610" s="3">
        <v>41988.924016203702</v>
      </c>
      <c r="J610" s="3" t="s">
        <v>103</v>
      </c>
      <c r="K610" s="3" t="s">
        <v>105</v>
      </c>
      <c r="L610" s="3" t="s">
        <v>2237</v>
      </c>
      <c r="M610" s="3" t="s">
        <v>374</v>
      </c>
      <c r="P610" s="3" t="s">
        <v>215</v>
      </c>
      <c r="Q610" t="str">
        <f t="shared" si="38"/>
        <v>http://roarmap.eprints.org/view/country/840.html</v>
      </c>
      <c r="R610" s="3">
        <v>840</v>
      </c>
      <c r="S610" s="6" t="s">
        <v>359</v>
      </c>
      <c r="T610" s="9">
        <v>840</v>
      </c>
      <c r="U610" s="7" t="s">
        <v>2518</v>
      </c>
      <c r="V610" s="6" t="s">
        <v>66</v>
      </c>
      <c r="W610" s="3" t="s">
        <v>158</v>
      </c>
      <c r="X610" s="3" t="s">
        <v>364</v>
      </c>
      <c r="Y610" s="3" t="s">
        <v>2237</v>
      </c>
      <c r="Z610" s="8" t="str">
        <f>HYPERLINK("http://ies.ed.gov/","http://ies.ed.gov/")</f>
        <v>http://ies.ed.gov/</v>
      </c>
      <c r="AA610" s="8" t="str">
        <f>HYPERLINK("http://ies.ed.gov/funding/researchaccess.asp","http://ies.ed.gov/funding/researchaccess.asp")</f>
        <v>http://ies.ed.gov/funding/researchaccess.asp</v>
      </c>
      <c r="AB610" s="8" t="str">
        <f>HYPERLINK("http://eric.ed.gov/","http://eric.ed.gov/")</f>
        <v>http://eric.ed.gov/</v>
      </c>
      <c r="AC610" s="3">
        <v>40909</v>
      </c>
      <c r="AF610" s="3" t="s">
        <v>244</v>
      </c>
      <c r="AG610" s="3" t="s">
        <v>178</v>
      </c>
      <c r="AH610" s="3" t="s">
        <v>180</v>
      </c>
      <c r="AI610" s="3" t="s">
        <v>187</v>
      </c>
      <c r="AJ610" s="3" t="s">
        <v>182</v>
      </c>
      <c r="AK610" s="3" t="s">
        <v>393</v>
      </c>
      <c r="AL610" s="3" t="s">
        <v>185</v>
      </c>
      <c r="AM610" s="3" t="s">
        <v>178</v>
      </c>
      <c r="AN610" s="3" t="s">
        <v>244</v>
      </c>
      <c r="AO610" s="3" t="s">
        <v>378</v>
      </c>
      <c r="AP610" s="3" t="s">
        <v>244</v>
      </c>
      <c r="AQ610" s="3" t="s">
        <v>394</v>
      </c>
      <c r="AR610" s="3" t="s">
        <v>288</v>
      </c>
      <c r="AS610" s="3" t="s">
        <v>185</v>
      </c>
      <c r="AT610" s="3" t="s">
        <v>395</v>
      </c>
      <c r="AU610" s="3" t="s">
        <v>395</v>
      </c>
      <c r="AV610" s="3" t="s">
        <v>244</v>
      </c>
      <c r="AW610" s="3" t="s">
        <v>339</v>
      </c>
      <c r="AX610" s="3" t="s">
        <v>244</v>
      </c>
      <c r="AY610" s="3" t="s">
        <v>247</v>
      </c>
    </row>
    <row r="611" spans="1:52" ht="15.75" customHeight="1">
      <c r="A611" s="3">
        <v>483</v>
      </c>
      <c r="B611" s="5" t="str">
        <f t="shared" si="0"/>
        <v>http://roarmap.eprints.org/483/</v>
      </c>
      <c r="C611" s="3">
        <v>3</v>
      </c>
      <c r="D611" s="3" t="s">
        <v>98</v>
      </c>
      <c r="E611" s="3">
        <v>1</v>
      </c>
      <c r="F611" s="3" t="s">
        <v>2238</v>
      </c>
      <c r="G611" s="3">
        <v>41988.924027777779</v>
      </c>
      <c r="H611" s="3">
        <v>41988.924027777779</v>
      </c>
      <c r="I611" s="3">
        <v>41988.924027777779</v>
      </c>
      <c r="J611" s="3" t="s">
        <v>103</v>
      </c>
      <c r="K611" s="3" t="s">
        <v>105</v>
      </c>
      <c r="L611" s="3" t="s">
        <v>2239</v>
      </c>
      <c r="M611" s="3" t="s">
        <v>352</v>
      </c>
      <c r="O611" s="3" t="s">
        <v>2240</v>
      </c>
      <c r="P611" s="3" t="s">
        <v>215</v>
      </c>
      <c r="Q611" t="str">
        <f t="shared" si="38"/>
        <v>http://roarmap.eprints.org/view/country/840.html</v>
      </c>
      <c r="R611" s="3">
        <v>840</v>
      </c>
      <c r="S611" s="6" t="s">
        <v>359</v>
      </c>
      <c r="T611" s="9">
        <v>840</v>
      </c>
      <c r="U611" s="7" t="s">
        <v>2518</v>
      </c>
      <c r="V611" s="6" t="s">
        <v>66</v>
      </c>
      <c r="W611" s="3" t="s">
        <v>158</v>
      </c>
      <c r="X611" s="3" t="s">
        <v>160</v>
      </c>
      <c r="Y611" s="3" t="s">
        <v>2239</v>
      </c>
      <c r="Z611" s="8" t="str">
        <f>HYPERLINK("http://www.k-state.edu/","http://www.k-state.edu/")</f>
        <v>http://www.k-state.edu/</v>
      </c>
      <c r="AB611" s="8" t="str">
        <f>HYPERLINK("http://krex.k-state.edu/dspace/","http://krex.k-state.edu/dspace/")</f>
        <v>http://krex.k-state.edu/dspace/</v>
      </c>
      <c r="AG611" s="3" t="s">
        <v>244</v>
      </c>
      <c r="AH611" s="3" t="s">
        <v>244</v>
      </c>
      <c r="AI611" s="3" t="s">
        <v>244</v>
      </c>
      <c r="AJ611" s="3" t="s">
        <v>244</v>
      </c>
      <c r="AK611" s="3" t="s">
        <v>244</v>
      </c>
      <c r="AL611" s="3" t="s">
        <v>244</v>
      </c>
      <c r="AM611" s="3" t="s">
        <v>247</v>
      </c>
      <c r="AN611" s="3" t="s">
        <v>244</v>
      </c>
      <c r="AO611" s="3" t="s">
        <v>247</v>
      </c>
      <c r="AP611" s="3" t="s">
        <v>244</v>
      </c>
      <c r="AQ611" s="3" t="s">
        <v>247</v>
      </c>
      <c r="AR611" s="3" t="s">
        <v>288</v>
      </c>
      <c r="AS611" s="3" t="s">
        <v>244</v>
      </c>
      <c r="AT611" s="3" t="s">
        <v>244</v>
      </c>
      <c r="AU611" s="3" t="s">
        <v>244</v>
      </c>
      <c r="AV611" s="3" t="s">
        <v>288</v>
      </c>
      <c r="AW611" s="3" t="s">
        <v>244</v>
      </c>
      <c r="AX611" s="3" t="s">
        <v>244</v>
      </c>
      <c r="AY611" s="3" t="s">
        <v>428</v>
      </c>
      <c r="AZ611" s="8" t="str">
        <f>HYPERLINK("http://www.lib.k-state.edu/publishing-fund","http://www.lib.k-state.edu/publishing-fund")</f>
        <v>http://www.lib.k-state.edu/publishing-fund</v>
      </c>
    </row>
    <row r="612" spans="1:52" ht="15.75" customHeight="1">
      <c r="A612" s="3">
        <v>484</v>
      </c>
      <c r="B612" s="5" t="str">
        <f t="shared" si="0"/>
        <v>http://roarmap.eprints.org/484/</v>
      </c>
      <c r="C612" s="3">
        <v>6</v>
      </c>
      <c r="D612" s="3" t="s">
        <v>98</v>
      </c>
      <c r="E612" s="3">
        <v>326</v>
      </c>
      <c r="F612" s="3" t="s">
        <v>2241</v>
      </c>
      <c r="G612" s="3">
        <v>41988.924027777779</v>
      </c>
      <c r="H612" s="3">
        <v>42046.981736111113</v>
      </c>
      <c r="I612" s="3">
        <v>41988.924027777779</v>
      </c>
      <c r="J612" s="3" t="s">
        <v>103</v>
      </c>
      <c r="K612" s="3" t="s">
        <v>105</v>
      </c>
      <c r="L612" s="3" t="s">
        <v>2242</v>
      </c>
      <c r="M612" s="3" t="s">
        <v>374</v>
      </c>
      <c r="N612" s="3" t="s">
        <v>2243</v>
      </c>
      <c r="O612" s="3" t="s">
        <v>2244</v>
      </c>
      <c r="P612" s="3" t="s">
        <v>215</v>
      </c>
      <c r="Q612" t="str">
        <f t="shared" si="38"/>
        <v>http://roarmap.eprints.org/view/country/840.html</v>
      </c>
      <c r="R612" s="3">
        <v>840</v>
      </c>
      <c r="S612" s="6" t="s">
        <v>359</v>
      </c>
      <c r="T612" s="9">
        <v>840</v>
      </c>
      <c r="U612" s="7" t="s">
        <v>2518</v>
      </c>
      <c r="V612" s="6" t="s">
        <v>66</v>
      </c>
      <c r="W612" s="3" t="s">
        <v>158</v>
      </c>
      <c r="X612" s="3" t="s">
        <v>160</v>
      </c>
      <c r="Y612" s="3" t="s">
        <v>2242</v>
      </c>
      <c r="Z612" s="8" t="str">
        <f>HYPERLINK("http://www.lafayette.edu/","http://www.lafayette.edu/")</f>
        <v>http://www.lafayette.edu/</v>
      </c>
      <c r="AA612" s="8" t="str">
        <f>HYPERLINK("http://library.lafayette.edu/oaresolution","http://library.lafayette.edu/oaresolution")</f>
        <v>http://library.lafayette.edu/oaresolution</v>
      </c>
      <c r="AB612" s="8" t="str">
        <f>HYPERLINK("http://dspace.lafayette.edu/","http://dspace.lafayette.edu/")</f>
        <v>http://dspace.lafayette.edu/</v>
      </c>
      <c r="AC612" s="3">
        <v>40648</v>
      </c>
      <c r="AD612" s="3">
        <v>40817</v>
      </c>
      <c r="AF612" s="3" t="s">
        <v>478</v>
      </c>
      <c r="AG612" s="3" t="s">
        <v>333</v>
      </c>
      <c r="AH612" s="3" t="s">
        <v>180</v>
      </c>
      <c r="AI612" s="3" t="s">
        <v>181</v>
      </c>
      <c r="AJ612" s="3" t="s">
        <v>371</v>
      </c>
      <c r="AK612" s="3" t="s">
        <v>244</v>
      </c>
      <c r="AL612" s="3" t="s">
        <v>288</v>
      </c>
      <c r="AM612" s="3" t="s">
        <v>178</v>
      </c>
      <c r="AN612" s="3" t="s">
        <v>288</v>
      </c>
      <c r="AO612" s="3" t="s">
        <v>621</v>
      </c>
      <c r="AP612" s="3" t="s">
        <v>244</v>
      </c>
      <c r="AQ612" s="3" t="s">
        <v>648</v>
      </c>
      <c r="AR612" s="3" t="s">
        <v>244</v>
      </c>
      <c r="AS612" s="3" t="s">
        <v>288</v>
      </c>
      <c r="AT612" s="3" t="s">
        <v>244</v>
      </c>
      <c r="AU612" s="3" t="s">
        <v>244</v>
      </c>
      <c r="AV612" s="3" t="s">
        <v>288</v>
      </c>
      <c r="AW612" s="3" t="s">
        <v>244</v>
      </c>
      <c r="AX612" s="3" t="s">
        <v>244</v>
      </c>
      <c r="AY612" s="3" t="s">
        <v>247</v>
      </c>
    </row>
    <row r="613" spans="1:52" ht="15.75" customHeight="1">
      <c r="A613" s="3">
        <v>485</v>
      </c>
      <c r="B613" s="5" t="str">
        <f t="shared" si="0"/>
        <v>http://roarmap.eprints.org/485/</v>
      </c>
      <c r="C613" s="3">
        <v>3</v>
      </c>
      <c r="D613" s="3" t="s">
        <v>98</v>
      </c>
      <c r="E613" s="3">
        <v>1</v>
      </c>
      <c r="F613" s="3" t="s">
        <v>2245</v>
      </c>
      <c r="G613" s="3">
        <v>41988.924027777779</v>
      </c>
      <c r="H613" s="3">
        <v>41988.924027777779</v>
      </c>
      <c r="I613" s="3">
        <v>41988.924027777779</v>
      </c>
      <c r="J613" s="3" t="s">
        <v>103</v>
      </c>
      <c r="K613" s="3" t="s">
        <v>105</v>
      </c>
      <c r="L613" s="3" t="s">
        <v>2246</v>
      </c>
      <c r="M613" s="3" t="s">
        <v>352</v>
      </c>
      <c r="O613" s="3" t="s">
        <v>2247</v>
      </c>
      <c r="P613" s="3" t="s">
        <v>215</v>
      </c>
      <c r="Q613" t="str">
        <f t="shared" si="38"/>
        <v>http://roarmap.eprints.org/view/country/840.html</v>
      </c>
      <c r="R613" s="3">
        <v>840</v>
      </c>
      <c r="S613" s="6" t="s">
        <v>359</v>
      </c>
      <c r="T613" s="9">
        <v>840</v>
      </c>
      <c r="U613" s="7" t="s">
        <v>2518</v>
      </c>
      <c r="V613" s="6" t="s">
        <v>66</v>
      </c>
      <c r="W613" s="3" t="s">
        <v>158</v>
      </c>
      <c r="X613" s="3" t="s">
        <v>376</v>
      </c>
      <c r="Y613" s="3" t="s">
        <v>2246</v>
      </c>
      <c r="Z613" s="8" t="str">
        <f>HYPERLINK("http://www.macfound.org/","http://www.macfound.org/")</f>
        <v>http://www.macfound.org/</v>
      </c>
      <c r="AG613" s="3" t="s">
        <v>244</v>
      </c>
      <c r="AH613" s="3" t="s">
        <v>244</v>
      </c>
      <c r="AI613" s="3" t="s">
        <v>244</v>
      </c>
      <c r="AJ613" s="3" t="s">
        <v>244</v>
      </c>
      <c r="AK613" s="3" t="s">
        <v>244</v>
      </c>
      <c r="AL613" s="3" t="s">
        <v>244</v>
      </c>
      <c r="AM613" s="3" t="s">
        <v>247</v>
      </c>
      <c r="AN613" s="3" t="s">
        <v>244</v>
      </c>
      <c r="AO613" s="3" t="s">
        <v>247</v>
      </c>
      <c r="AP613" s="3" t="s">
        <v>244</v>
      </c>
      <c r="AQ613" s="3" t="s">
        <v>247</v>
      </c>
      <c r="AR613" s="3" t="s">
        <v>288</v>
      </c>
      <c r="AS613" s="3" t="s">
        <v>244</v>
      </c>
      <c r="AT613" s="3" t="s">
        <v>244</v>
      </c>
      <c r="AU613" s="3" t="s">
        <v>244</v>
      </c>
      <c r="AV613" s="3" t="s">
        <v>288</v>
      </c>
      <c r="AW613" s="3" t="s">
        <v>244</v>
      </c>
      <c r="AX613" s="3" t="s">
        <v>244</v>
      </c>
      <c r="AY613" s="3" t="s">
        <v>247</v>
      </c>
    </row>
    <row r="614" spans="1:52" ht="15.75" customHeight="1">
      <c r="A614" s="3">
        <v>486</v>
      </c>
      <c r="B614" s="5" t="str">
        <f t="shared" si="0"/>
        <v>http://roarmap.eprints.org/486/</v>
      </c>
      <c r="C614" s="3">
        <v>3</v>
      </c>
      <c r="D614" s="3" t="s">
        <v>98</v>
      </c>
      <c r="E614" s="3">
        <v>1</v>
      </c>
      <c r="F614" s="3" t="s">
        <v>2248</v>
      </c>
      <c r="G614" s="3">
        <v>41988.924027777779</v>
      </c>
      <c r="H614" s="3">
        <v>41988.924027777779</v>
      </c>
      <c r="I614" s="3">
        <v>41988.924027777779</v>
      </c>
      <c r="J614" s="3" t="s">
        <v>103</v>
      </c>
      <c r="K614" s="3" t="s">
        <v>105</v>
      </c>
      <c r="L614" s="3" t="s">
        <v>2249</v>
      </c>
      <c r="M614" s="3" t="s">
        <v>374</v>
      </c>
      <c r="N614" s="3" t="s">
        <v>2250</v>
      </c>
      <c r="O614" s="3" t="s">
        <v>2251</v>
      </c>
      <c r="P614" s="3" t="s">
        <v>215</v>
      </c>
      <c r="Q614" t="str">
        <f t="shared" si="38"/>
        <v>http://roarmap.eprints.org/view/country/840.html</v>
      </c>
      <c r="R614" s="3">
        <v>840</v>
      </c>
      <c r="S614" s="6" t="s">
        <v>359</v>
      </c>
      <c r="T614" s="9">
        <v>840</v>
      </c>
      <c r="U614" s="7" t="s">
        <v>2518</v>
      </c>
      <c r="V614" s="6" t="s">
        <v>66</v>
      </c>
      <c r="W614" s="3" t="s">
        <v>158</v>
      </c>
      <c r="X614" s="3" t="s">
        <v>160</v>
      </c>
      <c r="Y614" s="3" t="s">
        <v>2249</v>
      </c>
      <c r="Z614" s="8" t="str">
        <f>HYPERLINK("http://web.mit.edu/","http://web.mit.edu/")</f>
        <v>http://web.mit.edu/</v>
      </c>
      <c r="AA614" s="8" t="str">
        <f>HYPERLINK("http://libraries.mit.edu/scholarly/mit-open-access/open-access-at-mit/mit-open-access-policy/","http://libraries.mit.edu/scholarly/mit-open-access/open-access-at-mit/mit-open-access-policy/")</f>
        <v>http://libraries.mit.edu/scholarly/mit-open-access/open-access-at-mit/mit-open-access-policy/</v>
      </c>
      <c r="AB614" s="8" t="str">
        <f>HYPERLINK("http://dspace.mit.edu/","http://dspace.mit.edu/")</f>
        <v>http://dspace.mit.edu/</v>
      </c>
      <c r="AC614" s="3">
        <v>39890</v>
      </c>
      <c r="AD614" s="3">
        <v>39890</v>
      </c>
      <c r="AF614" s="3" t="s">
        <v>478</v>
      </c>
      <c r="AG614" s="3" t="s">
        <v>178</v>
      </c>
      <c r="AH614" s="3" t="s">
        <v>180</v>
      </c>
      <c r="AI614" s="3" t="s">
        <v>392</v>
      </c>
      <c r="AJ614" s="3" t="s">
        <v>182</v>
      </c>
      <c r="AK614" s="3" t="s">
        <v>393</v>
      </c>
      <c r="AL614" s="3" t="s">
        <v>189</v>
      </c>
      <c r="AM614" s="3" t="s">
        <v>178</v>
      </c>
      <c r="AN614" s="3" t="s">
        <v>189</v>
      </c>
      <c r="AO614" s="3" t="s">
        <v>392</v>
      </c>
      <c r="AP614" s="3" t="s">
        <v>244</v>
      </c>
      <c r="AQ614" s="3" t="s">
        <v>394</v>
      </c>
      <c r="AR614" s="3" t="s">
        <v>288</v>
      </c>
      <c r="AS614" s="3" t="s">
        <v>189</v>
      </c>
      <c r="AT614" s="3" t="s">
        <v>244</v>
      </c>
      <c r="AU614" s="3" t="s">
        <v>244</v>
      </c>
      <c r="AV614" s="3" t="s">
        <v>288</v>
      </c>
      <c r="AW614" s="3" t="s">
        <v>371</v>
      </c>
      <c r="AX614" s="3" t="s">
        <v>244</v>
      </c>
      <c r="AY614" s="3" t="s">
        <v>428</v>
      </c>
      <c r="AZ614" s="8" t="str">
        <f>HYPERLINK("http://libraries.mit.edu/scholarly/mit-open-access/open-access-at-mit/mit-open-access-publishing-fund/","http://libraries.mit.edu/scholarly/mit-open-access/open-access-at-mit/mit-open-access-publishing-fund/")</f>
        <v>http://libraries.mit.edu/scholarly/mit-open-access/open-access-at-mit/mit-open-access-publishing-fund/</v>
      </c>
    </row>
    <row r="615" spans="1:52" ht="15.75" customHeight="1">
      <c r="A615" s="3">
        <v>487</v>
      </c>
      <c r="B615" s="5" t="str">
        <f t="shared" si="0"/>
        <v>http://roarmap.eprints.org/487/</v>
      </c>
      <c r="C615" s="3">
        <v>5</v>
      </c>
      <c r="D615" s="3" t="s">
        <v>98</v>
      </c>
      <c r="E615" s="3">
        <v>1</v>
      </c>
      <c r="F615" s="3" t="s">
        <v>2252</v>
      </c>
      <c r="G615" s="3">
        <v>41988.924027777779</v>
      </c>
      <c r="H615" s="3">
        <v>41988.924027777779</v>
      </c>
      <c r="I615" s="3">
        <v>41988.924027777779</v>
      </c>
      <c r="J615" s="3" t="s">
        <v>103</v>
      </c>
      <c r="K615" s="3" t="s">
        <v>105</v>
      </c>
      <c r="L615" s="3" t="s">
        <v>2253</v>
      </c>
      <c r="M615" s="3" t="s">
        <v>374</v>
      </c>
      <c r="N615" s="3" t="s">
        <v>2254</v>
      </c>
      <c r="O615" s="3" t="s">
        <v>2255</v>
      </c>
      <c r="P615" s="3" t="s">
        <v>215</v>
      </c>
      <c r="Q615" t="str">
        <f t="shared" si="38"/>
        <v>http://roarmap.eprints.org/view/country/840.html</v>
      </c>
      <c r="R615" s="3">
        <v>840</v>
      </c>
      <c r="S615" s="6" t="s">
        <v>359</v>
      </c>
      <c r="T615" s="9">
        <v>840</v>
      </c>
      <c r="U615" s="7" t="s">
        <v>2518</v>
      </c>
      <c r="V615" s="6" t="s">
        <v>66</v>
      </c>
      <c r="W615" s="3" t="s">
        <v>158</v>
      </c>
      <c r="X615" s="3" t="s">
        <v>384</v>
      </c>
      <c r="Y615" s="3" t="s">
        <v>2253</v>
      </c>
      <c r="Z615" s="8" t="str">
        <f>HYPERLINK("http://www.lib.miamioh.edu/","http://www.lib.miamioh.edu/")</f>
        <v>http://www.lib.miamioh.edu/</v>
      </c>
      <c r="AA615" s="8" t="str">
        <f>HYPERLINK("http://www.lib.miamioh.edu/policies/others/open_access_policy","http://www.lib.miamioh.edu/policies/others/open_access_policy")</f>
        <v>http://www.lib.miamioh.edu/policies/others/open_access_policy</v>
      </c>
      <c r="AB615" s="8" t="str">
        <f>HYPERLINK("http://sc.lib.miamioh.edu/","http://sc.lib.miamioh.edu/")</f>
        <v>http://sc.lib.miamioh.edu/</v>
      </c>
      <c r="AC615" s="3">
        <v>41017</v>
      </c>
      <c r="AF615" s="3" t="s">
        <v>478</v>
      </c>
      <c r="AG615" s="3" t="s">
        <v>178</v>
      </c>
      <c r="AH615" s="3" t="s">
        <v>180</v>
      </c>
      <c r="AI615" s="3" t="s">
        <v>392</v>
      </c>
      <c r="AJ615" s="3" t="s">
        <v>182</v>
      </c>
      <c r="AK615" s="3" t="s">
        <v>393</v>
      </c>
      <c r="AL615" s="3" t="s">
        <v>189</v>
      </c>
      <c r="AM615" s="3" t="s">
        <v>178</v>
      </c>
      <c r="AN615" s="3" t="s">
        <v>189</v>
      </c>
      <c r="AO615" s="3" t="s">
        <v>181</v>
      </c>
      <c r="AP615" s="3" t="s">
        <v>244</v>
      </c>
      <c r="AQ615" s="3" t="s">
        <v>394</v>
      </c>
      <c r="AR615" s="3" t="s">
        <v>288</v>
      </c>
      <c r="AS615" s="3" t="s">
        <v>189</v>
      </c>
      <c r="AT615" s="3" t="s">
        <v>244</v>
      </c>
      <c r="AU615" s="3" t="s">
        <v>244</v>
      </c>
      <c r="AV615" s="3" t="s">
        <v>288</v>
      </c>
      <c r="AW615" s="3" t="s">
        <v>371</v>
      </c>
      <c r="AX615" s="3" t="s">
        <v>244</v>
      </c>
      <c r="AY615" s="3" t="s">
        <v>247</v>
      </c>
    </row>
    <row r="616" spans="1:52" ht="15.75" customHeight="1">
      <c r="A616" s="3">
        <v>488</v>
      </c>
      <c r="B616" s="5" t="str">
        <f t="shared" si="0"/>
        <v>http://roarmap.eprints.org/488/</v>
      </c>
      <c r="C616" s="3">
        <v>4</v>
      </c>
      <c r="D616" s="3" t="s">
        <v>98</v>
      </c>
      <c r="E616" s="3">
        <v>1</v>
      </c>
      <c r="F616" s="3" t="s">
        <v>2256</v>
      </c>
      <c r="G616" s="3">
        <v>41988.924027777779</v>
      </c>
      <c r="H616" s="3">
        <v>42029.86074074074</v>
      </c>
      <c r="I616" s="3">
        <v>41988.924027777779</v>
      </c>
      <c r="J616" s="3" t="s">
        <v>103</v>
      </c>
      <c r="K616" s="3" t="s">
        <v>105</v>
      </c>
      <c r="L616" s="3" t="s">
        <v>2257</v>
      </c>
      <c r="M616" s="3" t="s">
        <v>374</v>
      </c>
      <c r="N616" s="3" t="s">
        <v>2258</v>
      </c>
      <c r="P616" s="3" t="s">
        <v>215</v>
      </c>
      <c r="Q616" t="str">
        <f t="shared" si="38"/>
        <v>http://roarmap.eprints.org/view/country/840.html</v>
      </c>
      <c r="R616" s="3">
        <v>840</v>
      </c>
      <c r="S616" s="6" t="s">
        <v>359</v>
      </c>
      <c r="T616" s="9">
        <v>840</v>
      </c>
      <c r="U616" s="7" t="s">
        <v>2518</v>
      </c>
      <c r="V616" s="6" t="s">
        <v>66</v>
      </c>
      <c r="W616" s="3" t="s">
        <v>158</v>
      </c>
      <c r="X616" s="3" t="s">
        <v>364</v>
      </c>
      <c r="Y616" s="3" t="s">
        <v>2257</v>
      </c>
      <c r="Z616" s="8" t="str">
        <f>HYPERLINK("http://research.microsoft.com/en-us/","http://research.microsoft.com/en-us/")</f>
        <v>http://research.microsoft.com/en-us/</v>
      </c>
      <c r="AA616" s="8" t="str">
        <f>HYPERLINK("http://research.microsoft.com/en-us/help/openaccess.aspx","http://research.microsoft.com/en-us/help/openaccess.aspx")</f>
        <v>http://research.microsoft.com/en-us/help/openaccess.aspx</v>
      </c>
      <c r="AC616" s="3">
        <v>41640</v>
      </c>
      <c r="AF616" s="3" t="s">
        <v>177</v>
      </c>
      <c r="AG616" s="3" t="s">
        <v>178</v>
      </c>
      <c r="AH616" s="3" t="s">
        <v>180</v>
      </c>
      <c r="AI616" s="3" t="s">
        <v>244</v>
      </c>
      <c r="AJ616" s="3" t="s">
        <v>244</v>
      </c>
      <c r="AK616" s="3" t="s">
        <v>244</v>
      </c>
      <c r="AL616" s="3" t="s">
        <v>244</v>
      </c>
      <c r="AM616" s="3" t="s">
        <v>247</v>
      </c>
      <c r="AN616" s="3" t="s">
        <v>244</v>
      </c>
      <c r="AO616" s="3" t="s">
        <v>247</v>
      </c>
      <c r="AP616" s="3" t="s">
        <v>244</v>
      </c>
      <c r="AQ616" s="3" t="s">
        <v>190</v>
      </c>
      <c r="AR616" s="3" t="s">
        <v>288</v>
      </c>
      <c r="AS616" s="3" t="s">
        <v>288</v>
      </c>
      <c r="AT616" s="3" t="s">
        <v>244</v>
      </c>
      <c r="AU616" s="3" t="s">
        <v>244</v>
      </c>
      <c r="AV616" s="3" t="s">
        <v>288</v>
      </c>
      <c r="AW616" s="3" t="s">
        <v>371</v>
      </c>
      <c r="AX616" s="3" t="s">
        <v>244</v>
      </c>
      <c r="AY616" s="3" t="s">
        <v>247</v>
      </c>
    </row>
    <row r="617" spans="1:52" ht="15.75" customHeight="1">
      <c r="A617" s="3">
        <v>489</v>
      </c>
      <c r="B617" s="5" t="str">
        <f t="shared" si="0"/>
        <v>http://roarmap.eprints.org/489/</v>
      </c>
      <c r="C617" s="3">
        <v>5</v>
      </c>
      <c r="D617" s="3" t="s">
        <v>98</v>
      </c>
      <c r="E617" s="3">
        <v>327</v>
      </c>
      <c r="F617" s="3" t="s">
        <v>2259</v>
      </c>
      <c r="G617" s="3">
        <v>41988.924027777779</v>
      </c>
      <c r="H617" s="3">
        <v>42046.981736111113</v>
      </c>
      <c r="I617" s="3">
        <v>41988.924027777779</v>
      </c>
      <c r="J617" s="3" t="s">
        <v>103</v>
      </c>
      <c r="K617" s="3" t="s">
        <v>105</v>
      </c>
      <c r="L617" s="3" t="s">
        <v>2260</v>
      </c>
      <c r="M617" s="3" t="s">
        <v>469</v>
      </c>
      <c r="N617" s="3" t="s">
        <v>2261</v>
      </c>
      <c r="O617" s="3" t="s">
        <v>2262</v>
      </c>
      <c r="P617" s="3" t="s">
        <v>215</v>
      </c>
      <c r="Q617" t="str">
        <f t="shared" si="38"/>
        <v>http://roarmap.eprints.org/view/country/840.html</v>
      </c>
      <c r="R617" s="3">
        <v>840</v>
      </c>
      <c r="S617" s="6" t="s">
        <v>359</v>
      </c>
      <c r="T617" s="9">
        <v>840</v>
      </c>
      <c r="U617" s="7" t="s">
        <v>2518</v>
      </c>
      <c r="V617" s="6" t="s">
        <v>66</v>
      </c>
      <c r="W617" s="3" t="s">
        <v>158</v>
      </c>
      <c r="X617" s="3" t="s">
        <v>160</v>
      </c>
      <c r="Y617" s="3" t="s">
        <v>2260</v>
      </c>
      <c r="Z617" s="8" t="str">
        <f>HYPERLINK("http://www.montana.edu/","http://www.montana.edu/")</f>
        <v>http://www.montana.edu/</v>
      </c>
      <c r="AA617" s="3" t="s">
        <v>2263</v>
      </c>
      <c r="AB617" s="8" t="str">
        <f>HYPERLINK("http://scholarworks.montana.edu/xmlui/","http://scholarworks.montana.edu/xmlui/")</f>
        <v>http://scholarworks.montana.edu/xmlui/</v>
      </c>
      <c r="AG617" s="3" t="s">
        <v>244</v>
      </c>
      <c r="AH617" s="3" t="s">
        <v>244</v>
      </c>
      <c r="AI617" s="3" t="s">
        <v>244</v>
      </c>
      <c r="AJ617" s="3" t="s">
        <v>244</v>
      </c>
      <c r="AK617" s="3" t="s">
        <v>244</v>
      </c>
      <c r="AL617" s="3" t="s">
        <v>244</v>
      </c>
      <c r="AM617" s="3" t="s">
        <v>247</v>
      </c>
      <c r="AN617" s="3" t="s">
        <v>244</v>
      </c>
      <c r="AO617" s="3" t="s">
        <v>247</v>
      </c>
      <c r="AP617" s="3" t="s">
        <v>244</v>
      </c>
      <c r="AQ617" s="3" t="s">
        <v>247</v>
      </c>
      <c r="AR617" s="3" t="s">
        <v>288</v>
      </c>
      <c r="AS617" s="3" t="s">
        <v>244</v>
      </c>
      <c r="AT617" s="3" t="s">
        <v>244</v>
      </c>
      <c r="AU617" s="3" t="s">
        <v>244</v>
      </c>
      <c r="AV617" s="3" t="s">
        <v>288</v>
      </c>
      <c r="AW617" s="3" t="s">
        <v>244</v>
      </c>
      <c r="AX617" s="3" t="s">
        <v>244</v>
      </c>
      <c r="AY617" s="3" t="s">
        <v>247</v>
      </c>
    </row>
    <row r="618" spans="1:52" ht="15.75" customHeight="1">
      <c r="A618" s="3">
        <v>490</v>
      </c>
      <c r="B618" s="5" t="str">
        <f t="shared" si="0"/>
        <v>http://roarmap.eprints.org/490/</v>
      </c>
      <c r="C618" s="3">
        <v>3</v>
      </c>
      <c r="D618" s="3" t="s">
        <v>98</v>
      </c>
      <c r="E618" s="3">
        <v>1</v>
      </c>
      <c r="F618" s="3" t="s">
        <v>2264</v>
      </c>
      <c r="G618" s="3">
        <v>41988.924039351848</v>
      </c>
      <c r="H618" s="3">
        <v>41988.924039351848</v>
      </c>
      <c r="I618" s="3">
        <v>41988.924039351848</v>
      </c>
      <c r="J618" s="3" t="s">
        <v>103</v>
      </c>
      <c r="K618" s="3" t="s">
        <v>105</v>
      </c>
      <c r="L618" s="3" t="s">
        <v>2265</v>
      </c>
      <c r="M618" s="3" t="s">
        <v>374</v>
      </c>
      <c r="N618" s="3" t="s">
        <v>2266</v>
      </c>
      <c r="O618" s="3" t="s">
        <v>2267</v>
      </c>
      <c r="P618" s="3" t="s">
        <v>215</v>
      </c>
      <c r="Q618" t="str">
        <f t="shared" si="38"/>
        <v>http://roarmap.eprints.org/view/country/840.html</v>
      </c>
      <c r="R618" s="3">
        <v>840</v>
      </c>
      <c r="S618" s="6" t="s">
        <v>359</v>
      </c>
      <c r="T618" s="9">
        <v>840</v>
      </c>
      <c r="U618" s="7" t="s">
        <v>2518</v>
      </c>
      <c r="V618" s="6" t="s">
        <v>66</v>
      </c>
      <c r="W618" s="3" t="s">
        <v>158</v>
      </c>
      <c r="X618" s="3" t="s">
        <v>364</v>
      </c>
      <c r="Y618" s="3" t="s">
        <v>2265</v>
      </c>
      <c r="Z618" s="8" t="str">
        <f>HYPERLINK("http://ncar.ucar.edu/","http://ncar.ucar.edu/")</f>
        <v>http://ncar.ucar.edu/</v>
      </c>
      <c r="AA618" s="8" t="str">
        <f>HYPERLINK("https://www.fin.ucar.edu/polpro/section3/3-2.html","https://www.fin.ucar.edu/polpro/section3/3-2.html")</f>
        <v>https://www.fin.ucar.edu/polpro/section3/3-2.html</v>
      </c>
      <c r="AB618" s="8" t="str">
        <f>HYPERLINK("http://opensky.library.ucar.edu/","http://opensky.library.ucar.edu/")</f>
        <v>http://opensky.library.ucar.edu/</v>
      </c>
      <c r="AC618" s="3">
        <v>40066</v>
      </c>
      <c r="AG618" s="3" t="s">
        <v>244</v>
      </c>
      <c r="AH618" s="3" t="s">
        <v>244</v>
      </c>
      <c r="AI618" s="3" t="s">
        <v>244</v>
      </c>
      <c r="AJ618" s="3" t="s">
        <v>244</v>
      </c>
      <c r="AK618" s="3" t="s">
        <v>244</v>
      </c>
      <c r="AL618" s="3" t="s">
        <v>244</v>
      </c>
      <c r="AM618" s="3" t="s">
        <v>247</v>
      </c>
      <c r="AN618" s="3" t="s">
        <v>244</v>
      </c>
      <c r="AO618" s="3" t="s">
        <v>247</v>
      </c>
      <c r="AP618" s="3" t="s">
        <v>244</v>
      </c>
      <c r="AQ618" s="3" t="s">
        <v>247</v>
      </c>
      <c r="AR618" s="3" t="s">
        <v>288</v>
      </c>
      <c r="AS618" s="3" t="s">
        <v>244</v>
      </c>
      <c r="AT618" s="3" t="s">
        <v>244</v>
      </c>
      <c r="AU618" s="3" t="s">
        <v>244</v>
      </c>
      <c r="AV618" s="3" t="s">
        <v>288</v>
      </c>
      <c r="AW618" s="3" t="s">
        <v>244</v>
      </c>
      <c r="AX618" s="3" t="s">
        <v>244</v>
      </c>
      <c r="AY618" s="3" t="s">
        <v>247</v>
      </c>
    </row>
    <row r="619" spans="1:52" ht="15.75" customHeight="1">
      <c r="A619" s="3">
        <v>491</v>
      </c>
      <c r="B619" s="5" t="str">
        <f t="shared" si="0"/>
        <v>http://roarmap.eprints.org/491/</v>
      </c>
      <c r="C619" s="3">
        <v>3</v>
      </c>
      <c r="D619" s="3" t="s">
        <v>98</v>
      </c>
      <c r="E619" s="3">
        <v>1</v>
      </c>
      <c r="F619" s="3" t="s">
        <v>2268</v>
      </c>
      <c r="G619" s="3">
        <v>41988.924039351848</v>
      </c>
      <c r="H619" s="3">
        <v>41988.924039351848</v>
      </c>
      <c r="I619" s="3">
        <v>41988.924039351848</v>
      </c>
      <c r="J619" s="3" t="s">
        <v>103</v>
      </c>
      <c r="K619" s="3" t="s">
        <v>105</v>
      </c>
      <c r="L619" s="3" t="s">
        <v>2269</v>
      </c>
      <c r="M619" s="3" t="s">
        <v>374</v>
      </c>
      <c r="N619" s="3" t="s">
        <v>2270</v>
      </c>
      <c r="P619" s="3" t="s">
        <v>215</v>
      </c>
      <c r="Q619" t="str">
        <f t="shared" si="38"/>
        <v>http://roarmap.eprints.org/view/country/840.html</v>
      </c>
      <c r="R619" s="3">
        <v>840</v>
      </c>
      <c r="S619" s="6" t="s">
        <v>359</v>
      </c>
      <c r="T619" s="9">
        <v>840</v>
      </c>
      <c r="U619" s="7" t="s">
        <v>2518</v>
      </c>
      <c r="V619" s="6" t="s">
        <v>66</v>
      </c>
      <c r="W619" s="3" t="s">
        <v>158</v>
      </c>
      <c r="X619" s="3" t="s">
        <v>364</v>
      </c>
      <c r="Y619" s="3" t="s">
        <v>2269</v>
      </c>
      <c r="Z619" s="8" t="str">
        <f>HYPERLINK("http://publicaccess.nih.gov/policy.htm","http://publicaccess.nih.gov/policy.htm")</f>
        <v>http://publicaccess.nih.gov/policy.htm</v>
      </c>
      <c r="AA619" s="8" t="str">
        <f>HYPERLINK("http://publicaccess.nih.gov/","http://publicaccess.nih.gov/")</f>
        <v>http://publicaccess.nih.gov/</v>
      </c>
      <c r="AB619" s="8" t="str">
        <f>HYPERLINK("http://www.ncbi.nlm.nih.gov/pmc/","http://www.ncbi.nlm.nih.gov/pmc/")</f>
        <v>http://www.ncbi.nlm.nih.gov/pmc/</v>
      </c>
      <c r="AD619" s="3">
        <v>39545</v>
      </c>
      <c r="AF619" s="3" t="s">
        <v>177</v>
      </c>
      <c r="AG619" s="3" t="s">
        <v>178</v>
      </c>
      <c r="AH619" s="3" t="s">
        <v>463</v>
      </c>
      <c r="AI619" s="3" t="s">
        <v>392</v>
      </c>
      <c r="AJ619" s="3" t="s">
        <v>182</v>
      </c>
      <c r="AK619" s="3" t="s">
        <v>393</v>
      </c>
      <c r="AL619" s="3" t="s">
        <v>185</v>
      </c>
      <c r="AM619" s="3" t="s">
        <v>178</v>
      </c>
      <c r="AN619" s="3" t="s">
        <v>185</v>
      </c>
      <c r="AO619" s="3" t="s">
        <v>378</v>
      </c>
      <c r="AP619" s="3" t="s">
        <v>189</v>
      </c>
      <c r="AQ619" s="3" t="s">
        <v>394</v>
      </c>
      <c r="AR619" s="3" t="s">
        <v>288</v>
      </c>
      <c r="AS619" s="3" t="s">
        <v>185</v>
      </c>
      <c r="AT619" s="3" t="s">
        <v>395</v>
      </c>
      <c r="AU619" s="3" t="s">
        <v>244</v>
      </c>
      <c r="AV619" s="3" t="s">
        <v>244</v>
      </c>
      <c r="AW619" s="3" t="s">
        <v>371</v>
      </c>
      <c r="AX619" s="3" t="s">
        <v>442</v>
      </c>
      <c r="AY619" s="3" t="s">
        <v>198</v>
      </c>
    </row>
    <row r="620" spans="1:52" ht="15.75" customHeight="1">
      <c r="A620" s="3">
        <v>492</v>
      </c>
      <c r="B620" s="5" t="str">
        <f t="shared" si="0"/>
        <v>http://roarmap.eprints.org/492/</v>
      </c>
      <c r="C620" s="3">
        <v>3</v>
      </c>
      <c r="D620" s="3" t="s">
        <v>98</v>
      </c>
      <c r="E620" s="3">
        <v>1</v>
      </c>
      <c r="F620" s="3" t="s">
        <v>2271</v>
      </c>
      <c r="G620" s="3">
        <v>41988.924039351848</v>
      </c>
      <c r="H620" s="3">
        <v>41988.924039351848</v>
      </c>
      <c r="I620" s="3">
        <v>41988.924039351848</v>
      </c>
      <c r="J620" s="3" t="s">
        <v>103</v>
      </c>
      <c r="K620" s="3" t="s">
        <v>105</v>
      </c>
      <c r="L620" s="3" t="s">
        <v>2272</v>
      </c>
      <c r="M620" s="3" t="s">
        <v>374</v>
      </c>
      <c r="N620" s="3" t="s">
        <v>2273</v>
      </c>
      <c r="P620" s="3" t="s">
        <v>215</v>
      </c>
      <c r="Q620" t="str">
        <f t="shared" si="38"/>
        <v>http://roarmap.eprints.org/view/country/840.html</v>
      </c>
      <c r="R620" s="3">
        <v>840</v>
      </c>
      <c r="S620" s="6" t="s">
        <v>359</v>
      </c>
      <c r="T620" s="9">
        <v>840</v>
      </c>
      <c r="U620" s="7" t="s">
        <v>2518</v>
      </c>
      <c r="V620" s="6" t="s">
        <v>66</v>
      </c>
      <c r="W620" s="3" t="s">
        <v>158</v>
      </c>
      <c r="X620" s="3" t="s">
        <v>160</v>
      </c>
      <c r="Y620" s="3" t="s">
        <v>2272</v>
      </c>
      <c r="Z620" s="8" t="str">
        <f>HYPERLINK("https://home.oberlin.edu/","https://home.oberlin.edu/")</f>
        <v>https://home.oberlin.edu/</v>
      </c>
      <c r="AA620" s="8" t="str">
        <f>HYPERLINK("http://oberlin.edu/library/programs/openaccess/resolution.html","http://oberlin.edu/library/programs/openaccess/resolution.html")</f>
        <v>http://oberlin.edu/library/programs/openaccess/resolution.html</v>
      </c>
      <c r="AB620" s="8" t="str">
        <f>HYPERLINK("http://ohio5.openrepository.com/ohio5/handle/11282/293015","http://ohio5.openrepository.com/ohio5/handle/11282/293015")</f>
        <v>http://ohio5.openrepository.com/ohio5/handle/11282/293015</v>
      </c>
      <c r="AC620" s="3">
        <v>40135</v>
      </c>
      <c r="AF620" s="3" t="s">
        <v>478</v>
      </c>
      <c r="AG620" s="3" t="s">
        <v>178</v>
      </c>
      <c r="AH620" s="3" t="s">
        <v>180</v>
      </c>
      <c r="AI620" s="3" t="s">
        <v>392</v>
      </c>
      <c r="AJ620" s="3" t="s">
        <v>182</v>
      </c>
      <c r="AK620" s="3" t="s">
        <v>393</v>
      </c>
      <c r="AL620" s="3" t="s">
        <v>189</v>
      </c>
      <c r="AM620" s="3" t="s">
        <v>479</v>
      </c>
      <c r="AN620" s="3" t="s">
        <v>189</v>
      </c>
      <c r="AO620" s="3" t="s">
        <v>247</v>
      </c>
      <c r="AP620" s="3" t="s">
        <v>244</v>
      </c>
      <c r="AQ620" s="3" t="s">
        <v>394</v>
      </c>
      <c r="AR620" s="3" t="s">
        <v>288</v>
      </c>
      <c r="AS620" s="3" t="s">
        <v>189</v>
      </c>
      <c r="AT620" s="3" t="s">
        <v>244</v>
      </c>
      <c r="AU620" s="3" t="s">
        <v>244</v>
      </c>
      <c r="AV620" s="3" t="s">
        <v>288</v>
      </c>
      <c r="AW620" s="3" t="s">
        <v>371</v>
      </c>
      <c r="AX620" s="3" t="s">
        <v>244</v>
      </c>
      <c r="AY620" s="3" t="s">
        <v>247</v>
      </c>
    </row>
    <row r="621" spans="1:52" ht="15.75" customHeight="1">
      <c r="A621" s="3">
        <v>493</v>
      </c>
      <c r="B621" s="5" t="str">
        <f t="shared" si="0"/>
        <v>http://roarmap.eprints.org/493/</v>
      </c>
      <c r="C621" s="3">
        <v>6</v>
      </c>
      <c r="D621" s="3" t="s">
        <v>98</v>
      </c>
      <c r="E621" s="3">
        <v>328</v>
      </c>
      <c r="F621" s="3" t="s">
        <v>2274</v>
      </c>
      <c r="G621" s="3">
        <v>41988.924039351848</v>
      </c>
      <c r="H621" s="3">
        <v>42046.981736111113</v>
      </c>
      <c r="I621" s="3">
        <v>41988.924039351848</v>
      </c>
      <c r="J621" s="3" t="s">
        <v>103</v>
      </c>
      <c r="K621" s="3" t="s">
        <v>105</v>
      </c>
      <c r="L621" s="3" t="s">
        <v>2275</v>
      </c>
      <c r="M621" s="3" t="s">
        <v>374</v>
      </c>
      <c r="N621" s="3" t="s">
        <v>2276</v>
      </c>
      <c r="O621" s="3" t="s">
        <v>2277</v>
      </c>
      <c r="P621" s="3" t="s">
        <v>215</v>
      </c>
      <c r="Q621" t="str">
        <f t="shared" si="38"/>
        <v>http://roarmap.eprints.org/view/country/840.html</v>
      </c>
      <c r="R621" s="3">
        <v>840</v>
      </c>
      <c r="S621" s="6" t="s">
        <v>359</v>
      </c>
      <c r="T621" s="9">
        <v>840</v>
      </c>
      <c r="U621" s="7" t="s">
        <v>2518</v>
      </c>
      <c r="V621" s="6" t="s">
        <v>66</v>
      </c>
      <c r="W621" s="3" t="s">
        <v>158</v>
      </c>
      <c r="X621" s="3" t="s">
        <v>160</v>
      </c>
      <c r="Y621" s="3" t="s">
        <v>2275</v>
      </c>
      <c r="Z621" s="8" t="str">
        <f>HYPERLINK("http://oregonstate.edu/","http://oregonstate.edu/")</f>
        <v>http://oregonstate.edu/</v>
      </c>
      <c r="AA621" s="8" t="str">
        <f>HYPERLINK("http://cdss.library.oregonstate.edu/sites/default/files/osu_openacesspolicy_final_single_page.pdf","http://cdss.library.oregonstate.edu/sites/default/files/osu_openacesspolicy_final_single_page.pdf")</f>
        <v>http://cdss.library.oregonstate.edu/sites/default/files/osu_openacesspolicy_final_single_page.pdf</v>
      </c>
      <c r="AB621" s="8" t="str">
        <f>HYPERLINK("http://ir.library.oregonstate.edu","http://ir.library.oregonstate.edu")</f>
        <v>http://ir.library.oregonstate.edu</v>
      </c>
      <c r="AC621" s="3">
        <v>41438</v>
      </c>
      <c r="AD621" s="3">
        <v>41438</v>
      </c>
      <c r="AE621" s="3">
        <v>41438</v>
      </c>
      <c r="AF621" s="3" t="s">
        <v>478</v>
      </c>
      <c r="AG621" s="3" t="s">
        <v>178</v>
      </c>
      <c r="AH621" s="3" t="s">
        <v>180</v>
      </c>
      <c r="AI621" s="3" t="s">
        <v>244</v>
      </c>
      <c r="AJ621" s="3" t="s">
        <v>182</v>
      </c>
      <c r="AK621" s="3" t="s">
        <v>393</v>
      </c>
      <c r="AL621" s="3" t="s">
        <v>189</v>
      </c>
      <c r="AM621" s="3" t="s">
        <v>178</v>
      </c>
      <c r="AN621" s="3" t="s">
        <v>189</v>
      </c>
      <c r="AO621" s="3" t="s">
        <v>621</v>
      </c>
      <c r="AP621" s="3" t="s">
        <v>244</v>
      </c>
      <c r="AQ621" s="3" t="s">
        <v>648</v>
      </c>
      <c r="AR621" s="3" t="s">
        <v>189</v>
      </c>
      <c r="AS621" s="3" t="s">
        <v>244</v>
      </c>
      <c r="AT621" s="3" t="s">
        <v>244</v>
      </c>
      <c r="AU621" s="3" t="s">
        <v>244</v>
      </c>
      <c r="AV621" s="3" t="s">
        <v>244</v>
      </c>
      <c r="AW621" s="3" t="s">
        <v>371</v>
      </c>
      <c r="AX621" s="3" t="s">
        <v>244</v>
      </c>
      <c r="AY621" s="3" t="s">
        <v>247</v>
      </c>
    </row>
    <row r="622" spans="1:52" ht="15.75" customHeight="1">
      <c r="A622" s="3">
        <v>494</v>
      </c>
      <c r="B622" s="5" t="str">
        <f t="shared" si="0"/>
        <v>http://roarmap.eprints.org/494/</v>
      </c>
      <c r="C622" s="3">
        <v>4</v>
      </c>
      <c r="D622" s="3" t="s">
        <v>98</v>
      </c>
      <c r="E622" s="3">
        <v>328</v>
      </c>
      <c r="F622" s="3" t="s">
        <v>2278</v>
      </c>
      <c r="G622" s="3">
        <v>41988.924039351848</v>
      </c>
      <c r="H622" s="3">
        <v>42046.981736111113</v>
      </c>
      <c r="I622" s="3">
        <v>41988.924039351848</v>
      </c>
      <c r="J622" s="3" t="s">
        <v>103</v>
      </c>
      <c r="K622" s="3" t="s">
        <v>105</v>
      </c>
      <c r="L622" s="3" t="s">
        <v>2279</v>
      </c>
      <c r="M622" s="3" t="s">
        <v>374</v>
      </c>
      <c r="N622" s="3" t="s">
        <v>2280</v>
      </c>
      <c r="P622" s="3" t="s">
        <v>215</v>
      </c>
      <c r="Q622" t="str">
        <f t="shared" si="38"/>
        <v>http://roarmap.eprints.org/view/country/840.html</v>
      </c>
      <c r="R622" s="3">
        <v>840</v>
      </c>
      <c r="S622" s="6" t="s">
        <v>359</v>
      </c>
      <c r="T622" s="9">
        <v>840</v>
      </c>
      <c r="U622" s="7" t="s">
        <v>2518</v>
      </c>
      <c r="V622" s="6" t="s">
        <v>66</v>
      </c>
      <c r="W622" s="3" t="s">
        <v>158</v>
      </c>
      <c r="X622" s="3" t="s">
        <v>384</v>
      </c>
      <c r="Y622" s="3" t="s">
        <v>2279</v>
      </c>
      <c r="Z622" s="8" t="str">
        <f>HYPERLINK("http://ceoas.oregonstate.edu/","http://ceoas.oregonstate.edu/")</f>
        <v>http://ceoas.oregonstate.edu/</v>
      </c>
      <c r="AA622" s="8" t="str">
        <f>HYPERLINK("http://ceoas.oregonstate.edu/facultystaff/files/Open_Access_Policy.pdf","http://ceoas.oregonstate.edu/facultystaff/files/Open_Access_Policy.pdf")</f>
        <v>http://ceoas.oregonstate.edu/facultystaff/files/Open_Access_Policy.pdf</v>
      </c>
      <c r="AB622" s="8" t="str">
        <f>HYPERLINK("http://ir.library.oregonstate.edu/xmlui/handle/1957/1309","http://ir.library.oregonstate.edu/xmlui/handle/1957/1309")</f>
        <v>http://ir.library.oregonstate.edu/xmlui/handle/1957/1309</v>
      </c>
      <c r="AC622" s="3">
        <v>40221</v>
      </c>
      <c r="AD622" s="3">
        <v>40268</v>
      </c>
      <c r="AE622" s="3">
        <v>40863</v>
      </c>
      <c r="AF622" s="3" t="s">
        <v>371</v>
      </c>
      <c r="AG622" s="3" t="s">
        <v>244</v>
      </c>
      <c r="AH622" s="3" t="s">
        <v>180</v>
      </c>
      <c r="AI622" s="3" t="s">
        <v>371</v>
      </c>
      <c r="AJ622" s="3" t="s">
        <v>371</v>
      </c>
      <c r="AK622" s="3" t="s">
        <v>244</v>
      </c>
      <c r="AL622" s="3" t="s">
        <v>244</v>
      </c>
      <c r="AM622" s="3" t="s">
        <v>371</v>
      </c>
      <c r="AN622" s="3" t="s">
        <v>244</v>
      </c>
      <c r="AO622" s="3" t="s">
        <v>371</v>
      </c>
      <c r="AP622" s="3" t="s">
        <v>244</v>
      </c>
      <c r="AQ622" s="3" t="s">
        <v>386</v>
      </c>
      <c r="AR622" s="3" t="s">
        <v>288</v>
      </c>
      <c r="AS622" s="3" t="s">
        <v>288</v>
      </c>
      <c r="AT622" s="3" t="s">
        <v>244</v>
      </c>
      <c r="AU622" s="3" t="s">
        <v>244</v>
      </c>
      <c r="AV622" s="3" t="s">
        <v>288</v>
      </c>
      <c r="AW622" s="3" t="s">
        <v>339</v>
      </c>
      <c r="AX622" s="3" t="s">
        <v>442</v>
      </c>
      <c r="AY622" s="3" t="s">
        <v>247</v>
      </c>
    </row>
    <row r="623" spans="1:52" ht="15.75" customHeight="1">
      <c r="A623" s="3">
        <v>495</v>
      </c>
      <c r="B623" s="5" t="str">
        <f t="shared" si="0"/>
        <v>http://roarmap.eprints.org/495/</v>
      </c>
      <c r="C623" s="3">
        <v>4</v>
      </c>
      <c r="D623" s="3" t="s">
        <v>98</v>
      </c>
      <c r="E623" s="3">
        <v>328</v>
      </c>
      <c r="F623" s="3" t="s">
        <v>2281</v>
      </c>
      <c r="G623" s="3">
        <v>41988.924039351848</v>
      </c>
      <c r="H623" s="3">
        <v>42046.981736111113</v>
      </c>
      <c r="I623" s="3">
        <v>41988.924039351848</v>
      </c>
      <c r="J623" s="3" t="s">
        <v>103</v>
      </c>
      <c r="K623" s="3" t="s">
        <v>105</v>
      </c>
      <c r="L623" s="3" t="s">
        <v>2282</v>
      </c>
      <c r="M623" s="3" t="s">
        <v>374</v>
      </c>
      <c r="N623" s="3" t="s">
        <v>2283</v>
      </c>
      <c r="P623" s="3" t="s">
        <v>215</v>
      </c>
      <c r="Q623" t="str">
        <f t="shared" si="38"/>
        <v>http://roarmap.eprints.org/view/country/840.html</v>
      </c>
      <c r="R623" s="3">
        <v>840</v>
      </c>
      <c r="S623" s="6" t="s">
        <v>359</v>
      </c>
      <c r="T623" s="9">
        <v>840</v>
      </c>
      <c r="U623" s="7" t="s">
        <v>2518</v>
      </c>
      <c r="V623" s="6" t="s">
        <v>66</v>
      </c>
      <c r="W623" s="3" t="s">
        <v>158</v>
      </c>
      <c r="X623" s="3" t="s">
        <v>384</v>
      </c>
      <c r="Y623" s="3" t="s">
        <v>2282</v>
      </c>
      <c r="Z623" s="8" t="str">
        <f>HYPERLINK("http://osulibrary.oregonstate.edu/","http://osulibrary.oregonstate.edu/")</f>
        <v>http://osulibrary.oregonstate.edu/</v>
      </c>
      <c r="AA623" s="8" t="str">
        <f>HYPERLINK("http://ir.library.oregonstate.edu/xmlui/bitstream/handle/1957/10850/Library%20Faculty%20Open%20Access%20Policy%2020091113%20revision.pdf?sequence=7","http://ir.library.oregonstate.edu/xmlui/bitstream/handle/1957/10850/Library%20Faculty%20Open%20Access%20Policy%2020091113%20revision.pdf?sequence=7")</f>
        <v>http://ir.library.oregonstate.edu/xmlui/bitstream/handle/1957/10850/Library%20Faculty%20Open%20Access%20Policy%2020091113%20revision.pdf?sequence=7</v>
      </c>
      <c r="AB623" s="8" t="str">
        <f>HYPERLINK("http://ir.library.oregonstate.edu/xmlui/","http://ir.library.oregonstate.edu/xmlui/")</f>
        <v>http://ir.library.oregonstate.edu/xmlui/</v>
      </c>
      <c r="AC623" s="3">
        <v>39878</v>
      </c>
      <c r="AE623" s="3">
        <v>40130</v>
      </c>
      <c r="AF623" s="3" t="s">
        <v>478</v>
      </c>
      <c r="AG623" s="3" t="s">
        <v>244</v>
      </c>
      <c r="AH623" s="3" t="s">
        <v>180</v>
      </c>
      <c r="AI623" s="3" t="s">
        <v>392</v>
      </c>
      <c r="AJ623" s="3" t="s">
        <v>371</v>
      </c>
      <c r="AK623" s="3" t="s">
        <v>371</v>
      </c>
      <c r="AL623" s="3" t="s">
        <v>244</v>
      </c>
      <c r="AM623" s="3" t="s">
        <v>371</v>
      </c>
      <c r="AN623" s="3" t="s">
        <v>244</v>
      </c>
      <c r="AO623" s="3" t="s">
        <v>371</v>
      </c>
      <c r="AP623" s="3" t="s">
        <v>244</v>
      </c>
      <c r="AQ623" s="3" t="s">
        <v>386</v>
      </c>
      <c r="AR623" s="3" t="s">
        <v>288</v>
      </c>
      <c r="AS623" s="3" t="s">
        <v>288</v>
      </c>
      <c r="AT623" s="3" t="s">
        <v>244</v>
      </c>
      <c r="AU623" s="3" t="s">
        <v>244</v>
      </c>
      <c r="AV623" s="3" t="s">
        <v>288</v>
      </c>
      <c r="AW623" s="3" t="s">
        <v>339</v>
      </c>
      <c r="AX623" s="3" t="s">
        <v>442</v>
      </c>
      <c r="AY623" s="3" t="s">
        <v>247</v>
      </c>
    </row>
    <row r="624" spans="1:52" ht="15.75" customHeight="1">
      <c r="A624" s="3">
        <v>747</v>
      </c>
      <c r="B624" s="5" t="str">
        <f t="shared" si="0"/>
        <v>http://roarmap.eprints.org/747/</v>
      </c>
      <c r="C624" s="3">
        <v>5</v>
      </c>
      <c r="D624" s="3" t="s">
        <v>98</v>
      </c>
      <c r="E624" s="3">
        <v>677</v>
      </c>
      <c r="F624" s="3" t="s">
        <v>2284</v>
      </c>
      <c r="G624" s="3">
        <v>42115.56795138889</v>
      </c>
      <c r="H624" s="3">
        <v>42115.712905092594</v>
      </c>
      <c r="I624" s="3">
        <v>42115.56795138889</v>
      </c>
      <c r="J624" s="3" t="s">
        <v>103</v>
      </c>
      <c r="K624" s="3" t="s">
        <v>105</v>
      </c>
      <c r="L624" s="3" t="s">
        <v>2285</v>
      </c>
      <c r="P624" s="3" t="s">
        <v>215</v>
      </c>
      <c r="Q624" t="str">
        <f t="shared" si="38"/>
        <v>http://roarmap.eprints.org/view/country/840.html</v>
      </c>
      <c r="R624" s="3">
        <v>840</v>
      </c>
      <c r="S624" s="6" t="s">
        <v>359</v>
      </c>
      <c r="T624" s="9">
        <v>840</v>
      </c>
      <c r="U624" s="7" t="s">
        <v>2518</v>
      </c>
      <c r="V624" s="6" t="s">
        <v>66</v>
      </c>
      <c r="W624" s="3" t="s">
        <v>158</v>
      </c>
      <c r="X624" s="3" t="s">
        <v>160</v>
      </c>
      <c r="Y624" s="3" t="s">
        <v>2285</v>
      </c>
      <c r="Z624" s="8" t="str">
        <f>HYPERLINK("http://www.pacificu.edu/","http://www.pacificu.edu/")</f>
        <v>http://www.pacificu.edu/</v>
      </c>
      <c r="AA624" s="8" t="str">
        <f>HYPERLINK("http://www.pacificu.edu/sites/default/files/documents/PU_OA_Resolution_Approved.pdf","http://www.pacificu.edu/sites/default/files/documents/PU_OA_Resolution_Approved.pdf")</f>
        <v>http://www.pacificu.edu/sites/default/files/documents/PU_OA_Resolution_Approved.pdf</v>
      </c>
      <c r="AB624" s="8" t="str">
        <f>HYPERLINK("http://commons.pacificu.edu/","http://commons.pacificu.edu/")</f>
        <v>http://commons.pacificu.edu/</v>
      </c>
      <c r="AC624" s="3">
        <v>40885</v>
      </c>
      <c r="AF624" s="3" t="s">
        <v>478</v>
      </c>
      <c r="AG624" s="3" t="s">
        <v>333</v>
      </c>
      <c r="AH624" s="3" t="s">
        <v>180</v>
      </c>
      <c r="AI624" s="3" t="s">
        <v>244</v>
      </c>
      <c r="AJ624" s="3" t="s">
        <v>244</v>
      </c>
      <c r="AK624" s="3" t="s">
        <v>244</v>
      </c>
      <c r="AL624" s="3" t="s">
        <v>244</v>
      </c>
      <c r="AM624" s="3" t="s">
        <v>247</v>
      </c>
      <c r="AN624" s="3" t="s">
        <v>244</v>
      </c>
      <c r="AO624" s="3" t="s">
        <v>247</v>
      </c>
      <c r="AP624" s="3" t="s">
        <v>244</v>
      </c>
      <c r="AQ624" s="3" t="s">
        <v>247</v>
      </c>
      <c r="AR624" s="3" t="s">
        <v>244</v>
      </c>
      <c r="AS624" s="3" t="s">
        <v>244</v>
      </c>
      <c r="AT624" s="3" t="s">
        <v>244</v>
      </c>
      <c r="AU624" s="3" t="s">
        <v>244</v>
      </c>
      <c r="AV624" s="3" t="s">
        <v>244</v>
      </c>
      <c r="AW624" s="3" t="s">
        <v>244</v>
      </c>
      <c r="AX624" s="3" t="s">
        <v>244</v>
      </c>
      <c r="AY624" s="3" t="s">
        <v>247</v>
      </c>
    </row>
    <row r="625" spans="1:51" ht="15.75" customHeight="1">
      <c r="A625" s="3">
        <v>714</v>
      </c>
      <c r="B625" s="5" t="str">
        <f t="shared" si="0"/>
        <v>http://roarmap.eprints.org/714/</v>
      </c>
      <c r="C625" s="3">
        <v>6</v>
      </c>
      <c r="D625" s="3" t="s">
        <v>98</v>
      </c>
      <c r="E625" s="3">
        <v>465</v>
      </c>
      <c r="F625" s="3" t="s">
        <v>2286</v>
      </c>
      <c r="G625" s="3">
        <v>42093.548449074071</v>
      </c>
      <c r="H625" s="3">
        <v>42093.548449074071</v>
      </c>
      <c r="I625" s="3">
        <v>42093.548449074071</v>
      </c>
      <c r="J625" s="3" t="s">
        <v>103</v>
      </c>
      <c r="K625" s="3" t="s">
        <v>105</v>
      </c>
      <c r="L625" s="3" t="s">
        <v>2287</v>
      </c>
      <c r="P625" s="3" t="s">
        <v>2288</v>
      </c>
      <c r="Q625" t="str">
        <f t="shared" si="38"/>
        <v>http://roarmap.eprints.org/view/country/840.html</v>
      </c>
      <c r="R625" s="3">
        <v>840</v>
      </c>
      <c r="S625" s="6" t="s">
        <v>359</v>
      </c>
      <c r="T625" s="9">
        <v>840</v>
      </c>
      <c r="U625" s="7" t="s">
        <v>2518</v>
      </c>
      <c r="V625" s="6" t="s">
        <v>66</v>
      </c>
      <c r="W625" s="3" t="s">
        <v>158</v>
      </c>
      <c r="X625" s="3" t="s">
        <v>160</v>
      </c>
      <c r="Y625" s="3" t="s">
        <v>2287</v>
      </c>
      <c r="Z625" s="8" t="str">
        <f>HYPERLINK("http://www.libraries.psu.edu","http://www.libraries.psu.edu")</f>
        <v>http://www.libraries.psu.edu</v>
      </c>
      <c r="AA625" s="8" t="str">
        <f>HYPERLINK("http://www.libraries.psu.edu/psul/pubcur/LFOandOA/Libraries_OA_Policy_Notes.html","http://www.libraries.psu.edu/psul/pubcur/LFOandOA/Libraries_OA_Policy_Notes.html")</f>
        <v>http://www.libraries.psu.edu/psul/pubcur/LFOandOA/Libraries_OA_Policy_Notes.html</v>
      </c>
      <c r="AB625" s="8" t="str">
        <f>HYPERLINK("https://scholarsphere.psu.edu/","https://scholarsphere.psu.edu/")</f>
        <v>https://scholarsphere.psu.edu/</v>
      </c>
      <c r="AC625" s="3">
        <v>42046</v>
      </c>
      <c r="AD625" s="3">
        <v>42046</v>
      </c>
      <c r="AF625" s="3" t="s">
        <v>478</v>
      </c>
      <c r="AG625" s="3" t="s">
        <v>333</v>
      </c>
      <c r="AH625" s="3" t="s">
        <v>370</v>
      </c>
      <c r="AI625" s="3" t="s">
        <v>392</v>
      </c>
      <c r="AJ625" s="3" t="s">
        <v>182</v>
      </c>
      <c r="AK625" s="3" t="s">
        <v>393</v>
      </c>
      <c r="AL625" s="3" t="s">
        <v>189</v>
      </c>
      <c r="AM625" s="3" t="s">
        <v>479</v>
      </c>
      <c r="AN625" s="3" t="s">
        <v>244</v>
      </c>
      <c r="AO625" s="3" t="s">
        <v>247</v>
      </c>
      <c r="AP625" s="3" t="s">
        <v>185</v>
      </c>
      <c r="AQ625" s="3" t="s">
        <v>648</v>
      </c>
      <c r="AR625" s="3" t="s">
        <v>244</v>
      </c>
      <c r="AS625" s="3" t="s">
        <v>244</v>
      </c>
      <c r="AT625" s="3" t="s">
        <v>244</v>
      </c>
      <c r="AU625" s="3" t="s">
        <v>244</v>
      </c>
      <c r="AV625" s="3" t="s">
        <v>288</v>
      </c>
      <c r="AW625" s="3" t="s">
        <v>244</v>
      </c>
      <c r="AX625" s="3" t="s">
        <v>244</v>
      </c>
      <c r="AY625" s="3" t="s">
        <v>247</v>
      </c>
    </row>
    <row r="626" spans="1:51" ht="15.75" customHeight="1">
      <c r="A626" s="3">
        <v>496</v>
      </c>
      <c r="B626" s="5" t="str">
        <f t="shared" si="0"/>
        <v>http://roarmap.eprints.org/496/</v>
      </c>
      <c r="C626" s="3">
        <v>3</v>
      </c>
      <c r="D626" s="3" t="s">
        <v>98</v>
      </c>
      <c r="E626" s="3">
        <v>1</v>
      </c>
      <c r="F626" s="3" t="s">
        <v>2289</v>
      </c>
      <c r="G626" s="3">
        <v>41988.924050925925</v>
      </c>
      <c r="H626" s="3">
        <v>41988.924050925925</v>
      </c>
      <c r="I626" s="3">
        <v>41988.924050925925</v>
      </c>
      <c r="J626" s="3" t="s">
        <v>103</v>
      </c>
      <c r="K626" s="3" t="s">
        <v>105</v>
      </c>
      <c r="L626" s="3" t="s">
        <v>2290</v>
      </c>
      <c r="M626" s="3" t="s">
        <v>374</v>
      </c>
      <c r="N626" s="3" t="s">
        <v>2291</v>
      </c>
      <c r="P626" s="3" t="s">
        <v>215</v>
      </c>
      <c r="Q626" t="str">
        <f t="shared" si="38"/>
        <v>http://roarmap.eprints.org/view/country/840.html</v>
      </c>
      <c r="R626" s="3">
        <v>840</v>
      </c>
      <c r="S626" s="6" t="s">
        <v>359</v>
      </c>
      <c r="T626" s="9">
        <v>840</v>
      </c>
      <c r="U626" s="7" t="s">
        <v>2518</v>
      </c>
      <c r="V626" s="6" t="s">
        <v>66</v>
      </c>
      <c r="W626" s="3" t="s">
        <v>158</v>
      </c>
      <c r="X626" s="3" t="s">
        <v>160</v>
      </c>
      <c r="Y626" s="3" t="s">
        <v>2290</v>
      </c>
      <c r="Z626" s="8" t="str">
        <f>HYPERLINK("http://www.princeton.edu/","http://www.princeton.edu/")</f>
        <v>http://www.princeton.edu/</v>
      </c>
      <c r="AA626" s="8" t="str">
        <f>HYPERLINK("http://www.cs.princeton.edu/~appel/open-access-report.pdf","http://www.cs.princeton.edu/~appel/open-access-report.pdf")</f>
        <v>http://www.cs.princeton.edu/~appel/open-access-report.pdf</v>
      </c>
      <c r="AB626" s="8" t="str">
        <f>HYPERLINK("http://dataspace.princeton.edu/jspui/","http://dataspace.princeton.edu/jspui/")</f>
        <v>http://dataspace.princeton.edu/jspui/</v>
      </c>
      <c r="AC626" s="3">
        <v>40626</v>
      </c>
      <c r="AF626" s="3" t="s">
        <v>478</v>
      </c>
      <c r="AG626" s="3" t="s">
        <v>333</v>
      </c>
      <c r="AH626" s="3" t="s">
        <v>180</v>
      </c>
      <c r="AI626" s="3" t="s">
        <v>244</v>
      </c>
      <c r="AJ626" s="3" t="s">
        <v>182</v>
      </c>
      <c r="AK626" s="3" t="s">
        <v>244</v>
      </c>
      <c r="AL626" s="3" t="s">
        <v>288</v>
      </c>
      <c r="AM626" s="3" t="s">
        <v>479</v>
      </c>
      <c r="AN626" s="3" t="s">
        <v>189</v>
      </c>
      <c r="AO626" s="3" t="s">
        <v>247</v>
      </c>
      <c r="AP626" s="3" t="s">
        <v>244</v>
      </c>
      <c r="AQ626" s="3" t="s">
        <v>386</v>
      </c>
      <c r="AR626" s="3" t="s">
        <v>288</v>
      </c>
      <c r="AS626" s="3" t="s">
        <v>189</v>
      </c>
      <c r="AT626" s="3" t="s">
        <v>244</v>
      </c>
      <c r="AU626" s="3" t="s">
        <v>244</v>
      </c>
      <c r="AV626" s="3" t="s">
        <v>288</v>
      </c>
      <c r="AW626" s="3" t="s">
        <v>339</v>
      </c>
      <c r="AX626" s="3" t="s">
        <v>244</v>
      </c>
      <c r="AY626" s="3" t="s">
        <v>247</v>
      </c>
    </row>
    <row r="627" spans="1:51" ht="15.75" customHeight="1">
      <c r="A627" s="3">
        <v>497</v>
      </c>
      <c r="B627" s="5" t="str">
        <f t="shared" si="0"/>
        <v>http://roarmap.eprints.org/497/</v>
      </c>
      <c r="C627" s="3">
        <v>6</v>
      </c>
      <c r="D627" s="3" t="s">
        <v>98</v>
      </c>
      <c r="E627" s="3">
        <v>329</v>
      </c>
      <c r="F627" s="3" t="s">
        <v>2292</v>
      </c>
      <c r="G627" s="3">
        <v>41988.924050925925</v>
      </c>
      <c r="H627" s="3">
        <v>42046.981736111113</v>
      </c>
      <c r="I627" s="3">
        <v>41988.924050925925</v>
      </c>
      <c r="J627" s="3" t="s">
        <v>103</v>
      </c>
      <c r="K627" s="3" t="s">
        <v>105</v>
      </c>
      <c r="L627" s="3" t="s">
        <v>2293</v>
      </c>
      <c r="M627" s="3" t="s">
        <v>374</v>
      </c>
      <c r="O627" s="3" t="s">
        <v>2294</v>
      </c>
      <c r="P627" s="3" t="s">
        <v>215</v>
      </c>
      <c r="Q627" t="str">
        <f t="shared" si="38"/>
        <v>http://roarmap.eprints.org/view/country/840.html</v>
      </c>
      <c r="R627" s="3">
        <v>840</v>
      </c>
      <c r="S627" s="6" t="s">
        <v>359</v>
      </c>
      <c r="T627" s="9">
        <v>840</v>
      </c>
      <c r="U627" s="7" t="s">
        <v>2518</v>
      </c>
      <c r="V627" s="6" t="s">
        <v>66</v>
      </c>
      <c r="W627" s="3" t="s">
        <v>158</v>
      </c>
      <c r="X627" s="3" t="s">
        <v>160</v>
      </c>
      <c r="Y627" s="3" t="s">
        <v>2293</v>
      </c>
      <c r="Z627" s="8" t="str">
        <f>HYPERLINK("http://www.rice.edu/","http://www.rice.edu/")</f>
        <v>http://www.rice.edu/</v>
      </c>
      <c r="AA627" s="8" t="str">
        <f>HYPERLINK("http://openaccess.rice.edu/rice-faculty-senate-policy/","http://openaccess.rice.edu/rice-faculty-senate-policy/")</f>
        <v>http://openaccess.rice.edu/rice-faculty-senate-policy/</v>
      </c>
      <c r="AB627" s="8" t="str">
        <f>HYPERLINK("http://scholarship.rice.edu/","http://scholarship.rice.edu/")</f>
        <v>http://scholarship.rice.edu/</v>
      </c>
      <c r="AC627" s="3">
        <v>41017</v>
      </c>
      <c r="AD627" s="3">
        <v>41017</v>
      </c>
      <c r="AF627" s="3" t="s">
        <v>478</v>
      </c>
      <c r="AG627" s="3" t="s">
        <v>178</v>
      </c>
      <c r="AH627" s="3" t="s">
        <v>180</v>
      </c>
      <c r="AI627" s="3" t="s">
        <v>392</v>
      </c>
      <c r="AJ627" s="3" t="s">
        <v>182</v>
      </c>
      <c r="AK627" s="3" t="s">
        <v>393</v>
      </c>
      <c r="AL627" s="3" t="s">
        <v>189</v>
      </c>
      <c r="AM627" s="3" t="s">
        <v>178</v>
      </c>
      <c r="AN627" s="3" t="s">
        <v>189</v>
      </c>
      <c r="AO627" s="3" t="s">
        <v>392</v>
      </c>
      <c r="AP627" s="3" t="s">
        <v>185</v>
      </c>
      <c r="AQ627" s="3" t="s">
        <v>394</v>
      </c>
      <c r="AR627" s="3" t="s">
        <v>244</v>
      </c>
      <c r="AS627" s="3" t="s">
        <v>189</v>
      </c>
      <c r="AT627" s="3" t="s">
        <v>244</v>
      </c>
      <c r="AU627" s="3" t="s">
        <v>244</v>
      </c>
      <c r="AV627" s="3" t="s">
        <v>244</v>
      </c>
      <c r="AW627" s="3" t="s">
        <v>339</v>
      </c>
      <c r="AX627" s="3" t="s">
        <v>244</v>
      </c>
      <c r="AY627" s="3" t="s">
        <v>198</v>
      </c>
    </row>
    <row r="628" spans="1:51" ht="15.75" customHeight="1">
      <c r="A628" s="3">
        <v>498</v>
      </c>
      <c r="B628" s="5" t="str">
        <f t="shared" si="0"/>
        <v>http://roarmap.eprints.org/498/</v>
      </c>
      <c r="C628" s="3">
        <v>5</v>
      </c>
      <c r="D628" s="3" t="s">
        <v>98</v>
      </c>
      <c r="E628" s="3">
        <v>1</v>
      </c>
      <c r="F628" s="3" t="s">
        <v>2295</v>
      </c>
      <c r="G628" s="3">
        <v>41988.924050925925</v>
      </c>
      <c r="H628" s="3">
        <v>41988.924050925925</v>
      </c>
      <c r="I628" s="3">
        <v>41988.924050925925</v>
      </c>
      <c r="J628" s="3" t="s">
        <v>103</v>
      </c>
      <c r="K628" s="3" t="s">
        <v>105</v>
      </c>
      <c r="L628" s="3" t="s">
        <v>2296</v>
      </c>
      <c r="M628" s="3" t="s">
        <v>374</v>
      </c>
      <c r="N628" s="3" t="s">
        <v>2297</v>
      </c>
      <c r="O628" s="3" t="s">
        <v>2298</v>
      </c>
      <c r="P628" s="3" t="s">
        <v>215</v>
      </c>
      <c r="Q628" t="str">
        <f t="shared" si="38"/>
        <v>http://roarmap.eprints.org/view/country/840.html</v>
      </c>
      <c r="R628" s="3">
        <v>840</v>
      </c>
      <c r="S628" s="6" t="s">
        <v>359</v>
      </c>
      <c r="T628" s="9">
        <v>840</v>
      </c>
      <c r="U628" s="7" t="s">
        <v>2518</v>
      </c>
      <c r="V628" s="6" t="s">
        <v>66</v>
      </c>
      <c r="W628" s="3" t="s">
        <v>158</v>
      </c>
      <c r="X628" s="3" t="s">
        <v>160</v>
      </c>
      <c r="Y628" s="3" t="s">
        <v>2296</v>
      </c>
      <c r="Z628" s="8" t="str">
        <f>HYPERLINK("http://www.rollins.edu/","http://www.rollins.edu/")</f>
        <v>http://www.rollins.edu/</v>
      </c>
      <c r="AA628" s="8" t="str">
        <f>HYPERLINK("http://scholarship.rollins.edu/open_access_policy.pdf","http://scholarship.rollins.edu/open_access_policy.pdf")</f>
        <v>http://scholarship.rollins.edu/open_access_policy.pdf</v>
      </c>
      <c r="AB628" s="8" t="str">
        <f>HYPERLINK("http://scholarship.rollins.edu","http://scholarship.rollins.edu")</f>
        <v>http://scholarship.rollins.edu</v>
      </c>
      <c r="AC628" s="3">
        <v>40234</v>
      </c>
      <c r="AD628" s="3">
        <v>40234</v>
      </c>
      <c r="AE628" s="3">
        <v>40234</v>
      </c>
      <c r="AF628" s="3" t="s">
        <v>478</v>
      </c>
      <c r="AG628" s="3" t="s">
        <v>178</v>
      </c>
      <c r="AH628" s="3" t="s">
        <v>180</v>
      </c>
      <c r="AI628" s="3" t="s">
        <v>244</v>
      </c>
      <c r="AJ628" s="3" t="s">
        <v>182</v>
      </c>
      <c r="AK628" s="3" t="s">
        <v>393</v>
      </c>
      <c r="AL628" s="3" t="s">
        <v>189</v>
      </c>
      <c r="AM628" s="3" t="s">
        <v>479</v>
      </c>
      <c r="AN628" s="3" t="s">
        <v>189</v>
      </c>
      <c r="AO628" s="3" t="s">
        <v>378</v>
      </c>
      <c r="AP628" s="3" t="s">
        <v>244</v>
      </c>
      <c r="AQ628" s="3" t="s">
        <v>247</v>
      </c>
      <c r="AR628" s="3" t="s">
        <v>244</v>
      </c>
      <c r="AS628" s="3" t="s">
        <v>244</v>
      </c>
      <c r="AT628" s="3" t="s">
        <v>193</v>
      </c>
      <c r="AU628" s="3" t="s">
        <v>193</v>
      </c>
      <c r="AV628" s="3" t="s">
        <v>244</v>
      </c>
      <c r="AW628" s="3" t="s">
        <v>244</v>
      </c>
      <c r="AX628" s="3" t="s">
        <v>244</v>
      </c>
      <c r="AY628" s="3" t="s">
        <v>247</v>
      </c>
    </row>
    <row r="629" spans="1:51" ht="15.75" customHeight="1">
      <c r="A629" s="3">
        <v>499</v>
      </c>
      <c r="B629" s="5" t="str">
        <f t="shared" si="0"/>
        <v>http://roarmap.eprints.org/499/</v>
      </c>
      <c r="C629" s="3">
        <v>6</v>
      </c>
      <c r="D629" s="3" t="s">
        <v>98</v>
      </c>
      <c r="E629" s="3">
        <v>330</v>
      </c>
      <c r="F629" s="3" t="s">
        <v>2299</v>
      </c>
      <c r="G629" s="3">
        <v>41988.924050925925</v>
      </c>
      <c r="H629" s="3">
        <v>42065.675208333334</v>
      </c>
      <c r="I629" s="3">
        <v>41988.924050925925</v>
      </c>
      <c r="J629" s="3" t="s">
        <v>103</v>
      </c>
      <c r="K629" s="3" t="s">
        <v>105</v>
      </c>
      <c r="L629" s="3" t="s">
        <v>2300</v>
      </c>
      <c r="M629" s="3" t="s">
        <v>374</v>
      </c>
      <c r="N629" s="3" t="s">
        <v>2301</v>
      </c>
      <c r="P629" s="3" t="s">
        <v>215</v>
      </c>
      <c r="Q629" t="str">
        <f t="shared" si="38"/>
        <v>http://roarmap.eprints.org/view/country/840.html</v>
      </c>
      <c r="R629" s="3">
        <v>840</v>
      </c>
      <c r="S629" s="6" t="s">
        <v>359</v>
      </c>
      <c r="T629" s="9">
        <v>840</v>
      </c>
      <c r="U629" s="7" t="s">
        <v>2518</v>
      </c>
      <c r="V629" s="6" t="s">
        <v>66</v>
      </c>
      <c r="W629" s="3" t="s">
        <v>158</v>
      </c>
      <c r="X629" s="3" t="s">
        <v>160</v>
      </c>
      <c r="Y629" s="3" t="s">
        <v>2300</v>
      </c>
      <c r="Z629" s="8" t="str">
        <f>HYPERLINK("https://www.rutgers.edu/","https://www.rutgers.edu/")</f>
        <v>https://www.rutgers.edu/</v>
      </c>
      <c r="AA629" s="8" t="str">
        <f>HYPERLINK("http://policies.rutgers.edu/50317-currentpdf","http://policies.rutgers.edu/50317-currentpdf")</f>
        <v>http://policies.rutgers.edu/50317-currentpdf</v>
      </c>
      <c r="AB629" s="8" t="str">
        <f>HYPERLINK("https://rucore.libraries.rutgers.edu/","https://rucore.libraries.rutgers.edu/")</f>
        <v>https://rucore.libraries.rutgers.edu/</v>
      </c>
      <c r="AC629" s="3">
        <v>41201</v>
      </c>
      <c r="AD629" s="3">
        <v>42248</v>
      </c>
      <c r="AE629" s="3">
        <v>41913</v>
      </c>
      <c r="AF629" s="3" t="s">
        <v>371</v>
      </c>
      <c r="AG629" s="3" t="s">
        <v>178</v>
      </c>
      <c r="AH629" s="3" t="s">
        <v>180</v>
      </c>
      <c r="AI629" s="3" t="s">
        <v>392</v>
      </c>
      <c r="AJ629" s="3" t="s">
        <v>182</v>
      </c>
      <c r="AK629" s="3" t="s">
        <v>393</v>
      </c>
      <c r="AL629" s="3" t="s">
        <v>189</v>
      </c>
      <c r="AM629" s="3" t="s">
        <v>479</v>
      </c>
      <c r="AN629" s="3" t="s">
        <v>189</v>
      </c>
      <c r="AO629" s="3" t="s">
        <v>181</v>
      </c>
      <c r="AP629" s="3" t="s">
        <v>185</v>
      </c>
      <c r="AQ629" s="3" t="s">
        <v>648</v>
      </c>
      <c r="AR629" s="3" t="s">
        <v>189</v>
      </c>
      <c r="AS629" s="3" t="s">
        <v>189</v>
      </c>
      <c r="AT629" s="3" t="s">
        <v>244</v>
      </c>
      <c r="AU629" s="3" t="s">
        <v>244</v>
      </c>
      <c r="AV629" s="3" t="s">
        <v>288</v>
      </c>
      <c r="AW629" s="3" t="s">
        <v>339</v>
      </c>
      <c r="AX629" s="3" t="s">
        <v>244</v>
      </c>
      <c r="AY629" s="3" t="s">
        <v>247</v>
      </c>
    </row>
    <row r="630" spans="1:51" ht="15.75" customHeight="1">
      <c r="A630" s="3">
        <v>500</v>
      </c>
      <c r="B630" s="5" t="str">
        <f t="shared" si="0"/>
        <v>http://roarmap.eprints.org/500/</v>
      </c>
      <c r="C630" s="3">
        <v>4</v>
      </c>
      <c r="D630" s="3" t="s">
        <v>98</v>
      </c>
      <c r="E630" s="3">
        <v>1</v>
      </c>
      <c r="F630" s="3" t="s">
        <v>2302</v>
      </c>
      <c r="G630" s="3">
        <v>41988.924050925925</v>
      </c>
      <c r="H630" s="3">
        <v>42032.711817129632</v>
      </c>
      <c r="I630" s="3">
        <v>41988.924050925925</v>
      </c>
      <c r="J630" s="3" t="s">
        <v>103</v>
      </c>
      <c r="K630" s="3" t="s">
        <v>105</v>
      </c>
      <c r="L630" s="3" t="s">
        <v>2303</v>
      </c>
      <c r="M630" s="3" t="s">
        <v>469</v>
      </c>
      <c r="N630" s="3" t="s">
        <v>2304</v>
      </c>
      <c r="P630" s="3" t="s">
        <v>215</v>
      </c>
      <c r="Q630" t="str">
        <f t="shared" si="38"/>
        <v>http://roarmap.eprints.org/view/country/840.html</v>
      </c>
      <c r="R630" s="3">
        <v>840</v>
      </c>
      <c r="S630" s="6" t="s">
        <v>359</v>
      </c>
      <c r="T630" s="9">
        <v>840</v>
      </c>
      <c r="U630" s="7" t="s">
        <v>2518</v>
      </c>
      <c r="V630" s="6" t="s">
        <v>66</v>
      </c>
      <c r="W630" s="3" t="s">
        <v>158</v>
      </c>
      <c r="X630" s="3" t="s">
        <v>384</v>
      </c>
      <c r="Y630" s="3" t="s">
        <v>2303</v>
      </c>
      <c r="Z630" s="8" t="str">
        <f>HYPERLINK("http://www.sjsu.edu/","http://www.sjsu.edu/")</f>
        <v>http://www.sjsu.edu/</v>
      </c>
      <c r="AA630" s="8" t="str">
        <f>HYPERLINK("http://www.sjsu.edu/gradstudies/docs/thesis_guidelines.pdf","http://www.sjsu.edu/gradstudies/docs/thesis_guidelines.pdf")</f>
        <v>http://www.sjsu.edu/gradstudies/docs/thesis_guidelines.pdf</v>
      </c>
      <c r="AB630" s="8" t="str">
        <f>HYPERLINK("http://scholarworks.sjsu.edu/","http://scholarworks.sjsu.edu/")</f>
        <v>http://scholarworks.sjsu.edu/</v>
      </c>
      <c r="AE630" s="3">
        <v>2012</v>
      </c>
      <c r="AF630" s="3" t="s">
        <v>244</v>
      </c>
      <c r="AG630" s="3" t="s">
        <v>244</v>
      </c>
      <c r="AH630" s="3" t="s">
        <v>180</v>
      </c>
      <c r="AI630" s="3" t="s">
        <v>377</v>
      </c>
      <c r="AJ630" s="3" t="s">
        <v>385</v>
      </c>
      <c r="AK630" s="3" t="s">
        <v>183</v>
      </c>
      <c r="AL630" s="3" t="s">
        <v>244</v>
      </c>
      <c r="AM630" s="3" t="s">
        <v>371</v>
      </c>
      <c r="AN630" s="3" t="s">
        <v>244</v>
      </c>
      <c r="AO630" s="3" t="s">
        <v>378</v>
      </c>
      <c r="AP630" s="3" t="s">
        <v>244</v>
      </c>
      <c r="AQ630" s="3" t="s">
        <v>386</v>
      </c>
      <c r="AR630" s="3" t="s">
        <v>288</v>
      </c>
      <c r="AS630" s="3" t="s">
        <v>288</v>
      </c>
      <c r="AT630" s="3" t="s">
        <v>244</v>
      </c>
      <c r="AU630" s="3" t="s">
        <v>244</v>
      </c>
      <c r="AV630" s="3" t="s">
        <v>288</v>
      </c>
      <c r="AW630" s="3" t="s">
        <v>339</v>
      </c>
      <c r="AX630" s="3" t="s">
        <v>244</v>
      </c>
      <c r="AY630" s="3" t="s">
        <v>247</v>
      </c>
    </row>
    <row r="631" spans="1:51" ht="15.75" customHeight="1">
      <c r="A631" s="3">
        <v>501</v>
      </c>
      <c r="B631" s="5" t="str">
        <f t="shared" si="0"/>
        <v>http://roarmap.eprints.org/501/</v>
      </c>
      <c r="C631" s="3">
        <v>3</v>
      </c>
      <c r="D631" s="3" t="s">
        <v>98</v>
      </c>
      <c r="E631" s="3">
        <v>1</v>
      </c>
      <c r="F631" s="3" t="s">
        <v>2305</v>
      </c>
      <c r="G631" s="3">
        <v>41988.924050925925</v>
      </c>
      <c r="H631" s="3">
        <v>41988.924050925925</v>
      </c>
      <c r="I631" s="3">
        <v>41988.924050925925</v>
      </c>
      <c r="J631" s="3" t="s">
        <v>103</v>
      </c>
      <c r="K631" s="3" t="s">
        <v>105</v>
      </c>
      <c r="L631" s="3" t="s">
        <v>2306</v>
      </c>
      <c r="M631" s="3" t="s">
        <v>307</v>
      </c>
      <c r="N631" s="3" t="s">
        <v>2307</v>
      </c>
      <c r="O631" s="3" t="s">
        <v>2308</v>
      </c>
      <c r="P631" s="3" t="s">
        <v>215</v>
      </c>
      <c r="Q631" t="str">
        <f t="shared" si="38"/>
        <v>http://roarmap.eprints.org/view/country/840.html</v>
      </c>
      <c r="R631" s="3">
        <v>840</v>
      </c>
      <c r="S631" s="6" t="s">
        <v>359</v>
      </c>
      <c r="T631" s="9">
        <v>840</v>
      </c>
      <c r="U631" s="7" t="s">
        <v>2518</v>
      </c>
      <c r="V631" s="6" t="s">
        <v>66</v>
      </c>
      <c r="W631" s="3" t="s">
        <v>158</v>
      </c>
      <c r="X631" s="3" t="s">
        <v>160</v>
      </c>
      <c r="Y631" s="3" t="s">
        <v>2306</v>
      </c>
      <c r="Z631" s="8" t="str">
        <f>HYPERLINK("http://www.si.edu/","http://www.si.edu/")</f>
        <v>http://www.si.edu/</v>
      </c>
      <c r="AA631" s="3" t="s">
        <v>2309</v>
      </c>
      <c r="AC631" s="3">
        <v>41508</v>
      </c>
      <c r="AF631" s="3" t="s">
        <v>177</v>
      </c>
      <c r="AG631" s="3" t="s">
        <v>244</v>
      </c>
      <c r="AH631" s="3" t="s">
        <v>244</v>
      </c>
      <c r="AI631" s="3" t="s">
        <v>244</v>
      </c>
      <c r="AJ631" s="3" t="s">
        <v>244</v>
      </c>
      <c r="AK631" s="3" t="s">
        <v>244</v>
      </c>
      <c r="AL631" s="3" t="s">
        <v>244</v>
      </c>
      <c r="AM631" s="3" t="s">
        <v>247</v>
      </c>
      <c r="AN631" s="3" t="s">
        <v>244</v>
      </c>
      <c r="AO631" s="3" t="s">
        <v>247</v>
      </c>
      <c r="AP631" s="3" t="s">
        <v>244</v>
      </c>
      <c r="AQ631" s="3" t="s">
        <v>247</v>
      </c>
      <c r="AR631" s="3" t="s">
        <v>288</v>
      </c>
      <c r="AS631" s="3" t="s">
        <v>244</v>
      </c>
      <c r="AT631" s="3" t="s">
        <v>244</v>
      </c>
      <c r="AU631" s="3" t="s">
        <v>244</v>
      </c>
      <c r="AV631" s="3" t="s">
        <v>288</v>
      </c>
      <c r="AW631" s="3" t="s">
        <v>244</v>
      </c>
      <c r="AX631" s="3" t="s">
        <v>244</v>
      </c>
      <c r="AY631" s="3" t="s">
        <v>247</v>
      </c>
    </row>
    <row r="632" spans="1:51" ht="15.75" customHeight="1">
      <c r="A632" s="3">
        <v>502</v>
      </c>
      <c r="B632" s="5" t="str">
        <f t="shared" si="0"/>
        <v>http://roarmap.eprints.org/502/</v>
      </c>
      <c r="C632" s="3">
        <v>3</v>
      </c>
      <c r="D632" s="3" t="s">
        <v>98</v>
      </c>
      <c r="E632" s="3">
        <v>1</v>
      </c>
      <c r="F632" s="3" t="s">
        <v>2310</v>
      </c>
      <c r="G632" s="3">
        <v>41988.924050925925</v>
      </c>
      <c r="H632" s="3">
        <v>41988.924050925925</v>
      </c>
      <c r="I632" s="3">
        <v>41988.924050925925</v>
      </c>
      <c r="J632" s="3" t="s">
        <v>103</v>
      </c>
      <c r="K632" s="3" t="s">
        <v>105</v>
      </c>
      <c r="L632" s="3" t="s">
        <v>2311</v>
      </c>
      <c r="M632" s="3" t="s">
        <v>374</v>
      </c>
      <c r="N632" s="3" t="s">
        <v>2312</v>
      </c>
      <c r="P632" s="3" t="s">
        <v>215</v>
      </c>
      <c r="Q632" t="str">
        <f t="shared" si="38"/>
        <v>http://roarmap.eprints.org/view/country/840.html</v>
      </c>
      <c r="R632" s="3">
        <v>840</v>
      </c>
      <c r="S632" s="6" t="s">
        <v>359</v>
      </c>
      <c r="T632" s="9">
        <v>840</v>
      </c>
      <c r="U632" s="7" t="s">
        <v>2518</v>
      </c>
      <c r="V632" s="6" t="s">
        <v>66</v>
      </c>
      <c r="W632" s="3" t="s">
        <v>158</v>
      </c>
      <c r="X632" s="3" t="s">
        <v>384</v>
      </c>
      <c r="Y632" s="3" t="s">
        <v>2311</v>
      </c>
      <c r="Z632" s="8" t="str">
        <f>HYPERLINK("https://ed.stanford.edu/","https://ed.stanford.edu/")</f>
        <v>https://ed.stanford.edu/</v>
      </c>
      <c r="AA632" s="8" t="str">
        <f>HYPERLINK("https://ed.stanford.edu/faculty-research/open-archive/open-access-motion","https://ed.stanford.edu/faculty-research/open-archive/open-access-motion")</f>
        <v>https://ed.stanford.edu/faculty-research/open-archive/open-access-motion</v>
      </c>
      <c r="AB632" s="8" t="str">
        <f>HYPERLINK("https://openarchive.stanford.edu/","https://openarchive.stanford.edu/")</f>
        <v>https://openarchive.stanford.edu/</v>
      </c>
      <c r="AC632" s="3">
        <v>39609</v>
      </c>
      <c r="AD632" s="3">
        <v>39624</v>
      </c>
      <c r="AF632" s="3" t="s">
        <v>478</v>
      </c>
      <c r="AG632" s="3" t="s">
        <v>178</v>
      </c>
      <c r="AH632" s="3" t="s">
        <v>180</v>
      </c>
      <c r="AI632" s="3" t="s">
        <v>392</v>
      </c>
      <c r="AJ632" s="3" t="s">
        <v>182</v>
      </c>
      <c r="AK632" s="3" t="s">
        <v>393</v>
      </c>
      <c r="AL632" s="3" t="s">
        <v>189</v>
      </c>
      <c r="AM632" s="3" t="s">
        <v>479</v>
      </c>
      <c r="AN632" s="3" t="s">
        <v>189</v>
      </c>
      <c r="AO632" s="3" t="s">
        <v>247</v>
      </c>
      <c r="AP632" s="3" t="s">
        <v>244</v>
      </c>
      <c r="AQ632" s="3" t="s">
        <v>386</v>
      </c>
      <c r="AR632" s="3" t="s">
        <v>288</v>
      </c>
      <c r="AS632" s="3" t="s">
        <v>189</v>
      </c>
      <c r="AT632" s="3" t="s">
        <v>244</v>
      </c>
      <c r="AU632" s="3" t="s">
        <v>244</v>
      </c>
      <c r="AV632" s="3" t="s">
        <v>288</v>
      </c>
      <c r="AW632" s="3" t="s">
        <v>339</v>
      </c>
      <c r="AX632" s="3" t="s">
        <v>244</v>
      </c>
      <c r="AY632" s="3" t="s">
        <v>247</v>
      </c>
    </row>
    <row r="633" spans="1:51" ht="15.75" customHeight="1">
      <c r="A633" s="3">
        <v>503</v>
      </c>
      <c r="B633" s="5" t="str">
        <f t="shared" si="0"/>
        <v>http://roarmap.eprints.org/503/</v>
      </c>
      <c r="C633" s="3">
        <v>3</v>
      </c>
      <c r="D633" s="3" t="s">
        <v>98</v>
      </c>
      <c r="E633" s="3">
        <v>1</v>
      </c>
      <c r="F633" s="3" t="s">
        <v>2313</v>
      </c>
      <c r="G633" s="3">
        <v>41988.924050925925</v>
      </c>
      <c r="H633" s="3">
        <v>41988.924050925925</v>
      </c>
      <c r="I633" s="3">
        <v>41988.924050925925</v>
      </c>
      <c r="J633" s="3" t="s">
        <v>103</v>
      </c>
      <c r="K633" s="3" t="s">
        <v>105</v>
      </c>
      <c r="L633" s="3" t="s">
        <v>2314</v>
      </c>
      <c r="M633" s="3" t="s">
        <v>352</v>
      </c>
      <c r="N633" s="3" t="s">
        <v>2315</v>
      </c>
      <c r="P633" s="3" t="s">
        <v>215</v>
      </c>
      <c r="Q633" t="str">
        <f t="shared" si="38"/>
        <v>http://roarmap.eprints.org/view/country/840.html</v>
      </c>
      <c r="R633" s="3">
        <v>840</v>
      </c>
      <c r="S633" s="6" t="s">
        <v>359</v>
      </c>
      <c r="T633" s="9">
        <v>840</v>
      </c>
      <c r="U633" s="7" t="s">
        <v>2518</v>
      </c>
      <c r="V633" s="6" t="s">
        <v>66</v>
      </c>
      <c r="W633" s="3" t="s">
        <v>158</v>
      </c>
      <c r="X633" s="3" t="s">
        <v>384</v>
      </c>
      <c r="Y633" s="3" t="s">
        <v>2314</v>
      </c>
      <c r="Z633" s="8" t="str">
        <f>HYPERLINK("http://www.temple.edu/","http://www.temple.edu/")</f>
        <v>http://www.temple.edu/</v>
      </c>
      <c r="AA633" s="8" t="str">
        <f>HYPERLINK("http://www.temple.edu/dissertationhandbook/publishcopyright.html","http://www.temple.edu/dissertationhandbook/publishcopyright.html")</f>
        <v>http://www.temple.edu/dissertationhandbook/publishcopyright.html</v>
      </c>
      <c r="AB633" s="8" t="str">
        <f>HYPERLINK("http://digital.library.temple.edu/cdm/","http://digital.library.temple.edu/cdm/")</f>
        <v>http://digital.library.temple.edu/cdm/</v>
      </c>
      <c r="AF633" s="3" t="s">
        <v>244</v>
      </c>
      <c r="AG633" s="3" t="s">
        <v>178</v>
      </c>
      <c r="AH633" s="3" t="s">
        <v>180</v>
      </c>
      <c r="AI633" s="3" t="s">
        <v>377</v>
      </c>
      <c r="AJ633" s="3" t="s">
        <v>385</v>
      </c>
      <c r="AK633" s="3" t="s">
        <v>183</v>
      </c>
      <c r="AL633" s="3" t="s">
        <v>185</v>
      </c>
      <c r="AM633" s="3" t="s">
        <v>178</v>
      </c>
      <c r="AN633" s="3" t="s">
        <v>189</v>
      </c>
      <c r="AO633" s="3" t="s">
        <v>378</v>
      </c>
      <c r="AP633" s="3" t="s">
        <v>244</v>
      </c>
      <c r="AQ633" s="3" t="s">
        <v>247</v>
      </c>
      <c r="AR633" s="3" t="s">
        <v>288</v>
      </c>
      <c r="AS633" s="3" t="s">
        <v>189</v>
      </c>
      <c r="AT633" s="3" t="s">
        <v>244</v>
      </c>
      <c r="AU633" s="3" t="s">
        <v>244</v>
      </c>
      <c r="AV633" s="3" t="s">
        <v>288</v>
      </c>
      <c r="AW633" s="3" t="s">
        <v>339</v>
      </c>
      <c r="AX633" s="3" t="s">
        <v>244</v>
      </c>
      <c r="AY633" s="3" t="s">
        <v>247</v>
      </c>
    </row>
    <row r="634" spans="1:51" ht="15.75" customHeight="1">
      <c r="A634" s="3">
        <v>504</v>
      </c>
      <c r="B634" s="5" t="str">
        <f t="shared" si="0"/>
        <v>http://roarmap.eprints.org/504/</v>
      </c>
      <c r="C634" s="3">
        <v>3</v>
      </c>
      <c r="D634" s="3" t="s">
        <v>98</v>
      </c>
      <c r="E634" s="3">
        <v>1</v>
      </c>
      <c r="F634" s="3" t="s">
        <v>2316</v>
      </c>
      <c r="G634" s="3">
        <v>41988.924050925925</v>
      </c>
      <c r="H634" s="3">
        <v>41988.924050925925</v>
      </c>
      <c r="I634" s="3">
        <v>41988.924050925925</v>
      </c>
      <c r="J634" s="3" t="s">
        <v>103</v>
      </c>
      <c r="K634" s="3" t="s">
        <v>105</v>
      </c>
      <c r="L634" s="3" t="s">
        <v>2317</v>
      </c>
      <c r="M634" s="3" t="s">
        <v>352</v>
      </c>
      <c r="N634" s="3" t="s">
        <v>2318</v>
      </c>
      <c r="P634" s="3" t="s">
        <v>215</v>
      </c>
      <c r="Q634" t="str">
        <f t="shared" si="38"/>
        <v>http://roarmap.eprints.org/view/country/840.html</v>
      </c>
      <c r="R634" s="3">
        <v>840</v>
      </c>
      <c r="S634" s="6" t="s">
        <v>359</v>
      </c>
      <c r="T634" s="9">
        <v>840</v>
      </c>
      <c r="U634" s="7" t="s">
        <v>2518</v>
      </c>
      <c r="V634" s="6" t="s">
        <v>66</v>
      </c>
      <c r="W634" s="3" t="s">
        <v>158</v>
      </c>
      <c r="X634" s="3" t="s">
        <v>384</v>
      </c>
      <c r="Y634" s="3" t="s">
        <v>2317</v>
      </c>
      <c r="Z634" s="8" t="str">
        <f>HYPERLINK("http://www.tamu.edu/","http://www.tamu.edu/")</f>
        <v>http://www.tamu.edu/</v>
      </c>
      <c r="AA634" s="8" t="str">
        <f>HYPERLINK("http://ogs.tamu.edu/wp-content/uploads/2012/07/Thesis_Manual_July_2013_minorrevision_8_22_13.pdf","http://ogs.tamu.edu/wp-content/uploads/2012/07/Thesis_Manual_July_2013_minorrevision_8_22_13.pdf")</f>
        <v>http://ogs.tamu.edu/wp-content/uploads/2012/07/Thesis_Manual_July_2013_minorrevision_8_22_13.pdf</v>
      </c>
      <c r="AB634" s="8" t="str">
        <f>HYPERLINK("http://oaktrust.library.tamu.edu/","http://oaktrust.library.tamu.edu/")</f>
        <v>http://oaktrust.library.tamu.edu/</v>
      </c>
      <c r="AF634" s="3" t="s">
        <v>244</v>
      </c>
      <c r="AG634" s="3" t="s">
        <v>178</v>
      </c>
      <c r="AH634" s="3" t="s">
        <v>180</v>
      </c>
      <c r="AI634" s="3" t="s">
        <v>377</v>
      </c>
      <c r="AJ634" s="3" t="s">
        <v>385</v>
      </c>
      <c r="AK634" s="3" t="s">
        <v>183</v>
      </c>
      <c r="AL634" s="3" t="s">
        <v>185</v>
      </c>
      <c r="AM634" s="3" t="s">
        <v>178</v>
      </c>
      <c r="AN634" s="3" t="s">
        <v>185</v>
      </c>
      <c r="AO634" s="3" t="s">
        <v>378</v>
      </c>
      <c r="AP634" s="3" t="s">
        <v>244</v>
      </c>
      <c r="AQ634" s="3" t="s">
        <v>247</v>
      </c>
      <c r="AR634" s="3" t="s">
        <v>288</v>
      </c>
      <c r="AS634" s="3" t="s">
        <v>185</v>
      </c>
      <c r="AT634" s="3" t="s">
        <v>244</v>
      </c>
      <c r="AU634" s="3" t="s">
        <v>244</v>
      </c>
      <c r="AV634" s="3" t="s">
        <v>288</v>
      </c>
      <c r="AW634" s="3" t="s">
        <v>339</v>
      </c>
      <c r="AX634" s="3" t="s">
        <v>244</v>
      </c>
      <c r="AY634" s="3" t="s">
        <v>247</v>
      </c>
    </row>
    <row r="635" spans="1:51" ht="15.75" customHeight="1">
      <c r="A635" s="3">
        <v>505</v>
      </c>
      <c r="B635" s="5" t="str">
        <f t="shared" si="0"/>
        <v>http://roarmap.eprints.org/505/</v>
      </c>
      <c r="C635" s="3">
        <v>4</v>
      </c>
      <c r="D635" s="3" t="s">
        <v>98</v>
      </c>
      <c r="E635" s="3">
        <v>331</v>
      </c>
      <c r="F635" s="3" t="s">
        <v>2319</v>
      </c>
      <c r="G635" s="3">
        <v>41988.924050925925</v>
      </c>
      <c r="H635" s="3">
        <v>42046.981736111113</v>
      </c>
      <c r="I635" s="3">
        <v>41988.924050925925</v>
      </c>
      <c r="J635" s="3" t="s">
        <v>103</v>
      </c>
      <c r="K635" s="3" t="s">
        <v>105</v>
      </c>
      <c r="L635" s="3" t="s">
        <v>2320</v>
      </c>
      <c r="M635" s="3" t="s">
        <v>374</v>
      </c>
      <c r="N635" s="3" t="s">
        <v>2312</v>
      </c>
      <c r="P635" s="3" t="s">
        <v>215</v>
      </c>
      <c r="Q635" t="str">
        <f t="shared" si="38"/>
        <v>http://roarmap.eprints.org/view/country/840.html</v>
      </c>
      <c r="R635" s="3">
        <v>840</v>
      </c>
      <c r="S635" s="6" t="s">
        <v>359</v>
      </c>
      <c r="T635" s="9">
        <v>840</v>
      </c>
      <c r="U635" s="7" t="s">
        <v>2518</v>
      </c>
      <c r="V635" s="6" t="s">
        <v>66</v>
      </c>
      <c r="W635" s="3" t="s">
        <v>158</v>
      </c>
      <c r="X635" s="3" t="s">
        <v>160</v>
      </c>
      <c r="Y635" s="3" t="s">
        <v>2320</v>
      </c>
      <c r="Z635" s="8" t="str">
        <f>HYPERLINK("http://www.wooster.edu/","http://www.wooster.edu/")</f>
        <v>http://www.wooster.edu/</v>
      </c>
      <c r="AA635" s="8" t="str">
        <f>HYPERLINK("http://openaccess.voices.wooster.edu/policy/","http://openaccess.voices.wooster.edu/policy/")</f>
        <v>http://openaccess.voices.wooster.edu/policy/</v>
      </c>
      <c r="AB635" s="8" t="str">
        <f>HYPERLINK("http://openworks.wooster.edu/","http://openworks.wooster.edu/")</f>
        <v>http://openworks.wooster.edu/</v>
      </c>
      <c r="AC635" s="3">
        <v>41337</v>
      </c>
      <c r="AF635" s="3" t="s">
        <v>478</v>
      </c>
      <c r="AG635" s="3" t="s">
        <v>178</v>
      </c>
      <c r="AH635" s="3" t="s">
        <v>180</v>
      </c>
      <c r="AI635" s="3" t="s">
        <v>392</v>
      </c>
      <c r="AJ635" s="3" t="s">
        <v>182</v>
      </c>
      <c r="AK635" s="3" t="s">
        <v>393</v>
      </c>
      <c r="AL635" s="3" t="s">
        <v>189</v>
      </c>
      <c r="AM635" s="3" t="s">
        <v>479</v>
      </c>
      <c r="AN635" s="3" t="s">
        <v>189</v>
      </c>
      <c r="AO635" s="3" t="s">
        <v>247</v>
      </c>
      <c r="AP635" s="3" t="s">
        <v>244</v>
      </c>
      <c r="AQ635" s="3" t="s">
        <v>386</v>
      </c>
      <c r="AR635" s="3" t="s">
        <v>288</v>
      </c>
      <c r="AS635" s="3" t="s">
        <v>189</v>
      </c>
      <c r="AT635" s="3" t="s">
        <v>244</v>
      </c>
      <c r="AU635" s="3" t="s">
        <v>244</v>
      </c>
      <c r="AV635" s="3" t="s">
        <v>288</v>
      </c>
      <c r="AW635" s="3" t="s">
        <v>339</v>
      </c>
      <c r="AX635" s="3" t="s">
        <v>244</v>
      </c>
      <c r="AY635" s="3" t="s">
        <v>247</v>
      </c>
    </row>
    <row r="636" spans="1:51" ht="15.75" customHeight="1">
      <c r="A636" s="3">
        <v>506</v>
      </c>
      <c r="B636" s="5" t="str">
        <f t="shared" si="0"/>
        <v>http://roarmap.eprints.org/506/</v>
      </c>
      <c r="C636" s="3">
        <v>3</v>
      </c>
      <c r="D636" s="3" t="s">
        <v>98</v>
      </c>
      <c r="E636" s="3">
        <v>1</v>
      </c>
      <c r="F636" s="3" t="s">
        <v>2321</v>
      </c>
      <c r="G636" s="3">
        <v>41988.924062500002</v>
      </c>
      <c r="H636" s="3">
        <v>41988.924062500002</v>
      </c>
      <c r="I636" s="3">
        <v>41988.924062500002</v>
      </c>
      <c r="J636" s="3" t="s">
        <v>103</v>
      </c>
      <c r="K636" s="3" t="s">
        <v>105</v>
      </c>
      <c r="L636" s="3" t="s">
        <v>2322</v>
      </c>
      <c r="M636" s="3" t="s">
        <v>374</v>
      </c>
      <c r="N636" s="3" t="s">
        <v>2323</v>
      </c>
      <c r="P636" s="3" t="s">
        <v>215</v>
      </c>
      <c r="Q636" t="str">
        <f t="shared" si="38"/>
        <v>http://roarmap.eprints.org/view/country/840.html</v>
      </c>
      <c r="R636" s="3">
        <v>840</v>
      </c>
      <c r="S636" s="6" t="s">
        <v>359</v>
      </c>
      <c r="T636" s="9">
        <v>840</v>
      </c>
      <c r="U636" s="7" t="s">
        <v>2518</v>
      </c>
      <c r="V636" s="6" t="s">
        <v>66</v>
      </c>
      <c r="W636" s="3" t="s">
        <v>158</v>
      </c>
      <c r="X636" s="3" t="s">
        <v>160</v>
      </c>
      <c r="Y636" s="3" t="s">
        <v>2322</v>
      </c>
      <c r="Z636" s="8" t="str">
        <f>HYPERLINK("http://new.trinity.edu/","http://new.trinity.edu/")</f>
        <v>http://new.trinity.edu/</v>
      </c>
      <c r="AA636" s="8" t="str">
        <f>HYPERLINK("http://blog.trinity.edu/open_access/93/","http://blog.trinity.edu/open_access/93/")</f>
        <v>http://blog.trinity.edu/open_access/93/</v>
      </c>
      <c r="AC636" s="3">
        <v>40081</v>
      </c>
      <c r="AF636" s="3" t="s">
        <v>478</v>
      </c>
      <c r="AG636" s="3" t="s">
        <v>178</v>
      </c>
      <c r="AH636" s="3" t="s">
        <v>370</v>
      </c>
      <c r="AI636" s="3" t="s">
        <v>244</v>
      </c>
      <c r="AJ636" s="3" t="s">
        <v>182</v>
      </c>
      <c r="AK636" s="3" t="s">
        <v>393</v>
      </c>
      <c r="AL636" s="3" t="s">
        <v>189</v>
      </c>
      <c r="AM636" s="3" t="s">
        <v>479</v>
      </c>
      <c r="AN636" s="3" t="s">
        <v>189</v>
      </c>
      <c r="AO636" s="3" t="s">
        <v>378</v>
      </c>
      <c r="AP636" s="3" t="s">
        <v>244</v>
      </c>
      <c r="AQ636" s="3" t="s">
        <v>386</v>
      </c>
      <c r="AR636" s="3" t="s">
        <v>288</v>
      </c>
      <c r="AS636" s="3" t="s">
        <v>189</v>
      </c>
      <c r="AT636" s="3" t="s">
        <v>244</v>
      </c>
      <c r="AU636" s="3" t="s">
        <v>244</v>
      </c>
      <c r="AV636" s="3" t="s">
        <v>288</v>
      </c>
      <c r="AW636" s="3" t="s">
        <v>339</v>
      </c>
      <c r="AX636" s="3" t="s">
        <v>341</v>
      </c>
      <c r="AY636" s="3" t="s">
        <v>247</v>
      </c>
    </row>
    <row r="637" spans="1:51" ht="15.75" customHeight="1">
      <c r="A637" s="3">
        <v>507</v>
      </c>
      <c r="B637" s="5" t="str">
        <f t="shared" si="0"/>
        <v>http://roarmap.eprints.org/507/</v>
      </c>
      <c r="C637" s="3">
        <v>5</v>
      </c>
      <c r="D637" s="3" t="s">
        <v>98</v>
      </c>
      <c r="E637" s="3">
        <v>1</v>
      </c>
      <c r="F637" s="3" t="s">
        <v>2324</v>
      </c>
      <c r="G637" s="3">
        <v>41988.924062500002</v>
      </c>
      <c r="H637" s="3">
        <v>42066.698067129626</v>
      </c>
      <c r="I637" s="3">
        <v>41988.924062500002</v>
      </c>
      <c r="J637" s="3" t="s">
        <v>103</v>
      </c>
      <c r="K637" s="3" t="s">
        <v>105</v>
      </c>
      <c r="L637" s="3" t="s">
        <v>2325</v>
      </c>
      <c r="M637" s="3" t="s">
        <v>307</v>
      </c>
      <c r="P637" s="3" t="s">
        <v>215</v>
      </c>
      <c r="Q637" t="str">
        <f t="shared" si="38"/>
        <v>http://roarmap.eprints.org/view/country/840.html</v>
      </c>
      <c r="R637" s="3">
        <v>840</v>
      </c>
      <c r="S637" s="6" t="s">
        <v>359</v>
      </c>
      <c r="T637" s="9">
        <v>840</v>
      </c>
      <c r="U637" s="7" t="s">
        <v>2518</v>
      </c>
      <c r="V637" s="6" t="s">
        <v>66</v>
      </c>
      <c r="W637" s="3" t="s">
        <v>158</v>
      </c>
      <c r="X637" s="3" t="s">
        <v>364</v>
      </c>
      <c r="Y637" s="3" t="s">
        <v>2325</v>
      </c>
      <c r="Z637" s="8" t="str">
        <f>HYPERLINK("http://www.ahrq.gov/","http://www.ahrq.gov/")</f>
        <v>http://www.ahrq.gov/</v>
      </c>
      <c r="AA637" s="8" t="str">
        <f>HYPERLINK("http://www.ahrq.gov/funding/policies/publicaccess/index.html","http://www.ahrq.gov/funding/policies/publicaccess/index.html")</f>
        <v>http://www.ahrq.gov/funding/policies/publicaccess/index.html</v>
      </c>
      <c r="AB637" s="8" t="str">
        <f>HYPERLINK("http://www.ncbi.nlm.nih.gov/pmc/","http://www.ncbi.nlm.nih.gov/pmc/")</f>
        <v>http://www.ncbi.nlm.nih.gov/pmc/</v>
      </c>
      <c r="AC637" s="3">
        <v>41327</v>
      </c>
      <c r="AF637" s="3" t="s">
        <v>177</v>
      </c>
      <c r="AG637" s="3" t="s">
        <v>178</v>
      </c>
      <c r="AH637" s="3" t="s">
        <v>463</v>
      </c>
      <c r="AI637" s="3" t="s">
        <v>244</v>
      </c>
      <c r="AJ637" s="3" t="s">
        <v>182</v>
      </c>
      <c r="AK637" s="3" t="s">
        <v>393</v>
      </c>
      <c r="AL637" s="3" t="s">
        <v>244</v>
      </c>
      <c r="AM637" s="3" t="s">
        <v>247</v>
      </c>
      <c r="AN637" s="3" t="s">
        <v>244</v>
      </c>
      <c r="AO637" s="3" t="s">
        <v>247</v>
      </c>
      <c r="AP637" s="3" t="s">
        <v>189</v>
      </c>
      <c r="AQ637" s="3" t="s">
        <v>247</v>
      </c>
      <c r="AR637" s="3" t="s">
        <v>244</v>
      </c>
      <c r="AS637" s="3" t="s">
        <v>244</v>
      </c>
      <c r="AT637" s="3" t="s">
        <v>395</v>
      </c>
      <c r="AU637" s="3" t="s">
        <v>395</v>
      </c>
      <c r="AV637" s="3" t="s">
        <v>244</v>
      </c>
      <c r="AW637" s="3" t="s">
        <v>244</v>
      </c>
      <c r="AX637" s="3" t="s">
        <v>244</v>
      </c>
      <c r="AY637" s="3" t="s">
        <v>247</v>
      </c>
    </row>
    <row r="638" spans="1:51" ht="15.75" customHeight="1">
      <c r="A638" s="3">
        <v>508</v>
      </c>
      <c r="B638" s="5" t="str">
        <f t="shared" si="0"/>
        <v>http://roarmap.eprints.org/508/</v>
      </c>
      <c r="C638" s="3">
        <v>8</v>
      </c>
      <c r="D638" s="3" t="s">
        <v>98</v>
      </c>
      <c r="E638" s="3">
        <v>1</v>
      </c>
      <c r="F638" s="3" t="s">
        <v>2326</v>
      </c>
      <c r="G638" s="3">
        <v>41988.924062500002</v>
      </c>
      <c r="H638" s="3">
        <v>42023.015023148146</v>
      </c>
      <c r="I638" s="3">
        <v>41988.924062500002</v>
      </c>
      <c r="J638" s="3" t="s">
        <v>103</v>
      </c>
      <c r="K638" s="3" t="s">
        <v>105</v>
      </c>
      <c r="L638" s="3" t="s">
        <v>2327</v>
      </c>
      <c r="M638" s="3" t="s">
        <v>352</v>
      </c>
      <c r="N638" s="3" t="s">
        <v>398</v>
      </c>
      <c r="O638" s="3" t="s">
        <v>2328</v>
      </c>
      <c r="P638" s="3" t="s">
        <v>215</v>
      </c>
      <c r="Q638" t="str">
        <f t="shared" si="38"/>
        <v>http://roarmap.eprints.org/view/country/840.html</v>
      </c>
      <c r="R638" s="3">
        <v>840</v>
      </c>
      <c r="S638" s="6" t="s">
        <v>359</v>
      </c>
      <c r="T638" s="9">
        <v>840</v>
      </c>
      <c r="U638" s="7" t="s">
        <v>2518</v>
      </c>
      <c r="V638" s="6" t="s">
        <v>66</v>
      </c>
      <c r="W638" s="3" t="s">
        <v>158</v>
      </c>
      <c r="X638" s="3" t="s">
        <v>364</v>
      </c>
      <c r="Y638" s="3" t="s">
        <v>2327</v>
      </c>
      <c r="Z638" s="8" t="str">
        <f>HYPERLINK("http://www.census.gov","http://www.census.gov")</f>
        <v>http://www.census.gov</v>
      </c>
      <c r="AG638" s="3" t="s">
        <v>244</v>
      </c>
      <c r="AH638" s="3" t="s">
        <v>244</v>
      </c>
      <c r="AI638" s="3" t="s">
        <v>244</v>
      </c>
      <c r="AJ638" s="3" t="s">
        <v>244</v>
      </c>
      <c r="AK638" s="3" t="s">
        <v>244</v>
      </c>
      <c r="AL638" s="3" t="s">
        <v>244</v>
      </c>
      <c r="AM638" s="3" t="s">
        <v>247</v>
      </c>
      <c r="AN638" s="3" t="s">
        <v>244</v>
      </c>
      <c r="AO638" s="3" t="s">
        <v>247</v>
      </c>
      <c r="AP638" s="3" t="s">
        <v>244</v>
      </c>
      <c r="AQ638" s="3" t="s">
        <v>247</v>
      </c>
      <c r="AR638" s="3" t="s">
        <v>288</v>
      </c>
      <c r="AS638" s="3" t="s">
        <v>244</v>
      </c>
      <c r="AT638" s="3" t="s">
        <v>244</v>
      </c>
      <c r="AU638" s="3" t="s">
        <v>244</v>
      </c>
      <c r="AV638" s="3" t="s">
        <v>288</v>
      </c>
      <c r="AW638" s="3" t="s">
        <v>244</v>
      </c>
      <c r="AX638" s="3" t="s">
        <v>244</v>
      </c>
      <c r="AY638" s="3" t="s">
        <v>247</v>
      </c>
    </row>
    <row r="639" spans="1:51" ht="15.75" customHeight="1">
      <c r="A639" s="3">
        <v>509</v>
      </c>
      <c r="B639" s="5" t="str">
        <f t="shared" si="0"/>
        <v>http://roarmap.eprints.org/509/</v>
      </c>
      <c r="C639" s="3">
        <v>4</v>
      </c>
      <c r="D639" s="3" t="s">
        <v>98</v>
      </c>
      <c r="E639" s="3">
        <v>1</v>
      </c>
      <c r="F639" s="3" t="s">
        <v>2329</v>
      </c>
      <c r="G639" s="3">
        <v>41988.924062500002</v>
      </c>
      <c r="H639" s="3">
        <v>42023.016145833331</v>
      </c>
      <c r="I639" s="3">
        <v>41988.924062500002</v>
      </c>
      <c r="J639" s="3" t="s">
        <v>103</v>
      </c>
      <c r="K639" s="3" t="s">
        <v>105</v>
      </c>
      <c r="L639" s="3" t="s">
        <v>2330</v>
      </c>
      <c r="M639" s="3" t="s">
        <v>307</v>
      </c>
      <c r="N639" s="3" t="s">
        <v>2307</v>
      </c>
      <c r="O639" s="3" t="s">
        <v>2331</v>
      </c>
      <c r="P639" s="3" t="s">
        <v>215</v>
      </c>
      <c r="Q639" t="str">
        <f t="shared" si="38"/>
        <v>http://roarmap.eprints.org/view/country/840.html</v>
      </c>
      <c r="R639" s="3">
        <v>840</v>
      </c>
      <c r="S639" s="6" t="s">
        <v>359</v>
      </c>
      <c r="T639" s="9">
        <v>840</v>
      </c>
      <c r="U639" s="7" t="s">
        <v>2518</v>
      </c>
      <c r="V639" s="6" t="s">
        <v>66</v>
      </c>
      <c r="W639" s="3" t="s">
        <v>158</v>
      </c>
      <c r="X639" s="3" t="s">
        <v>364</v>
      </c>
      <c r="Y639" s="3" t="s">
        <v>2330</v>
      </c>
      <c r="Z639" s="8" t="str">
        <f>HYPERLINK("http://www.cdc.gov/","http://www.cdc.gov/")</f>
        <v>http://www.cdc.gov/</v>
      </c>
      <c r="AC639" s="3">
        <v>41508</v>
      </c>
      <c r="AF639" s="3" t="s">
        <v>177</v>
      </c>
      <c r="AG639" s="3" t="s">
        <v>244</v>
      </c>
      <c r="AH639" s="3" t="s">
        <v>244</v>
      </c>
      <c r="AI639" s="3" t="s">
        <v>244</v>
      </c>
      <c r="AJ639" s="3" t="s">
        <v>244</v>
      </c>
      <c r="AK639" s="3" t="s">
        <v>244</v>
      </c>
      <c r="AL639" s="3" t="s">
        <v>244</v>
      </c>
      <c r="AM639" s="3" t="s">
        <v>247</v>
      </c>
      <c r="AN639" s="3" t="s">
        <v>244</v>
      </c>
      <c r="AO639" s="3" t="s">
        <v>247</v>
      </c>
      <c r="AP639" s="3" t="s">
        <v>244</v>
      </c>
      <c r="AQ639" s="3" t="s">
        <v>247</v>
      </c>
      <c r="AR639" s="3" t="s">
        <v>288</v>
      </c>
      <c r="AS639" s="3" t="s">
        <v>244</v>
      </c>
      <c r="AT639" s="3" t="s">
        <v>244</v>
      </c>
      <c r="AU639" s="3" t="s">
        <v>244</v>
      </c>
      <c r="AV639" s="3" t="s">
        <v>288</v>
      </c>
      <c r="AW639" s="3" t="s">
        <v>244</v>
      </c>
      <c r="AX639" s="3" t="s">
        <v>244</v>
      </c>
      <c r="AY639" s="3" t="s">
        <v>247</v>
      </c>
    </row>
    <row r="640" spans="1:51" ht="15.75" customHeight="1">
      <c r="A640" s="3">
        <v>531</v>
      </c>
      <c r="B640" s="5" t="str">
        <f t="shared" si="0"/>
        <v>http://roarmap.eprints.org/531/</v>
      </c>
      <c r="C640" s="3">
        <v>3</v>
      </c>
      <c r="D640" s="3" t="s">
        <v>98</v>
      </c>
      <c r="E640" s="3">
        <v>1</v>
      </c>
      <c r="F640" s="3" t="s">
        <v>2332</v>
      </c>
      <c r="G640" s="3">
        <v>41988.924097222225</v>
      </c>
      <c r="H640" s="3">
        <v>41988.924097222225</v>
      </c>
      <c r="I640" s="3">
        <v>41988.924097222225</v>
      </c>
      <c r="J640" s="3" t="s">
        <v>103</v>
      </c>
      <c r="K640" s="3" t="s">
        <v>105</v>
      </c>
      <c r="L640" s="3" t="s">
        <v>2333</v>
      </c>
      <c r="M640" s="3" t="s">
        <v>637</v>
      </c>
      <c r="N640" s="3" t="s">
        <v>2334</v>
      </c>
      <c r="P640" s="3" t="s">
        <v>215</v>
      </c>
      <c r="Q640" t="str">
        <f t="shared" si="38"/>
        <v>http://roarmap.eprints.org/view/country/840.html</v>
      </c>
      <c r="R640" s="3">
        <v>840</v>
      </c>
      <c r="S640" s="6" t="s">
        <v>359</v>
      </c>
      <c r="T640" s="9">
        <v>840</v>
      </c>
      <c r="U640" s="7" t="s">
        <v>2518</v>
      </c>
      <c r="V640" s="6" t="s">
        <v>66</v>
      </c>
      <c r="W640" s="3" t="s">
        <v>158</v>
      </c>
      <c r="X640" s="3" t="s">
        <v>364</v>
      </c>
      <c r="Y640" s="3" t="s">
        <v>2333</v>
      </c>
      <c r="Z640" s="8" t="str">
        <f>HYPERLINK("http://beta.congress.gov/","http://beta.congress.gov/")</f>
        <v>http://beta.congress.gov/</v>
      </c>
      <c r="AA640" s="8" t="str">
        <f>HYPERLINK("http://www.gpo.gov/fdsys/pkg/BILLS-113hr3547enr/pdf/BILLS-113hr3547enr.pdf","http://www.gpo.gov/fdsys/pkg/BILLS-113hr3547enr/pdf/BILLS-113hr3547enr.pdf")</f>
        <v>http://www.gpo.gov/fdsys/pkg/BILLS-113hr3547enr/pdf/BILLS-113hr3547enr.pdf</v>
      </c>
      <c r="AB640" s="3" t="s">
        <v>2335</v>
      </c>
      <c r="AC640" s="3">
        <v>41654</v>
      </c>
      <c r="AF640" s="3" t="s">
        <v>177</v>
      </c>
      <c r="AG640" s="3" t="s">
        <v>178</v>
      </c>
      <c r="AH640" s="3" t="s">
        <v>370</v>
      </c>
      <c r="AI640" s="3" t="s">
        <v>244</v>
      </c>
      <c r="AJ640" s="3" t="s">
        <v>182</v>
      </c>
      <c r="AK640" s="3" t="s">
        <v>393</v>
      </c>
      <c r="AL640" s="3" t="s">
        <v>244</v>
      </c>
      <c r="AM640" s="3" t="s">
        <v>247</v>
      </c>
      <c r="AN640" s="3" t="s">
        <v>244</v>
      </c>
      <c r="AO640" s="3" t="s">
        <v>378</v>
      </c>
      <c r="AP640" s="3" t="s">
        <v>244</v>
      </c>
      <c r="AQ640" s="3" t="s">
        <v>247</v>
      </c>
      <c r="AR640" s="3" t="s">
        <v>288</v>
      </c>
      <c r="AS640" s="3" t="s">
        <v>244</v>
      </c>
      <c r="AT640" s="3" t="s">
        <v>395</v>
      </c>
      <c r="AU640" s="3" t="s">
        <v>395</v>
      </c>
      <c r="AV640" s="3" t="s">
        <v>244</v>
      </c>
      <c r="AW640" s="3" t="s">
        <v>339</v>
      </c>
      <c r="AX640" s="3" t="s">
        <v>244</v>
      </c>
      <c r="AY640" s="3" t="s">
        <v>247</v>
      </c>
    </row>
    <row r="641" spans="1:51" ht="15.75" customHeight="1">
      <c r="A641" s="3">
        <v>510</v>
      </c>
      <c r="B641" s="5" t="str">
        <f t="shared" si="0"/>
        <v>http://roarmap.eprints.org/510/</v>
      </c>
      <c r="C641" s="3">
        <v>4</v>
      </c>
      <c r="D641" s="3" t="s">
        <v>98</v>
      </c>
      <c r="E641" s="3">
        <v>1</v>
      </c>
      <c r="F641" s="3" t="s">
        <v>2336</v>
      </c>
      <c r="G641" s="3">
        <v>41988.924062500002</v>
      </c>
      <c r="H641" s="3">
        <v>42023.017708333333</v>
      </c>
      <c r="I641" s="3">
        <v>41988.924062500002</v>
      </c>
      <c r="J641" s="3" t="s">
        <v>103</v>
      </c>
      <c r="K641" s="3" t="s">
        <v>105</v>
      </c>
      <c r="L641" s="3" t="s">
        <v>2337</v>
      </c>
      <c r="M641" s="3" t="s">
        <v>307</v>
      </c>
      <c r="N641" s="3" t="s">
        <v>2307</v>
      </c>
      <c r="O641" s="3" t="s">
        <v>2338</v>
      </c>
      <c r="P641" s="3" t="s">
        <v>215</v>
      </c>
      <c r="Q641" t="str">
        <f t="shared" si="38"/>
        <v>http://roarmap.eprints.org/view/country/840.html</v>
      </c>
      <c r="R641" s="3">
        <v>840</v>
      </c>
      <c r="S641" s="6" t="s">
        <v>359</v>
      </c>
      <c r="T641" s="9">
        <v>840</v>
      </c>
      <c r="U641" s="7" t="s">
        <v>2518</v>
      </c>
      <c r="V641" s="6" t="s">
        <v>66</v>
      </c>
      <c r="W641" s="3" t="s">
        <v>158</v>
      </c>
      <c r="X641" s="3" t="s">
        <v>364</v>
      </c>
      <c r="Y641" s="3" t="s">
        <v>2337</v>
      </c>
      <c r="Z641" s="8" t="str">
        <f>HYPERLINK("http://www.usda.gov/wps/portal/usda/usdahome","http://www.usda.gov/wps/portal/usda/usdahome")</f>
        <v>http://www.usda.gov/wps/portal/usda/usdahome</v>
      </c>
      <c r="AC641" s="3">
        <v>41508</v>
      </c>
      <c r="AF641" s="3" t="s">
        <v>177</v>
      </c>
      <c r="AG641" s="3" t="s">
        <v>244</v>
      </c>
      <c r="AH641" s="3" t="s">
        <v>244</v>
      </c>
      <c r="AI641" s="3" t="s">
        <v>244</v>
      </c>
      <c r="AJ641" s="3" t="s">
        <v>244</v>
      </c>
      <c r="AK641" s="3" t="s">
        <v>244</v>
      </c>
      <c r="AL641" s="3" t="s">
        <v>244</v>
      </c>
      <c r="AM641" s="3" t="s">
        <v>247</v>
      </c>
      <c r="AN641" s="3" t="s">
        <v>244</v>
      </c>
      <c r="AO641" s="3" t="s">
        <v>247</v>
      </c>
      <c r="AP641" s="3" t="s">
        <v>244</v>
      </c>
      <c r="AQ641" s="3" t="s">
        <v>247</v>
      </c>
      <c r="AR641" s="3" t="s">
        <v>288</v>
      </c>
      <c r="AS641" s="3" t="s">
        <v>244</v>
      </c>
      <c r="AT641" s="3" t="s">
        <v>244</v>
      </c>
      <c r="AU641" s="3" t="s">
        <v>244</v>
      </c>
      <c r="AV641" s="3" t="s">
        <v>288</v>
      </c>
      <c r="AW641" s="3" t="s">
        <v>244</v>
      </c>
      <c r="AX641" s="3" t="s">
        <v>244</v>
      </c>
      <c r="AY641" s="3" t="s">
        <v>247</v>
      </c>
    </row>
    <row r="642" spans="1:51" ht="15.75" customHeight="1">
      <c r="A642" s="3">
        <v>511</v>
      </c>
      <c r="B642" s="5" t="str">
        <f t="shared" si="0"/>
        <v>http://roarmap.eprints.org/511/</v>
      </c>
      <c r="C642" s="3">
        <v>4</v>
      </c>
      <c r="D642" s="3" t="s">
        <v>98</v>
      </c>
      <c r="E642" s="3">
        <v>1</v>
      </c>
      <c r="F642" s="3" t="s">
        <v>2339</v>
      </c>
      <c r="G642" s="3">
        <v>41988.924062500002</v>
      </c>
      <c r="H642" s="3">
        <v>42023.018368055556</v>
      </c>
      <c r="I642" s="3">
        <v>41988.924062500002</v>
      </c>
      <c r="J642" s="3" t="s">
        <v>103</v>
      </c>
      <c r="K642" s="3" t="s">
        <v>105</v>
      </c>
      <c r="L642" s="3" t="s">
        <v>2340</v>
      </c>
      <c r="M642" s="3" t="s">
        <v>307</v>
      </c>
      <c r="N642" s="3" t="s">
        <v>2307</v>
      </c>
      <c r="O642" s="3" t="s">
        <v>2341</v>
      </c>
      <c r="P642" s="3" t="s">
        <v>215</v>
      </c>
      <c r="Q642" t="str">
        <f t="shared" si="38"/>
        <v>http://roarmap.eprints.org/view/country/840.html</v>
      </c>
      <c r="R642" s="3">
        <v>840</v>
      </c>
      <c r="S642" s="6" t="s">
        <v>359</v>
      </c>
      <c r="T642" s="9">
        <v>840</v>
      </c>
      <c r="U642" s="7" t="s">
        <v>2518</v>
      </c>
      <c r="V642" s="6" t="s">
        <v>66</v>
      </c>
      <c r="W642" s="3" t="s">
        <v>158</v>
      </c>
      <c r="X642" s="3" t="s">
        <v>364</v>
      </c>
      <c r="Y642" s="3" t="s">
        <v>2340</v>
      </c>
      <c r="Z642" s="8" t="str">
        <f>HYPERLINK("http://www.commerce.gov/","http://www.commerce.gov/")</f>
        <v>http://www.commerce.gov/</v>
      </c>
      <c r="AC642" s="3">
        <v>41508</v>
      </c>
      <c r="AF642" s="3" t="s">
        <v>177</v>
      </c>
      <c r="AG642" s="3" t="s">
        <v>244</v>
      </c>
      <c r="AH642" s="3" t="s">
        <v>244</v>
      </c>
      <c r="AI642" s="3" t="s">
        <v>244</v>
      </c>
      <c r="AJ642" s="3" t="s">
        <v>244</v>
      </c>
      <c r="AK642" s="3" t="s">
        <v>244</v>
      </c>
      <c r="AL642" s="3" t="s">
        <v>244</v>
      </c>
      <c r="AM642" s="3" t="s">
        <v>247</v>
      </c>
      <c r="AN642" s="3" t="s">
        <v>244</v>
      </c>
      <c r="AO642" s="3" t="s">
        <v>247</v>
      </c>
      <c r="AP642" s="3" t="s">
        <v>244</v>
      </c>
      <c r="AQ642" s="3" t="s">
        <v>247</v>
      </c>
      <c r="AR642" s="3" t="s">
        <v>288</v>
      </c>
      <c r="AS642" s="3" t="s">
        <v>244</v>
      </c>
      <c r="AT642" s="3" t="s">
        <v>244</v>
      </c>
      <c r="AU642" s="3" t="s">
        <v>244</v>
      </c>
      <c r="AV642" s="3" t="s">
        <v>288</v>
      </c>
      <c r="AW642" s="3" t="s">
        <v>244</v>
      </c>
      <c r="AX642" s="3" t="s">
        <v>244</v>
      </c>
      <c r="AY642" s="3" t="s">
        <v>247</v>
      </c>
    </row>
    <row r="643" spans="1:51" ht="15.75" customHeight="1">
      <c r="A643" s="3">
        <v>512</v>
      </c>
      <c r="B643" s="5" t="str">
        <f t="shared" si="0"/>
        <v>http://roarmap.eprints.org/512/</v>
      </c>
      <c r="C643" s="3">
        <v>4</v>
      </c>
      <c r="D643" s="3" t="s">
        <v>98</v>
      </c>
      <c r="E643" s="3">
        <v>1</v>
      </c>
      <c r="F643" s="3" t="s">
        <v>2342</v>
      </c>
      <c r="G643" s="3">
        <v>41988.924074074072</v>
      </c>
      <c r="H643" s="3">
        <v>42066.692164351851</v>
      </c>
      <c r="I643" s="3">
        <v>41988.924074074072</v>
      </c>
      <c r="J643" s="3" t="s">
        <v>103</v>
      </c>
      <c r="K643" s="3" t="s">
        <v>105</v>
      </c>
      <c r="L643" s="3" t="s">
        <v>2343</v>
      </c>
      <c r="M643" s="3" t="s">
        <v>307</v>
      </c>
      <c r="P643" s="3" t="s">
        <v>215</v>
      </c>
      <c r="Q643" t="str">
        <f t="shared" ref="Q643:Q698" si="43">CONCATENATE("http://roarmap.eprints.org/view/country/",T643,".html")</f>
        <v>http://roarmap.eprints.org/view/country/840.html</v>
      </c>
      <c r="R643" s="3">
        <v>840</v>
      </c>
      <c r="S643" s="6" t="s">
        <v>359</v>
      </c>
      <c r="T643" s="9">
        <v>840</v>
      </c>
      <c r="U643" s="7" t="s">
        <v>2518</v>
      </c>
      <c r="V643" s="6" t="s">
        <v>66</v>
      </c>
      <c r="W643" s="3" t="s">
        <v>158</v>
      </c>
      <c r="X643" s="3" t="s">
        <v>364</v>
      </c>
      <c r="Y643" s="3" t="s">
        <v>2343</v>
      </c>
      <c r="Z643" s="8" t="str">
        <f>HYPERLINK("http://www.defense.gov/","http://www.defense.gov/")</f>
        <v>http://www.defense.gov/</v>
      </c>
      <c r="AA643" s="8" t="str">
        <f>HYPERLINK("http://dtic.mil/dtic/pdf/PublicAccessMemo2014.pdf","http://dtic.mil/dtic/pdf/PublicAccessMemo2014.pdf")</f>
        <v>http://dtic.mil/dtic/pdf/PublicAccessMemo2014.pdf</v>
      </c>
      <c r="AB643" s="8" t="str">
        <f>HYPERLINK("http://www.dtic.mil/dtic/","http://www.dtic.mil/dtic/")</f>
        <v>http://www.dtic.mil/dtic/</v>
      </c>
      <c r="AC643" s="3">
        <v>41829</v>
      </c>
      <c r="AF643" s="3" t="s">
        <v>177</v>
      </c>
      <c r="AG643" s="3" t="s">
        <v>178</v>
      </c>
      <c r="AH643" s="3" t="s">
        <v>180</v>
      </c>
      <c r="AI643" s="3" t="s">
        <v>187</v>
      </c>
      <c r="AJ643" s="3" t="s">
        <v>182</v>
      </c>
      <c r="AK643" s="3" t="s">
        <v>393</v>
      </c>
      <c r="AL643" s="3" t="s">
        <v>244</v>
      </c>
      <c r="AM643" s="3" t="s">
        <v>247</v>
      </c>
      <c r="AN643" s="3" t="s">
        <v>244</v>
      </c>
      <c r="AO643" s="3" t="s">
        <v>247</v>
      </c>
      <c r="AP643" s="3" t="s">
        <v>244</v>
      </c>
      <c r="AQ643" s="3" t="s">
        <v>247</v>
      </c>
      <c r="AR643" s="3" t="s">
        <v>288</v>
      </c>
      <c r="AS643" s="3" t="s">
        <v>244</v>
      </c>
      <c r="AT643" s="3" t="s">
        <v>395</v>
      </c>
      <c r="AU643" s="3" t="s">
        <v>395</v>
      </c>
      <c r="AV643" s="3" t="s">
        <v>244</v>
      </c>
      <c r="AW643" s="3" t="s">
        <v>244</v>
      </c>
      <c r="AX643" s="3" t="s">
        <v>244</v>
      </c>
      <c r="AY643" s="3" t="s">
        <v>247</v>
      </c>
    </row>
    <row r="644" spans="1:51" ht="15.75" customHeight="1">
      <c r="A644" s="3">
        <v>513</v>
      </c>
      <c r="B644" s="5" t="str">
        <f t="shared" si="0"/>
        <v>http://roarmap.eprints.org/513/</v>
      </c>
      <c r="C644" s="3">
        <v>3</v>
      </c>
      <c r="D644" s="3" t="s">
        <v>98</v>
      </c>
      <c r="E644" s="3">
        <v>1</v>
      </c>
      <c r="F644" s="3" t="s">
        <v>2344</v>
      </c>
      <c r="G644" s="3">
        <v>41988.924074074072</v>
      </c>
      <c r="H644" s="3">
        <v>41988.924074074072</v>
      </c>
      <c r="I644" s="3">
        <v>41988.924074074072</v>
      </c>
      <c r="J644" s="3" t="s">
        <v>103</v>
      </c>
      <c r="K644" s="3" t="s">
        <v>105</v>
      </c>
      <c r="L644" s="3" t="s">
        <v>2345</v>
      </c>
      <c r="M644" s="3" t="s">
        <v>307</v>
      </c>
      <c r="N644" s="3" t="s">
        <v>2346</v>
      </c>
      <c r="O644" s="3" t="s">
        <v>2347</v>
      </c>
      <c r="P644" s="3" t="s">
        <v>215</v>
      </c>
      <c r="Q644" t="str">
        <f t="shared" si="43"/>
        <v>http://roarmap.eprints.org/view/country/840.html</v>
      </c>
      <c r="R644" s="3">
        <v>840</v>
      </c>
      <c r="S644" s="6" t="s">
        <v>359</v>
      </c>
      <c r="T644" s="9">
        <v>840</v>
      </c>
      <c r="U644" s="7" t="s">
        <v>2518</v>
      </c>
      <c r="V644" s="6" t="s">
        <v>66</v>
      </c>
      <c r="W644" s="3" t="s">
        <v>158</v>
      </c>
      <c r="X644" s="3" t="s">
        <v>364</v>
      </c>
      <c r="Y644" s="3" t="s">
        <v>2345</v>
      </c>
      <c r="Z644" s="8" t="str">
        <f>HYPERLINK("http://www.ed.gov/","http://www.ed.gov/")</f>
        <v>http://www.ed.gov/</v>
      </c>
      <c r="AA644" s="3" t="s">
        <v>2309</v>
      </c>
      <c r="AC644" s="3">
        <v>41508</v>
      </c>
      <c r="AF644" s="3" t="s">
        <v>177</v>
      </c>
      <c r="AG644" s="3" t="s">
        <v>244</v>
      </c>
      <c r="AH644" s="3" t="s">
        <v>244</v>
      </c>
      <c r="AI644" s="3" t="s">
        <v>244</v>
      </c>
      <c r="AJ644" s="3" t="s">
        <v>244</v>
      </c>
      <c r="AK644" s="3" t="s">
        <v>244</v>
      </c>
      <c r="AL644" s="3" t="s">
        <v>244</v>
      </c>
      <c r="AM644" s="3" t="s">
        <v>247</v>
      </c>
      <c r="AN644" s="3" t="s">
        <v>244</v>
      </c>
      <c r="AO644" s="3" t="s">
        <v>247</v>
      </c>
      <c r="AP644" s="3" t="s">
        <v>244</v>
      </c>
      <c r="AQ644" s="3" t="s">
        <v>247</v>
      </c>
      <c r="AR644" s="3" t="s">
        <v>288</v>
      </c>
      <c r="AS644" s="3" t="s">
        <v>244</v>
      </c>
      <c r="AT644" s="3" t="s">
        <v>244</v>
      </c>
      <c r="AU644" s="3" t="s">
        <v>244</v>
      </c>
      <c r="AV644" s="3" t="s">
        <v>288</v>
      </c>
      <c r="AW644" s="3" t="s">
        <v>244</v>
      </c>
      <c r="AX644" s="3" t="s">
        <v>244</v>
      </c>
      <c r="AY644" s="3" t="s">
        <v>247</v>
      </c>
    </row>
    <row r="645" spans="1:51" ht="15.75" customHeight="1">
      <c r="A645" s="3">
        <v>514</v>
      </c>
      <c r="B645" s="5" t="str">
        <f t="shared" si="0"/>
        <v>http://roarmap.eprints.org/514/</v>
      </c>
      <c r="C645" s="3">
        <v>3</v>
      </c>
      <c r="D645" s="3" t="s">
        <v>98</v>
      </c>
      <c r="E645" s="3">
        <v>1</v>
      </c>
      <c r="F645" s="3" t="s">
        <v>2348</v>
      </c>
      <c r="G645" s="3">
        <v>41988.924074074072</v>
      </c>
      <c r="H645" s="3">
        <v>41988.924074074072</v>
      </c>
      <c r="I645" s="3">
        <v>41988.924074074072</v>
      </c>
      <c r="J645" s="3" t="s">
        <v>103</v>
      </c>
      <c r="K645" s="3" t="s">
        <v>105</v>
      </c>
      <c r="L645" s="3" t="s">
        <v>2349</v>
      </c>
      <c r="M645" s="3" t="s">
        <v>307</v>
      </c>
      <c r="N645" s="3" t="s">
        <v>2307</v>
      </c>
      <c r="O645" s="3" t="s">
        <v>2350</v>
      </c>
      <c r="P645" s="3" t="s">
        <v>215</v>
      </c>
      <c r="Q645" t="str">
        <f t="shared" si="43"/>
        <v>http://roarmap.eprints.org/view/country/840.html</v>
      </c>
      <c r="R645" s="3">
        <v>840</v>
      </c>
      <c r="S645" s="6" t="s">
        <v>359</v>
      </c>
      <c r="T645" s="9">
        <v>840</v>
      </c>
      <c r="U645" s="7" t="s">
        <v>2518</v>
      </c>
      <c r="V645" s="6" t="s">
        <v>66</v>
      </c>
      <c r="W645" s="3" t="s">
        <v>158</v>
      </c>
      <c r="X645" s="3" t="s">
        <v>364</v>
      </c>
      <c r="Y645" s="3" t="s">
        <v>2349</v>
      </c>
      <c r="Z645" s="8" t="str">
        <f>HYPERLINK("http://energy.gov/","http://energy.gov/")</f>
        <v>http://energy.gov/</v>
      </c>
      <c r="AA645" s="3" t="s">
        <v>2309</v>
      </c>
      <c r="AC645" s="3">
        <v>41508</v>
      </c>
      <c r="AF645" s="3" t="s">
        <v>177</v>
      </c>
      <c r="AG645" s="3" t="s">
        <v>244</v>
      </c>
      <c r="AH645" s="3" t="s">
        <v>244</v>
      </c>
      <c r="AI645" s="3" t="s">
        <v>244</v>
      </c>
      <c r="AJ645" s="3" t="s">
        <v>244</v>
      </c>
      <c r="AK645" s="3" t="s">
        <v>244</v>
      </c>
      <c r="AL645" s="3" t="s">
        <v>244</v>
      </c>
      <c r="AM645" s="3" t="s">
        <v>247</v>
      </c>
      <c r="AN645" s="3" t="s">
        <v>244</v>
      </c>
      <c r="AO645" s="3" t="s">
        <v>247</v>
      </c>
      <c r="AP645" s="3" t="s">
        <v>244</v>
      </c>
      <c r="AQ645" s="3" t="s">
        <v>247</v>
      </c>
      <c r="AR645" s="3" t="s">
        <v>288</v>
      </c>
      <c r="AS645" s="3" t="s">
        <v>244</v>
      </c>
      <c r="AT645" s="3" t="s">
        <v>244</v>
      </c>
      <c r="AU645" s="3" t="s">
        <v>244</v>
      </c>
      <c r="AV645" s="3" t="s">
        <v>288</v>
      </c>
      <c r="AW645" s="3" t="s">
        <v>244</v>
      </c>
      <c r="AX645" s="3" t="s">
        <v>244</v>
      </c>
      <c r="AY645" s="3" t="s">
        <v>247</v>
      </c>
    </row>
    <row r="646" spans="1:51" ht="15.75" customHeight="1">
      <c r="A646" s="3">
        <v>515</v>
      </c>
      <c r="B646" s="5" t="str">
        <f t="shared" si="0"/>
        <v>http://roarmap.eprints.org/515/</v>
      </c>
      <c r="C646" s="3">
        <v>3</v>
      </c>
      <c r="D646" s="3" t="s">
        <v>98</v>
      </c>
      <c r="E646" s="3">
        <v>1</v>
      </c>
      <c r="F646" s="3" t="s">
        <v>2351</v>
      </c>
      <c r="G646" s="3">
        <v>41988.924074074072</v>
      </c>
      <c r="H646" s="3">
        <v>41988.924074074072</v>
      </c>
      <c r="I646" s="3">
        <v>41988.924074074072</v>
      </c>
      <c r="J646" s="3" t="s">
        <v>103</v>
      </c>
      <c r="K646" s="3" t="s">
        <v>105</v>
      </c>
      <c r="L646" s="3" t="s">
        <v>2352</v>
      </c>
      <c r="M646" s="3" t="s">
        <v>307</v>
      </c>
      <c r="N646" s="3" t="s">
        <v>2346</v>
      </c>
      <c r="O646" s="3" t="s">
        <v>2353</v>
      </c>
      <c r="P646" s="3" t="s">
        <v>215</v>
      </c>
      <c r="Q646" t="str">
        <f t="shared" si="43"/>
        <v>http://roarmap.eprints.org/view/country/840.html</v>
      </c>
      <c r="R646" s="3">
        <v>840</v>
      </c>
      <c r="S646" s="6" t="s">
        <v>359</v>
      </c>
      <c r="T646" s="9">
        <v>840</v>
      </c>
      <c r="U646" s="7" t="s">
        <v>2518</v>
      </c>
      <c r="V646" s="6" t="s">
        <v>66</v>
      </c>
      <c r="W646" s="3" t="s">
        <v>158</v>
      </c>
      <c r="X646" s="3" t="s">
        <v>364</v>
      </c>
      <c r="Y646" s="3" t="s">
        <v>2352</v>
      </c>
      <c r="Z646" s="8" t="str">
        <f>HYPERLINK("http://www.hhs.gov/","http://www.hhs.gov/")</f>
        <v>http://www.hhs.gov/</v>
      </c>
      <c r="AA646" s="3" t="s">
        <v>2309</v>
      </c>
      <c r="AC646" s="3">
        <v>41508</v>
      </c>
      <c r="AF646" s="3" t="s">
        <v>177</v>
      </c>
      <c r="AG646" s="3" t="s">
        <v>244</v>
      </c>
      <c r="AH646" s="3" t="s">
        <v>244</v>
      </c>
      <c r="AI646" s="3" t="s">
        <v>244</v>
      </c>
      <c r="AJ646" s="3" t="s">
        <v>244</v>
      </c>
      <c r="AK646" s="3" t="s">
        <v>244</v>
      </c>
      <c r="AL646" s="3" t="s">
        <v>244</v>
      </c>
      <c r="AM646" s="3" t="s">
        <v>247</v>
      </c>
      <c r="AN646" s="3" t="s">
        <v>244</v>
      </c>
      <c r="AO646" s="3" t="s">
        <v>247</v>
      </c>
      <c r="AP646" s="3" t="s">
        <v>244</v>
      </c>
      <c r="AQ646" s="3" t="s">
        <v>247</v>
      </c>
      <c r="AR646" s="3" t="s">
        <v>288</v>
      </c>
      <c r="AS646" s="3" t="s">
        <v>244</v>
      </c>
      <c r="AT646" s="3" t="s">
        <v>244</v>
      </c>
      <c r="AU646" s="3" t="s">
        <v>244</v>
      </c>
      <c r="AV646" s="3" t="s">
        <v>288</v>
      </c>
      <c r="AW646" s="3" t="s">
        <v>244</v>
      </c>
      <c r="AX646" s="3" t="s">
        <v>244</v>
      </c>
      <c r="AY646" s="3" t="s">
        <v>247</v>
      </c>
    </row>
    <row r="647" spans="1:51" ht="15.75" customHeight="1">
      <c r="A647" s="3">
        <v>516</v>
      </c>
      <c r="B647" s="5" t="str">
        <f t="shared" si="0"/>
        <v>http://roarmap.eprints.org/516/</v>
      </c>
      <c r="C647" s="3">
        <v>3</v>
      </c>
      <c r="D647" s="3" t="s">
        <v>98</v>
      </c>
      <c r="E647" s="3">
        <v>1</v>
      </c>
      <c r="F647" s="3" t="s">
        <v>2354</v>
      </c>
      <c r="G647" s="3">
        <v>41988.924074074072</v>
      </c>
      <c r="H647" s="3">
        <v>41988.924074074072</v>
      </c>
      <c r="I647" s="3">
        <v>41988.924074074072</v>
      </c>
      <c r="J647" s="3" t="s">
        <v>103</v>
      </c>
      <c r="K647" s="3" t="s">
        <v>105</v>
      </c>
      <c r="L647" s="3" t="s">
        <v>2355</v>
      </c>
      <c r="M647" s="3" t="s">
        <v>307</v>
      </c>
      <c r="N647" s="3" t="s">
        <v>2307</v>
      </c>
      <c r="O647" s="3" t="s">
        <v>2356</v>
      </c>
      <c r="P647" s="3" t="s">
        <v>215</v>
      </c>
      <c r="Q647" t="str">
        <f t="shared" si="43"/>
        <v>http://roarmap.eprints.org/view/country/840.html</v>
      </c>
      <c r="R647" s="3">
        <v>840</v>
      </c>
      <c r="S647" s="6" t="s">
        <v>359</v>
      </c>
      <c r="T647" s="9">
        <v>840</v>
      </c>
      <c r="U647" s="7" t="s">
        <v>2518</v>
      </c>
      <c r="V647" s="6" t="s">
        <v>66</v>
      </c>
      <c r="W647" s="3" t="s">
        <v>158</v>
      </c>
      <c r="X647" s="3" t="s">
        <v>364</v>
      </c>
      <c r="Y647" s="3" t="s">
        <v>2355</v>
      </c>
      <c r="Z647" s="8" t="str">
        <f>HYPERLINK("http://www.dhs.gov/","http://www.dhs.gov/")</f>
        <v>http://www.dhs.gov/</v>
      </c>
      <c r="AC647" s="3">
        <v>41508</v>
      </c>
      <c r="AF647" s="3" t="s">
        <v>177</v>
      </c>
      <c r="AG647" s="3" t="s">
        <v>244</v>
      </c>
      <c r="AH647" s="3" t="s">
        <v>244</v>
      </c>
      <c r="AI647" s="3" t="s">
        <v>244</v>
      </c>
      <c r="AJ647" s="3" t="s">
        <v>244</v>
      </c>
      <c r="AK647" s="3" t="s">
        <v>244</v>
      </c>
      <c r="AL647" s="3" t="s">
        <v>244</v>
      </c>
      <c r="AM647" s="3" t="s">
        <v>247</v>
      </c>
      <c r="AN647" s="3" t="s">
        <v>244</v>
      </c>
      <c r="AO647" s="3" t="s">
        <v>247</v>
      </c>
      <c r="AP647" s="3" t="s">
        <v>244</v>
      </c>
      <c r="AQ647" s="3" t="s">
        <v>247</v>
      </c>
      <c r="AR647" s="3" t="s">
        <v>288</v>
      </c>
      <c r="AS647" s="3" t="s">
        <v>244</v>
      </c>
      <c r="AT647" s="3" t="s">
        <v>244</v>
      </c>
      <c r="AU647" s="3" t="s">
        <v>244</v>
      </c>
      <c r="AV647" s="3" t="s">
        <v>288</v>
      </c>
      <c r="AW647" s="3" t="s">
        <v>244</v>
      </c>
      <c r="AX647" s="3" t="s">
        <v>244</v>
      </c>
      <c r="AY647" s="3" t="s">
        <v>247</v>
      </c>
    </row>
    <row r="648" spans="1:51" ht="15.75" customHeight="1">
      <c r="A648" s="3">
        <v>517</v>
      </c>
      <c r="B648" s="5" t="str">
        <f t="shared" si="0"/>
        <v>http://roarmap.eprints.org/517/</v>
      </c>
      <c r="C648" s="3">
        <v>3</v>
      </c>
      <c r="D648" s="3" t="s">
        <v>98</v>
      </c>
      <c r="E648" s="3">
        <v>1</v>
      </c>
      <c r="F648" s="3" t="s">
        <v>2357</v>
      </c>
      <c r="G648" s="3">
        <v>41988.924074074072</v>
      </c>
      <c r="H648" s="3">
        <v>41988.924074074072</v>
      </c>
      <c r="I648" s="3">
        <v>41988.924074074072</v>
      </c>
      <c r="J648" s="3" t="s">
        <v>103</v>
      </c>
      <c r="K648" s="3" t="s">
        <v>105</v>
      </c>
      <c r="L648" s="3" t="s">
        <v>2358</v>
      </c>
      <c r="M648" s="3" t="s">
        <v>352</v>
      </c>
      <c r="N648" s="3" t="s">
        <v>398</v>
      </c>
      <c r="O648" s="3" t="s">
        <v>2359</v>
      </c>
      <c r="P648" s="3" t="s">
        <v>215</v>
      </c>
      <c r="Q648" t="str">
        <f t="shared" si="43"/>
        <v>http://roarmap.eprints.org/view/country/840.html</v>
      </c>
      <c r="R648" s="3">
        <v>840</v>
      </c>
      <c r="S648" s="6" t="s">
        <v>359</v>
      </c>
      <c r="T648" s="9">
        <v>840</v>
      </c>
      <c r="U648" s="7" t="s">
        <v>2518</v>
      </c>
      <c r="V648" s="6" t="s">
        <v>66</v>
      </c>
      <c r="W648" s="3" t="s">
        <v>158</v>
      </c>
      <c r="X648" s="3" t="s">
        <v>364</v>
      </c>
      <c r="Y648" s="3" t="s">
        <v>2358</v>
      </c>
      <c r="Z648" s="8" t="str">
        <f>HYPERLINK("http://www.state.gov/","http://www.state.gov/")</f>
        <v>http://www.state.gov/</v>
      </c>
      <c r="AC648" s="3">
        <v>41508</v>
      </c>
      <c r="AF648" s="3" t="s">
        <v>177</v>
      </c>
      <c r="AG648" s="3" t="s">
        <v>244</v>
      </c>
      <c r="AH648" s="3" t="s">
        <v>244</v>
      </c>
      <c r="AI648" s="3" t="s">
        <v>244</v>
      </c>
      <c r="AJ648" s="3" t="s">
        <v>244</v>
      </c>
      <c r="AK648" s="3" t="s">
        <v>244</v>
      </c>
      <c r="AL648" s="3" t="s">
        <v>244</v>
      </c>
      <c r="AM648" s="3" t="s">
        <v>247</v>
      </c>
      <c r="AN648" s="3" t="s">
        <v>244</v>
      </c>
      <c r="AO648" s="3" t="s">
        <v>247</v>
      </c>
      <c r="AP648" s="3" t="s">
        <v>244</v>
      </c>
      <c r="AQ648" s="3" t="s">
        <v>247</v>
      </c>
      <c r="AR648" s="3" t="s">
        <v>288</v>
      </c>
      <c r="AS648" s="3" t="s">
        <v>244</v>
      </c>
      <c r="AT648" s="3" t="s">
        <v>244</v>
      </c>
      <c r="AU648" s="3" t="s">
        <v>244</v>
      </c>
      <c r="AV648" s="3" t="s">
        <v>288</v>
      </c>
      <c r="AW648" s="3" t="s">
        <v>244</v>
      </c>
      <c r="AX648" s="3" t="s">
        <v>244</v>
      </c>
      <c r="AY648" s="3" t="s">
        <v>247</v>
      </c>
    </row>
    <row r="649" spans="1:51" ht="15.75" customHeight="1">
      <c r="A649" s="3">
        <v>518</v>
      </c>
      <c r="B649" s="5" t="str">
        <f t="shared" si="0"/>
        <v>http://roarmap.eprints.org/518/</v>
      </c>
      <c r="C649" s="3">
        <v>3</v>
      </c>
      <c r="D649" s="3" t="s">
        <v>98</v>
      </c>
      <c r="E649" s="3">
        <v>1</v>
      </c>
      <c r="F649" s="3" t="s">
        <v>2360</v>
      </c>
      <c r="G649" s="3">
        <v>41988.924074074072</v>
      </c>
      <c r="H649" s="3">
        <v>41988.924074074072</v>
      </c>
      <c r="I649" s="3">
        <v>41988.924074074072</v>
      </c>
      <c r="J649" s="3" t="s">
        <v>103</v>
      </c>
      <c r="K649" s="3" t="s">
        <v>105</v>
      </c>
      <c r="L649" s="3" t="s">
        <v>2361</v>
      </c>
      <c r="M649" s="3" t="s">
        <v>307</v>
      </c>
      <c r="N649" s="3" t="s">
        <v>2307</v>
      </c>
      <c r="O649" s="3" t="s">
        <v>2362</v>
      </c>
      <c r="P649" s="3" t="s">
        <v>215</v>
      </c>
      <c r="Q649" t="str">
        <f t="shared" si="43"/>
        <v>http://roarmap.eprints.org/view/country/840.html</v>
      </c>
      <c r="R649" s="3">
        <v>840</v>
      </c>
      <c r="S649" s="6" t="s">
        <v>359</v>
      </c>
      <c r="T649" s="9">
        <v>840</v>
      </c>
      <c r="U649" s="7" t="s">
        <v>2518</v>
      </c>
      <c r="V649" s="6" t="s">
        <v>66</v>
      </c>
      <c r="W649" s="3" t="s">
        <v>158</v>
      </c>
      <c r="X649" s="3" t="s">
        <v>364</v>
      </c>
      <c r="Y649" s="3" t="s">
        <v>2361</v>
      </c>
      <c r="Z649" s="8" t="str">
        <f>HYPERLINK("http://www.dot.gov/","http://www.dot.gov/")</f>
        <v>http://www.dot.gov/</v>
      </c>
      <c r="AC649" s="3">
        <v>41508</v>
      </c>
      <c r="AF649" s="3" t="s">
        <v>177</v>
      </c>
      <c r="AG649" s="3" t="s">
        <v>244</v>
      </c>
      <c r="AH649" s="3" t="s">
        <v>244</v>
      </c>
      <c r="AI649" s="3" t="s">
        <v>244</v>
      </c>
      <c r="AJ649" s="3" t="s">
        <v>244</v>
      </c>
      <c r="AK649" s="3" t="s">
        <v>244</v>
      </c>
      <c r="AL649" s="3" t="s">
        <v>244</v>
      </c>
      <c r="AM649" s="3" t="s">
        <v>247</v>
      </c>
      <c r="AN649" s="3" t="s">
        <v>244</v>
      </c>
      <c r="AO649" s="3" t="s">
        <v>247</v>
      </c>
      <c r="AP649" s="3" t="s">
        <v>244</v>
      </c>
      <c r="AQ649" s="3" t="s">
        <v>247</v>
      </c>
      <c r="AR649" s="3" t="s">
        <v>288</v>
      </c>
      <c r="AS649" s="3" t="s">
        <v>244</v>
      </c>
      <c r="AT649" s="3" t="s">
        <v>244</v>
      </c>
      <c r="AU649" s="3" t="s">
        <v>244</v>
      </c>
      <c r="AV649" s="3" t="s">
        <v>288</v>
      </c>
      <c r="AW649" s="3" t="s">
        <v>244</v>
      </c>
      <c r="AX649" s="3" t="s">
        <v>244</v>
      </c>
      <c r="AY649" s="3" t="s">
        <v>247</v>
      </c>
    </row>
    <row r="650" spans="1:51" ht="15.75" customHeight="1">
      <c r="A650" s="3">
        <v>519</v>
      </c>
      <c r="B650" s="5" t="str">
        <f t="shared" si="0"/>
        <v>http://roarmap.eprints.org/519/</v>
      </c>
      <c r="C650" s="3">
        <v>3</v>
      </c>
      <c r="D650" s="3" t="s">
        <v>98</v>
      </c>
      <c r="E650" s="3">
        <v>1</v>
      </c>
      <c r="F650" s="3" t="s">
        <v>2363</v>
      </c>
      <c r="G650" s="3">
        <v>41988.924074074072</v>
      </c>
      <c r="H650" s="3">
        <v>41988.924074074072</v>
      </c>
      <c r="I650" s="3">
        <v>41988.924074074072</v>
      </c>
      <c r="J650" s="3" t="s">
        <v>103</v>
      </c>
      <c r="K650" s="3" t="s">
        <v>105</v>
      </c>
      <c r="L650" s="3" t="s">
        <v>2364</v>
      </c>
      <c r="M650" s="3" t="s">
        <v>307</v>
      </c>
      <c r="N650" s="3" t="s">
        <v>2307</v>
      </c>
      <c r="O650" s="3" t="s">
        <v>2365</v>
      </c>
      <c r="P650" s="3" t="s">
        <v>215</v>
      </c>
      <c r="Q650" t="str">
        <f t="shared" si="43"/>
        <v>http://roarmap.eprints.org/view/country/840.html</v>
      </c>
      <c r="R650" s="3">
        <v>840</v>
      </c>
      <c r="S650" s="6" t="s">
        <v>359</v>
      </c>
      <c r="T650" s="9">
        <v>840</v>
      </c>
      <c r="U650" s="7" t="s">
        <v>2518</v>
      </c>
      <c r="V650" s="6" t="s">
        <v>66</v>
      </c>
      <c r="W650" s="3" t="s">
        <v>158</v>
      </c>
      <c r="X650" s="3" t="s">
        <v>364</v>
      </c>
      <c r="Y650" s="3" t="s">
        <v>2364</v>
      </c>
      <c r="Z650" s="8" t="str">
        <f>HYPERLINK("http://www.doi.gov/index.cfm","http://www.doi.gov/index.cfm")</f>
        <v>http://www.doi.gov/index.cfm</v>
      </c>
      <c r="AC650" s="3">
        <v>41508</v>
      </c>
      <c r="AF650" s="3" t="s">
        <v>177</v>
      </c>
      <c r="AG650" s="3" t="s">
        <v>244</v>
      </c>
      <c r="AH650" s="3" t="s">
        <v>244</v>
      </c>
      <c r="AI650" s="3" t="s">
        <v>244</v>
      </c>
      <c r="AJ650" s="3" t="s">
        <v>244</v>
      </c>
      <c r="AK650" s="3" t="s">
        <v>244</v>
      </c>
      <c r="AL650" s="3" t="s">
        <v>244</v>
      </c>
      <c r="AM650" s="3" t="s">
        <v>247</v>
      </c>
      <c r="AN650" s="3" t="s">
        <v>244</v>
      </c>
      <c r="AO650" s="3" t="s">
        <v>247</v>
      </c>
      <c r="AP650" s="3" t="s">
        <v>244</v>
      </c>
      <c r="AQ650" s="3" t="s">
        <v>247</v>
      </c>
      <c r="AR650" s="3" t="s">
        <v>288</v>
      </c>
      <c r="AS650" s="3" t="s">
        <v>244</v>
      </c>
      <c r="AT650" s="3" t="s">
        <v>244</v>
      </c>
      <c r="AU650" s="3" t="s">
        <v>244</v>
      </c>
      <c r="AV650" s="3" t="s">
        <v>288</v>
      </c>
      <c r="AW650" s="3" t="s">
        <v>244</v>
      </c>
      <c r="AX650" s="3" t="s">
        <v>244</v>
      </c>
      <c r="AY650" s="3" t="s">
        <v>247</v>
      </c>
    </row>
    <row r="651" spans="1:51" ht="15.75" customHeight="1">
      <c r="A651" s="3">
        <v>520</v>
      </c>
      <c r="B651" s="5" t="str">
        <f t="shared" si="0"/>
        <v>http://roarmap.eprints.org/520/</v>
      </c>
      <c r="C651" s="3">
        <v>3</v>
      </c>
      <c r="D651" s="3" t="s">
        <v>98</v>
      </c>
      <c r="E651" s="3">
        <v>1</v>
      </c>
      <c r="F651" s="3" t="s">
        <v>2366</v>
      </c>
      <c r="G651" s="3">
        <v>41988.924085648148</v>
      </c>
      <c r="H651" s="3">
        <v>41988.924085648148</v>
      </c>
      <c r="I651" s="3">
        <v>41988.924085648148</v>
      </c>
      <c r="J651" s="3" t="s">
        <v>103</v>
      </c>
      <c r="K651" s="3" t="s">
        <v>105</v>
      </c>
      <c r="L651" s="3" t="s">
        <v>2367</v>
      </c>
      <c r="M651" s="3" t="s">
        <v>307</v>
      </c>
      <c r="N651" s="3" t="s">
        <v>2307</v>
      </c>
      <c r="O651" s="3" t="s">
        <v>2368</v>
      </c>
      <c r="P651" s="3" t="s">
        <v>215</v>
      </c>
      <c r="Q651" t="str">
        <f t="shared" si="43"/>
        <v>http://roarmap.eprints.org/view/country/840.html</v>
      </c>
      <c r="R651" s="3">
        <v>840</v>
      </c>
      <c r="S651" s="6" t="s">
        <v>359</v>
      </c>
      <c r="T651" s="9">
        <v>840</v>
      </c>
      <c r="U651" s="7" t="s">
        <v>2518</v>
      </c>
      <c r="V651" s="6" t="s">
        <v>66</v>
      </c>
      <c r="W651" s="3" t="s">
        <v>158</v>
      </c>
      <c r="X651" s="3" t="s">
        <v>364</v>
      </c>
      <c r="Y651" s="3" t="s">
        <v>2367</v>
      </c>
      <c r="Z651" s="8" t="str">
        <f>HYPERLINK("http://www.epa.gov/","http://www.epa.gov/")</f>
        <v>http://www.epa.gov/</v>
      </c>
      <c r="AC651" s="3">
        <v>41508</v>
      </c>
      <c r="AF651" s="3" t="s">
        <v>177</v>
      </c>
      <c r="AG651" s="3" t="s">
        <v>244</v>
      </c>
      <c r="AH651" s="3" t="s">
        <v>244</v>
      </c>
      <c r="AI651" s="3" t="s">
        <v>244</v>
      </c>
      <c r="AJ651" s="3" t="s">
        <v>244</v>
      </c>
      <c r="AK651" s="3" t="s">
        <v>244</v>
      </c>
      <c r="AL651" s="3" t="s">
        <v>244</v>
      </c>
      <c r="AM651" s="3" t="s">
        <v>247</v>
      </c>
      <c r="AN651" s="3" t="s">
        <v>244</v>
      </c>
      <c r="AO651" s="3" t="s">
        <v>247</v>
      </c>
      <c r="AP651" s="3" t="s">
        <v>244</v>
      </c>
      <c r="AQ651" s="3" t="s">
        <v>247</v>
      </c>
      <c r="AR651" s="3" t="s">
        <v>288</v>
      </c>
      <c r="AS651" s="3" t="s">
        <v>244</v>
      </c>
      <c r="AT651" s="3" t="s">
        <v>244</v>
      </c>
      <c r="AU651" s="3" t="s">
        <v>244</v>
      </c>
      <c r="AV651" s="3" t="s">
        <v>288</v>
      </c>
      <c r="AW651" s="3" t="s">
        <v>244</v>
      </c>
      <c r="AX651" s="3" t="s">
        <v>244</v>
      </c>
      <c r="AY651" s="3" t="s">
        <v>247</v>
      </c>
    </row>
    <row r="652" spans="1:51" ht="15.75" customHeight="1">
      <c r="A652" s="3">
        <v>521</v>
      </c>
      <c r="B652" s="5" t="str">
        <f t="shared" si="0"/>
        <v>http://roarmap.eprints.org/521/</v>
      </c>
      <c r="C652" s="3">
        <v>3</v>
      </c>
      <c r="D652" s="3" t="s">
        <v>98</v>
      </c>
      <c r="E652" s="3">
        <v>1</v>
      </c>
      <c r="F652" s="3" t="s">
        <v>2369</v>
      </c>
      <c r="G652" s="3">
        <v>41988.924085648148</v>
      </c>
      <c r="H652" s="3">
        <v>41988.924085648148</v>
      </c>
      <c r="I652" s="3">
        <v>41988.924085648148</v>
      </c>
      <c r="J652" s="3" t="s">
        <v>103</v>
      </c>
      <c r="K652" s="3" t="s">
        <v>105</v>
      </c>
      <c r="L652" s="3" t="s">
        <v>2370</v>
      </c>
      <c r="M652" s="3" t="s">
        <v>352</v>
      </c>
      <c r="N652" s="3" t="s">
        <v>398</v>
      </c>
      <c r="O652" s="3" t="s">
        <v>2371</v>
      </c>
      <c r="P652" s="3" t="s">
        <v>215</v>
      </c>
      <c r="Q652" t="str">
        <f t="shared" si="43"/>
        <v>http://roarmap.eprints.org/view/country/840.html</v>
      </c>
      <c r="R652" s="3">
        <v>840</v>
      </c>
      <c r="S652" s="6" t="s">
        <v>359</v>
      </c>
      <c r="T652" s="9">
        <v>840</v>
      </c>
      <c r="U652" s="7" t="s">
        <v>2518</v>
      </c>
      <c r="V652" s="6" t="s">
        <v>66</v>
      </c>
      <c r="W652" s="3" t="s">
        <v>158</v>
      </c>
      <c r="X652" s="3" t="s">
        <v>364</v>
      </c>
      <c r="Y652" s="3" t="s">
        <v>2370</v>
      </c>
      <c r="Z652" s="8" t="str">
        <f>HYPERLINK("http://www.faa.gov/","http://www.faa.gov/")</f>
        <v>http://www.faa.gov/</v>
      </c>
      <c r="AG652" s="3" t="s">
        <v>244</v>
      </c>
      <c r="AH652" s="3" t="s">
        <v>244</v>
      </c>
      <c r="AI652" s="3" t="s">
        <v>244</v>
      </c>
      <c r="AJ652" s="3" t="s">
        <v>244</v>
      </c>
      <c r="AK652" s="3" t="s">
        <v>244</v>
      </c>
      <c r="AL652" s="3" t="s">
        <v>244</v>
      </c>
      <c r="AM652" s="3" t="s">
        <v>247</v>
      </c>
      <c r="AN652" s="3" t="s">
        <v>244</v>
      </c>
      <c r="AO652" s="3" t="s">
        <v>247</v>
      </c>
      <c r="AP652" s="3" t="s">
        <v>244</v>
      </c>
      <c r="AQ652" s="3" t="s">
        <v>247</v>
      </c>
      <c r="AR652" s="3" t="s">
        <v>288</v>
      </c>
      <c r="AS652" s="3" t="s">
        <v>244</v>
      </c>
      <c r="AT652" s="3" t="s">
        <v>244</v>
      </c>
      <c r="AU652" s="3" t="s">
        <v>244</v>
      </c>
      <c r="AV652" s="3" t="s">
        <v>288</v>
      </c>
      <c r="AW652" s="3" t="s">
        <v>244</v>
      </c>
      <c r="AX652" s="3" t="s">
        <v>244</v>
      </c>
      <c r="AY652" s="3" t="s">
        <v>247</v>
      </c>
    </row>
    <row r="653" spans="1:51" ht="15.75" customHeight="1">
      <c r="A653" s="3">
        <v>522</v>
      </c>
      <c r="B653" s="5" t="str">
        <f t="shared" si="0"/>
        <v>http://roarmap.eprints.org/522/</v>
      </c>
      <c r="C653" s="3">
        <v>5</v>
      </c>
      <c r="D653" s="3" t="s">
        <v>98</v>
      </c>
      <c r="E653" s="3">
        <v>1</v>
      </c>
      <c r="F653" s="3" t="s">
        <v>2372</v>
      </c>
      <c r="G653" s="3">
        <v>41988.924085648148</v>
      </c>
      <c r="H653" s="3">
        <v>42023.02039351852</v>
      </c>
      <c r="I653" s="3">
        <v>41988.924085648148</v>
      </c>
      <c r="J653" s="3" t="s">
        <v>103</v>
      </c>
      <c r="K653" s="3" t="s">
        <v>105</v>
      </c>
      <c r="L653" s="3" t="s">
        <v>2373</v>
      </c>
      <c r="M653" s="3" t="s">
        <v>352</v>
      </c>
      <c r="N653" s="3" t="s">
        <v>398</v>
      </c>
      <c r="O653" s="3" t="s">
        <v>2374</v>
      </c>
      <c r="Q653" t="str">
        <f t="shared" si="43"/>
        <v>http://roarmap.eprints.org/view/country/840.html</v>
      </c>
      <c r="R653" s="3">
        <v>840</v>
      </c>
      <c r="S653" s="6" t="s">
        <v>359</v>
      </c>
      <c r="T653" s="9">
        <v>840</v>
      </c>
      <c r="U653" s="7" t="s">
        <v>2518</v>
      </c>
      <c r="V653" s="6" t="s">
        <v>66</v>
      </c>
      <c r="W653" s="3" t="s">
        <v>158</v>
      </c>
      <c r="X653" s="3" t="s">
        <v>376</v>
      </c>
      <c r="Y653" s="3" t="s">
        <v>2373</v>
      </c>
      <c r="Z653" s="8" t="str">
        <f>HYPERLINK("http://www.fhwa.dot.gov/","http://www.fhwa.dot.gov/")</f>
        <v>http://www.fhwa.dot.gov/</v>
      </c>
      <c r="AG653" s="3" t="s">
        <v>244</v>
      </c>
      <c r="AH653" s="3" t="s">
        <v>244</v>
      </c>
      <c r="AI653" s="3" t="s">
        <v>244</v>
      </c>
      <c r="AJ653" s="3" t="s">
        <v>244</v>
      </c>
      <c r="AK653" s="3" t="s">
        <v>244</v>
      </c>
      <c r="AL653" s="3" t="s">
        <v>244</v>
      </c>
      <c r="AM653" s="3" t="s">
        <v>247</v>
      </c>
      <c r="AN653" s="3" t="s">
        <v>244</v>
      </c>
      <c r="AO653" s="3" t="s">
        <v>247</v>
      </c>
      <c r="AP653" s="3" t="s">
        <v>244</v>
      </c>
      <c r="AQ653" s="3" t="s">
        <v>247</v>
      </c>
      <c r="AR653" s="3" t="s">
        <v>288</v>
      </c>
      <c r="AS653" s="3" t="s">
        <v>244</v>
      </c>
      <c r="AT653" s="3" t="s">
        <v>244</v>
      </c>
      <c r="AU653" s="3" t="s">
        <v>244</v>
      </c>
      <c r="AV653" s="3" t="s">
        <v>288</v>
      </c>
      <c r="AW653" s="3" t="s">
        <v>244</v>
      </c>
      <c r="AX653" s="3" t="s">
        <v>244</v>
      </c>
      <c r="AY653" s="3" t="s">
        <v>247</v>
      </c>
    </row>
    <row r="654" spans="1:51" ht="15.75" customHeight="1">
      <c r="A654" s="3">
        <v>523</v>
      </c>
      <c r="B654" s="5" t="str">
        <f t="shared" si="0"/>
        <v>http://roarmap.eprints.org/523/</v>
      </c>
      <c r="C654" s="3">
        <v>3</v>
      </c>
      <c r="D654" s="3" t="s">
        <v>98</v>
      </c>
      <c r="E654" s="3">
        <v>1</v>
      </c>
      <c r="F654" s="3" t="s">
        <v>2375</v>
      </c>
      <c r="G654" s="3">
        <v>41988.924085648148</v>
      </c>
      <c r="H654" s="3">
        <v>41988.924085648148</v>
      </c>
      <c r="I654" s="3">
        <v>41988.924085648148</v>
      </c>
      <c r="J654" s="3" t="s">
        <v>103</v>
      </c>
      <c r="K654" s="3" t="s">
        <v>105</v>
      </c>
      <c r="L654" s="3" t="s">
        <v>2376</v>
      </c>
      <c r="M654" s="3" t="s">
        <v>307</v>
      </c>
      <c r="N654" s="3" t="s">
        <v>2307</v>
      </c>
      <c r="O654" s="3" t="s">
        <v>2377</v>
      </c>
      <c r="P654" s="3" t="s">
        <v>215</v>
      </c>
      <c r="Q654" t="str">
        <f t="shared" si="43"/>
        <v>http://roarmap.eprints.org/view/country/840.html</v>
      </c>
      <c r="R654" s="3">
        <v>840</v>
      </c>
      <c r="S654" s="6" t="s">
        <v>359</v>
      </c>
      <c r="T654" s="9">
        <v>840</v>
      </c>
      <c r="U654" s="7" t="s">
        <v>2518</v>
      </c>
      <c r="V654" s="6" t="s">
        <v>66</v>
      </c>
      <c r="W654" s="3" t="s">
        <v>158</v>
      </c>
      <c r="X654" s="3" t="s">
        <v>364</v>
      </c>
      <c r="Y654" s="3" t="s">
        <v>2376</v>
      </c>
      <c r="Z654" s="8" t="str">
        <f>HYPERLINK("http://www.fda.gov/","http://www.fda.gov/")</f>
        <v>http://www.fda.gov/</v>
      </c>
      <c r="AC654" s="3">
        <v>41508</v>
      </c>
      <c r="AF654" s="3" t="s">
        <v>177</v>
      </c>
      <c r="AG654" s="3" t="s">
        <v>244</v>
      </c>
      <c r="AH654" s="3" t="s">
        <v>244</v>
      </c>
      <c r="AI654" s="3" t="s">
        <v>244</v>
      </c>
      <c r="AJ654" s="3" t="s">
        <v>244</v>
      </c>
      <c r="AK654" s="3" t="s">
        <v>244</v>
      </c>
      <c r="AL654" s="3" t="s">
        <v>244</v>
      </c>
      <c r="AM654" s="3" t="s">
        <v>247</v>
      </c>
      <c r="AN654" s="3" t="s">
        <v>244</v>
      </c>
      <c r="AO654" s="3" t="s">
        <v>247</v>
      </c>
      <c r="AP654" s="3" t="s">
        <v>244</v>
      </c>
      <c r="AQ654" s="3" t="s">
        <v>247</v>
      </c>
      <c r="AR654" s="3" t="s">
        <v>288</v>
      </c>
      <c r="AS654" s="3" t="s">
        <v>244</v>
      </c>
      <c r="AT654" s="3" t="s">
        <v>244</v>
      </c>
      <c r="AU654" s="3" t="s">
        <v>244</v>
      </c>
      <c r="AV654" s="3" t="s">
        <v>288</v>
      </c>
      <c r="AW654" s="3" t="s">
        <v>244</v>
      </c>
      <c r="AX654" s="3" t="s">
        <v>244</v>
      </c>
      <c r="AY654" s="3" t="s">
        <v>247</v>
      </c>
    </row>
    <row r="655" spans="1:51" ht="15.75" customHeight="1">
      <c r="A655" s="3">
        <v>524</v>
      </c>
      <c r="B655" s="5" t="str">
        <f t="shared" si="0"/>
        <v>http://roarmap.eprints.org/524/</v>
      </c>
      <c r="C655" s="3">
        <v>3</v>
      </c>
      <c r="D655" s="3" t="s">
        <v>98</v>
      </c>
      <c r="E655" s="3">
        <v>1</v>
      </c>
      <c r="F655" s="3" t="s">
        <v>2378</v>
      </c>
      <c r="G655" s="3">
        <v>41988.924085648148</v>
      </c>
      <c r="H655" s="3">
        <v>41988.924085648148</v>
      </c>
      <c r="I655" s="3">
        <v>41988.924085648148</v>
      </c>
      <c r="J655" s="3" t="s">
        <v>103</v>
      </c>
      <c r="K655" s="3" t="s">
        <v>105</v>
      </c>
      <c r="L655" s="3" t="s">
        <v>2379</v>
      </c>
      <c r="M655" s="3" t="s">
        <v>352</v>
      </c>
      <c r="N655" s="3" t="s">
        <v>398</v>
      </c>
      <c r="O655" s="3" t="s">
        <v>2380</v>
      </c>
      <c r="P655" s="3" t="s">
        <v>215</v>
      </c>
      <c r="Q655" t="str">
        <f t="shared" si="43"/>
        <v>http://roarmap.eprints.org/view/country/840.html</v>
      </c>
      <c r="R655" s="3">
        <v>840</v>
      </c>
      <c r="S655" s="6" t="s">
        <v>359</v>
      </c>
      <c r="T655" s="9">
        <v>840</v>
      </c>
      <c r="U655" s="7" t="s">
        <v>2518</v>
      </c>
      <c r="V655" s="6" t="s">
        <v>66</v>
      </c>
      <c r="W655" s="3" t="s">
        <v>158</v>
      </c>
      <c r="X655" s="3" t="s">
        <v>364</v>
      </c>
      <c r="Y655" s="3" t="s">
        <v>2379</v>
      </c>
      <c r="Z655" s="8" t="str">
        <f>HYPERLINK("http://www.usgs.gov/","http://www.usgs.gov/")</f>
        <v>http://www.usgs.gov/</v>
      </c>
      <c r="AG655" s="3" t="s">
        <v>244</v>
      </c>
      <c r="AH655" s="3" t="s">
        <v>244</v>
      </c>
      <c r="AI655" s="3" t="s">
        <v>244</v>
      </c>
      <c r="AJ655" s="3" t="s">
        <v>244</v>
      </c>
      <c r="AK655" s="3" t="s">
        <v>244</v>
      </c>
      <c r="AL655" s="3" t="s">
        <v>244</v>
      </c>
      <c r="AM655" s="3" t="s">
        <v>247</v>
      </c>
      <c r="AN655" s="3" t="s">
        <v>244</v>
      </c>
      <c r="AO655" s="3" t="s">
        <v>247</v>
      </c>
      <c r="AP655" s="3" t="s">
        <v>244</v>
      </c>
      <c r="AQ655" s="3" t="s">
        <v>247</v>
      </c>
      <c r="AR655" s="3" t="s">
        <v>288</v>
      </c>
      <c r="AS655" s="3" t="s">
        <v>244</v>
      </c>
      <c r="AT655" s="3" t="s">
        <v>244</v>
      </c>
      <c r="AU655" s="3" t="s">
        <v>244</v>
      </c>
      <c r="AV655" s="3" t="s">
        <v>288</v>
      </c>
      <c r="AW655" s="3" t="s">
        <v>244</v>
      </c>
      <c r="AX655" s="3" t="s">
        <v>244</v>
      </c>
      <c r="AY655" s="3" t="s">
        <v>247</v>
      </c>
    </row>
    <row r="656" spans="1:51" ht="15.75" customHeight="1">
      <c r="A656" s="3">
        <v>525</v>
      </c>
      <c r="B656" s="5" t="str">
        <f t="shared" si="0"/>
        <v>http://roarmap.eprints.org/525/</v>
      </c>
      <c r="C656" s="3">
        <v>3</v>
      </c>
      <c r="D656" s="3" t="s">
        <v>98</v>
      </c>
      <c r="E656" s="3">
        <v>1</v>
      </c>
      <c r="F656" s="3" t="s">
        <v>2381</v>
      </c>
      <c r="G656" s="3">
        <v>41988.924085648148</v>
      </c>
      <c r="H656" s="3">
        <v>41988.924085648148</v>
      </c>
      <c r="I656" s="3">
        <v>41988.924085648148</v>
      </c>
      <c r="J656" s="3" t="s">
        <v>103</v>
      </c>
      <c r="K656" s="3" t="s">
        <v>105</v>
      </c>
      <c r="L656" s="3" t="s">
        <v>2382</v>
      </c>
      <c r="M656" s="3" t="s">
        <v>307</v>
      </c>
      <c r="N656" s="3" t="s">
        <v>2307</v>
      </c>
      <c r="O656" s="3" t="s">
        <v>2383</v>
      </c>
      <c r="P656" s="3" t="s">
        <v>215</v>
      </c>
      <c r="Q656" t="str">
        <f t="shared" si="43"/>
        <v>http://roarmap.eprints.org/view/country/840.html</v>
      </c>
      <c r="R656" s="3">
        <v>840</v>
      </c>
      <c r="S656" s="6" t="s">
        <v>359</v>
      </c>
      <c r="T656" s="9">
        <v>840</v>
      </c>
      <c r="U656" s="7" t="s">
        <v>2518</v>
      </c>
      <c r="V656" s="6" t="s">
        <v>66</v>
      </c>
      <c r="W656" s="3" t="s">
        <v>158</v>
      </c>
      <c r="X656" s="3" t="s">
        <v>364</v>
      </c>
      <c r="Y656" s="3" t="s">
        <v>2382</v>
      </c>
      <c r="Z656" s="8" t="str">
        <f>HYPERLINK("http://www.nasa.gov/","http://www.nasa.gov/")</f>
        <v>http://www.nasa.gov/</v>
      </c>
      <c r="AC656" s="3">
        <v>41508</v>
      </c>
      <c r="AF656" s="3" t="s">
        <v>177</v>
      </c>
      <c r="AG656" s="3" t="s">
        <v>244</v>
      </c>
      <c r="AH656" s="3" t="s">
        <v>244</v>
      </c>
      <c r="AI656" s="3" t="s">
        <v>244</v>
      </c>
      <c r="AJ656" s="3" t="s">
        <v>244</v>
      </c>
      <c r="AK656" s="3" t="s">
        <v>244</v>
      </c>
      <c r="AL656" s="3" t="s">
        <v>244</v>
      </c>
      <c r="AM656" s="3" t="s">
        <v>247</v>
      </c>
      <c r="AN656" s="3" t="s">
        <v>244</v>
      </c>
      <c r="AO656" s="3" t="s">
        <v>247</v>
      </c>
      <c r="AP656" s="3" t="s">
        <v>244</v>
      </c>
      <c r="AQ656" s="3" t="s">
        <v>247</v>
      </c>
      <c r="AR656" s="3" t="s">
        <v>288</v>
      </c>
      <c r="AS656" s="3" t="s">
        <v>244</v>
      </c>
      <c r="AT656" s="3" t="s">
        <v>244</v>
      </c>
      <c r="AU656" s="3" t="s">
        <v>244</v>
      </c>
      <c r="AV656" s="3" t="s">
        <v>288</v>
      </c>
      <c r="AW656" s="3" t="s">
        <v>244</v>
      </c>
      <c r="AX656" s="3" t="s">
        <v>244</v>
      </c>
      <c r="AY656" s="3" t="s">
        <v>247</v>
      </c>
    </row>
    <row r="657" spans="1:52" ht="15.75" customHeight="1">
      <c r="A657" s="3">
        <v>526</v>
      </c>
      <c r="B657" s="5" t="str">
        <f t="shared" si="0"/>
        <v>http://roarmap.eprints.org/526/</v>
      </c>
      <c r="C657" s="3">
        <v>3</v>
      </c>
      <c r="D657" s="3" t="s">
        <v>98</v>
      </c>
      <c r="E657" s="3">
        <v>1</v>
      </c>
      <c r="F657" s="3" t="s">
        <v>2384</v>
      </c>
      <c r="G657" s="3">
        <v>41988.924085648148</v>
      </c>
      <c r="H657" s="3">
        <v>41988.924097222225</v>
      </c>
      <c r="I657" s="3">
        <v>41988.924085648148</v>
      </c>
      <c r="J657" s="3" t="s">
        <v>103</v>
      </c>
      <c r="K657" s="3" t="s">
        <v>105</v>
      </c>
      <c r="L657" s="3" t="s">
        <v>2385</v>
      </c>
      <c r="M657" s="3" t="s">
        <v>307</v>
      </c>
      <c r="N657" s="3" t="s">
        <v>2307</v>
      </c>
      <c r="O657" s="3" t="s">
        <v>2386</v>
      </c>
      <c r="P657" s="3" t="s">
        <v>215</v>
      </c>
      <c r="Q657" t="str">
        <f t="shared" si="43"/>
        <v>http://roarmap.eprints.org/view/country/840.html</v>
      </c>
      <c r="R657" s="3">
        <v>840</v>
      </c>
      <c r="S657" s="6" t="s">
        <v>359</v>
      </c>
      <c r="T657" s="9">
        <v>840</v>
      </c>
      <c r="U657" s="7" t="s">
        <v>2518</v>
      </c>
      <c r="V657" s="6" t="s">
        <v>66</v>
      </c>
      <c r="W657" s="3" t="s">
        <v>158</v>
      </c>
      <c r="X657" s="3" t="s">
        <v>364</v>
      </c>
      <c r="Y657" s="3" t="s">
        <v>2385</v>
      </c>
      <c r="Z657" s="8" t="str">
        <f>HYPERLINK("http://www.nist.gov/","http://www.nist.gov/")</f>
        <v>http://www.nist.gov/</v>
      </c>
      <c r="AC657" s="3">
        <v>41508</v>
      </c>
      <c r="AF657" s="3" t="s">
        <v>177</v>
      </c>
      <c r="AG657" s="3" t="s">
        <v>244</v>
      </c>
      <c r="AH657" s="3" t="s">
        <v>244</v>
      </c>
      <c r="AI657" s="3" t="s">
        <v>244</v>
      </c>
      <c r="AJ657" s="3" t="s">
        <v>244</v>
      </c>
      <c r="AK657" s="3" t="s">
        <v>244</v>
      </c>
      <c r="AL657" s="3" t="s">
        <v>244</v>
      </c>
      <c r="AM657" s="3" t="s">
        <v>247</v>
      </c>
      <c r="AN657" s="3" t="s">
        <v>244</v>
      </c>
      <c r="AO657" s="3" t="s">
        <v>247</v>
      </c>
      <c r="AP657" s="3" t="s">
        <v>244</v>
      </c>
      <c r="AQ657" s="3" t="s">
        <v>247</v>
      </c>
      <c r="AR657" s="3" t="s">
        <v>288</v>
      </c>
      <c r="AS657" s="3" t="s">
        <v>244</v>
      </c>
      <c r="AT657" s="3" t="s">
        <v>244</v>
      </c>
      <c r="AU657" s="3" t="s">
        <v>244</v>
      </c>
      <c r="AV657" s="3" t="s">
        <v>288</v>
      </c>
      <c r="AW657" s="3" t="s">
        <v>244</v>
      </c>
      <c r="AX657" s="3" t="s">
        <v>244</v>
      </c>
      <c r="AY657" s="3" t="s">
        <v>247</v>
      </c>
    </row>
    <row r="658" spans="1:52" ht="15.75" customHeight="1">
      <c r="A658" s="3">
        <v>527</v>
      </c>
      <c r="B658" s="5" t="str">
        <f t="shared" si="0"/>
        <v>http://roarmap.eprints.org/527/</v>
      </c>
      <c r="C658" s="3">
        <v>3</v>
      </c>
      <c r="D658" s="3" t="s">
        <v>98</v>
      </c>
      <c r="E658" s="3">
        <v>1</v>
      </c>
      <c r="F658" s="3" t="s">
        <v>2387</v>
      </c>
      <c r="G658" s="3">
        <v>41988.924097222225</v>
      </c>
      <c r="H658" s="3">
        <v>41988.924097222225</v>
      </c>
      <c r="I658" s="3">
        <v>41988.924097222225</v>
      </c>
      <c r="J658" s="3" t="s">
        <v>103</v>
      </c>
      <c r="K658" s="3" t="s">
        <v>105</v>
      </c>
      <c r="L658" s="3" t="s">
        <v>2388</v>
      </c>
      <c r="M658" s="3" t="s">
        <v>307</v>
      </c>
      <c r="N658" s="3" t="s">
        <v>2307</v>
      </c>
      <c r="O658" s="3" t="s">
        <v>2389</v>
      </c>
      <c r="P658" s="3" t="s">
        <v>215</v>
      </c>
      <c r="Q658" t="str">
        <f t="shared" si="43"/>
        <v>http://roarmap.eprints.org/view/country/840.html</v>
      </c>
      <c r="R658" s="3">
        <v>840</v>
      </c>
      <c r="S658" s="6" t="s">
        <v>359</v>
      </c>
      <c r="T658" s="9">
        <v>840</v>
      </c>
      <c r="U658" s="7" t="s">
        <v>2518</v>
      </c>
      <c r="V658" s="6" t="s">
        <v>66</v>
      </c>
      <c r="W658" s="3" t="s">
        <v>158</v>
      </c>
      <c r="X658" s="3" t="s">
        <v>364</v>
      </c>
      <c r="Y658" s="3" t="s">
        <v>2388</v>
      </c>
      <c r="Z658" s="8" t="str">
        <f>HYPERLINK("http://www.noaa.gov/index.html","http://www.noaa.gov/index.html")</f>
        <v>http://www.noaa.gov/index.html</v>
      </c>
      <c r="AC658" s="3">
        <v>41508</v>
      </c>
      <c r="AF658" s="3" t="s">
        <v>177</v>
      </c>
      <c r="AG658" s="3" t="s">
        <v>244</v>
      </c>
      <c r="AH658" s="3" t="s">
        <v>244</v>
      </c>
      <c r="AI658" s="3" t="s">
        <v>244</v>
      </c>
      <c r="AJ658" s="3" t="s">
        <v>244</v>
      </c>
      <c r="AK658" s="3" t="s">
        <v>244</v>
      </c>
      <c r="AL658" s="3" t="s">
        <v>244</v>
      </c>
      <c r="AM658" s="3" t="s">
        <v>247</v>
      </c>
      <c r="AN658" s="3" t="s">
        <v>244</v>
      </c>
      <c r="AO658" s="3" t="s">
        <v>247</v>
      </c>
      <c r="AP658" s="3" t="s">
        <v>244</v>
      </c>
      <c r="AQ658" s="3" t="s">
        <v>247</v>
      </c>
      <c r="AR658" s="3" t="s">
        <v>288</v>
      </c>
      <c r="AS658" s="3" t="s">
        <v>244</v>
      </c>
      <c r="AT658" s="3" t="s">
        <v>244</v>
      </c>
      <c r="AU658" s="3" t="s">
        <v>244</v>
      </c>
      <c r="AV658" s="3" t="s">
        <v>288</v>
      </c>
      <c r="AW658" s="3" t="s">
        <v>244</v>
      </c>
      <c r="AX658" s="3" t="s">
        <v>244</v>
      </c>
      <c r="AY658" s="3" t="s">
        <v>247</v>
      </c>
    </row>
    <row r="659" spans="1:52" ht="15.75" customHeight="1">
      <c r="A659" s="3">
        <v>528</v>
      </c>
      <c r="B659" s="5" t="str">
        <f t="shared" si="0"/>
        <v>http://roarmap.eprints.org/528/</v>
      </c>
      <c r="C659" s="3">
        <v>5</v>
      </c>
      <c r="D659" s="3" t="s">
        <v>98</v>
      </c>
      <c r="E659" s="3">
        <v>1</v>
      </c>
      <c r="F659" s="3" t="s">
        <v>2390</v>
      </c>
      <c r="G659" s="3">
        <v>41988.924097222225</v>
      </c>
      <c r="H659" s="3">
        <v>42093.582835648151</v>
      </c>
      <c r="I659" s="3">
        <v>41988.924097222225</v>
      </c>
      <c r="J659" s="3" t="s">
        <v>103</v>
      </c>
      <c r="K659" s="3" t="s">
        <v>105</v>
      </c>
      <c r="L659" s="3" t="s">
        <v>2391</v>
      </c>
      <c r="M659" s="3" t="s">
        <v>307</v>
      </c>
      <c r="P659" s="3" t="s">
        <v>215</v>
      </c>
      <c r="Q659" t="str">
        <f t="shared" si="43"/>
        <v>http://roarmap.eprints.org/view/country/840.html</v>
      </c>
      <c r="R659" s="3">
        <v>840</v>
      </c>
      <c r="S659" s="6" t="s">
        <v>359</v>
      </c>
      <c r="T659" s="9">
        <v>840</v>
      </c>
      <c r="U659" s="7" t="s">
        <v>2518</v>
      </c>
      <c r="V659" s="6" t="s">
        <v>66</v>
      </c>
      <c r="W659" s="3" t="s">
        <v>158</v>
      </c>
      <c r="X659" s="3" t="s">
        <v>364</v>
      </c>
      <c r="Y659" s="3" t="s">
        <v>2391</v>
      </c>
      <c r="Z659" s="8" t="str">
        <f>HYPERLINK("http://www.nsf.gov/","http://www.nsf.gov/")</f>
        <v>http://www.nsf.gov/</v>
      </c>
      <c r="AA659" s="8" t="str">
        <f>HYPERLINK("http://www.nsf.gov/news/special_reports/public_access/","http://www.nsf.gov/news/special_reports/public_access/")</f>
        <v>http://www.nsf.gov/news/special_reports/public_access/</v>
      </c>
      <c r="AC659" s="3">
        <v>41508</v>
      </c>
      <c r="AE659" s="3">
        <v>42081</v>
      </c>
      <c r="AF659" s="3" t="s">
        <v>177</v>
      </c>
      <c r="AG659" s="3" t="s">
        <v>178</v>
      </c>
      <c r="AH659" s="3" t="s">
        <v>463</v>
      </c>
      <c r="AI659" s="3" t="s">
        <v>377</v>
      </c>
      <c r="AJ659" s="3" t="s">
        <v>182</v>
      </c>
      <c r="AK659" s="3" t="s">
        <v>393</v>
      </c>
      <c r="AL659" s="3" t="s">
        <v>244</v>
      </c>
      <c r="AM659" s="3" t="s">
        <v>247</v>
      </c>
      <c r="AN659" s="3" t="s">
        <v>244</v>
      </c>
      <c r="AO659" s="3" t="s">
        <v>378</v>
      </c>
      <c r="AP659" s="3" t="s">
        <v>244</v>
      </c>
      <c r="AQ659" s="3" t="s">
        <v>247</v>
      </c>
      <c r="AR659" s="3" t="s">
        <v>288</v>
      </c>
      <c r="AS659" s="3" t="s">
        <v>244</v>
      </c>
      <c r="AT659" s="3" t="s">
        <v>395</v>
      </c>
      <c r="AU659" s="3" t="s">
        <v>395</v>
      </c>
      <c r="AV659" s="3" t="s">
        <v>244</v>
      </c>
      <c r="AW659" s="3" t="s">
        <v>244</v>
      </c>
      <c r="AX659" s="3" t="s">
        <v>244</v>
      </c>
      <c r="AY659" s="3" t="s">
        <v>247</v>
      </c>
    </row>
    <row r="660" spans="1:52" ht="15.75" customHeight="1">
      <c r="A660" s="3">
        <v>529</v>
      </c>
      <c r="B660" s="5" t="str">
        <f t="shared" si="0"/>
        <v>http://roarmap.eprints.org/529/</v>
      </c>
      <c r="C660" s="3">
        <v>3</v>
      </c>
      <c r="D660" s="3" t="s">
        <v>98</v>
      </c>
      <c r="E660" s="3">
        <v>1</v>
      </c>
      <c r="F660" s="3" t="s">
        <v>2392</v>
      </c>
      <c r="G660" s="3">
        <v>41988.924097222225</v>
      </c>
      <c r="H660" s="3">
        <v>41988.924097222225</v>
      </c>
      <c r="I660" s="3">
        <v>41988.924097222225</v>
      </c>
      <c r="J660" s="3" t="s">
        <v>103</v>
      </c>
      <c r="K660" s="3" t="s">
        <v>105</v>
      </c>
      <c r="L660" s="3" t="s">
        <v>2393</v>
      </c>
      <c r="M660" s="3" t="s">
        <v>374</v>
      </c>
      <c r="N660" s="3" t="s">
        <v>2394</v>
      </c>
      <c r="P660" s="3" t="s">
        <v>215</v>
      </c>
      <c r="Q660" t="str">
        <f t="shared" si="43"/>
        <v>http://roarmap.eprints.org/view/country/840.html</v>
      </c>
      <c r="R660" s="3">
        <v>840</v>
      </c>
      <c r="S660" s="6" t="s">
        <v>359</v>
      </c>
      <c r="T660" s="9">
        <v>840</v>
      </c>
      <c r="U660" s="7" t="s">
        <v>2518</v>
      </c>
      <c r="V660" s="6" t="s">
        <v>66</v>
      </c>
      <c r="W660" s="3" t="s">
        <v>158</v>
      </c>
      <c r="X660" s="3" t="s">
        <v>364</v>
      </c>
      <c r="Y660" s="3" t="s">
        <v>2393</v>
      </c>
      <c r="Z660" s="8" t="str">
        <f>HYPERLINK("http://www.whitehouse.gov/administration/eop/ostp","http://www.whitehouse.gov/administration/eop/ostp")</f>
        <v>http://www.whitehouse.gov/administration/eop/ostp</v>
      </c>
      <c r="AA660" s="8" t="str">
        <f>HYPERLINK("http://www.whitehouse.gov/sites/default/files/microsites/ostp/ostp_public_access_memo_2013.pdf","http://www.whitehouse.gov/sites/default/files/microsites/ostp/ostp_public_access_memo_2013.pdf")</f>
        <v>http://www.whitehouse.gov/sites/default/files/microsites/ostp/ostp_public_access_memo_2013.pdf</v>
      </c>
      <c r="AB660" s="3" t="s">
        <v>2335</v>
      </c>
      <c r="AC660" s="3">
        <v>41327</v>
      </c>
      <c r="AF660" s="3" t="s">
        <v>177</v>
      </c>
      <c r="AG660" s="3" t="s">
        <v>178</v>
      </c>
      <c r="AH660" s="3" t="s">
        <v>370</v>
      </c>
      <c r="AI660" s="3" t="s">
        <v>371</v>
      </c>
      <c r="AJ660" s="3" t="s">
        <v>371</v>
      </c>
      <c r="AK660" s="3" t="s">
        <v>371</v>
      </c>
      <c r="AL660" s="3" t="s">
        <v>244</v>
      </c>
      <c r="AM660" s="3" t="s">
        <v>247</v>
      </c>
      <c r="AN660" s="3" t="s">
        <v>244</v>
      </c>
      <c r="AO660" s="3" t="s">
        <v>378</v>
      </c>
      <c r="AP660" s="3" t="s">
        <v>244</v>
      </c>
      <c r="AQ660" s="3" t="s">
        <v>247</v>
      </c>
      <c r="AR660" s="3" t="s">
        <v>288</v>
      </c>
      <c r="AS660" s="3" t="s">
        <v>288</v>
      </c>
      <c r="AT660" s="3" t="s">
        <v>395</v>
      </c>
      <c r="AU660" s="3" t="s">
        <v>395</v>
      </c>
      <c r="AV660" s="3" t="s">
        <v>288</v>
      </c>
      <c r="AW660" s="3" t="s">
        <v>339</v>
      </c>
      <c r="AX660" s="3" t="s">
        <v>244</v>
      </c>
      <c r="AY660" s="3" t="s">
        <v>247</v>
      </c>
    </row>
    <row r="661" spans="1:52" ht="15.75" customHeight="1">
      <c r="A661" s="3">
        <v>530</v>
      </c>
      <c r="B661" s="5" t="str">
        <f t="shared" si="0"/>
        <v>http://roarmap.eprints.org/530/</v>
      </c>
      <c r="C661" s="3">
        <v>3</v>
      </c>
      <c r="D661" s="3" t="s">
        <v>98</v>
      </c>
      <c r="E661" s="3">
        <v>1</v>
      </c>
      <c r="F661" s="3" t="s">
        <v>2395</v>
      </c>
      <c r="G661" s="3">
        <v>41988.924097222225</v>
      </c>
      <c r="H661" s="3">
        <v>41988.924097222225</v>
      </c>
      <c r="I661" s="3">
        <v>41988.924097222225</v>
      </c>
      <c r="J661" s="3" t="s">
        <v>103</v>
      </c>
      <c r="K661" s="3" t="s">
        <v>105</v>
      </c>
      <c r="L661" s="3" t="s">
        <v>2396</v>
      </c>
      <c r="M661" s="3" t="s">
        <v>307</v>
      </c>
      <c r="N661" s="3" t="s">
        <v>2307</v>
      </c>
      <c r="O661" s="3" t="s">
        <v>2397</v>
      </c>
      <c r="P661" s="3" t="s">
        <v>215</v>
      </c>
      <c r="Q661" t="str">
        <f t="shared" si="43"/>
        <v>http://roarmap.eprints.org/view/country/840.html</v>
      </c>
      <c r="R661" s="3">
        <v>840</v>
      </c>
      <c r="S661" s="6" t="s">
        <v>359</v>
      </c>
      <c r="T661" s="9">
        <v>840</v>
      </c>
      <c r="U661" s="7" t="s">
        <v>2518</v>
      </c>
      <c r="V661" s="6" t="s">
        <v>66</v>
      </c>
      <c r="W661" s="3" t="s">
        <v>158</v>
      </c>
      <c r="X661" s="3" t="s">
        <v>364</v>
      </c>
      <c r="Y661" s="3" t="s">
        <v>2396</v>
      </c>
      <c r="Z661" s="8" t="str">
        <f>HYPERLINK("http://www.usaid.gov/","http://www.usaid.gov/")</f>
        <v>http://www.usaid.gov/</v>
      </c>
      <c r="AC661" s="3">
        <v>41508</v>
      </c>
      <c r="AF661" s="3" t="s">
        <v>177</v>
      </c>
      <c r="AG661" s="3" t="s">
        <v>244</v>
      </c>
      <c r="AH661" s="3" t="s">
        <v>244</v>
      </c>
      <c r="AI661" s="3" t="s">
        <v>244</v>
      </c>
      <c r="AJ661" s="3" t="s">
        <v>244</v>
      </c>
      <c r="AK661" s="3" t="s">
        <v>244</v>
      </c>
      <c r="AL661" s="3" t="s">
        <v>244</v>
      </c>
      <c r="AM661" s="3" t="s">
        <v>247</v>
      </c>
      <c r="AN661" s="3" t="s">
        <v>244</v>
      </c>
      <c r="AO661" s="3" t="s">
        <v>247</v>
      </c>
      <c r="AP661" s="3" t="s">
        <v>244</v>
      </c>
      <c r="AQ661" s="3" t="s">
        <v>247</v>
      </c>
      <c r="AR661" s="3" t="s">
        <v>288</v>
      </c>
      <c r="AS661" s="3" t="s">
        <v>244</v>
      </c>
      <c r="AT661" s="3" t="s">
        <v>244</v>
      </c>
      <c r="AU661" s="3" t="s">
        <v>244</v>
      </c>
      <c r="AV661" s="3" t="s">
        <v>288</v>
      </c>
      <c r="AW661" s="3" t="s">
        <v>244</v>
      </c>
      <c r="AX661" s="3" t="s">
        <v>244</v>
      </c>
      <c r="AY661" s="3" t="s">
        <v>247</v>
      </c>
    </row>
    <row r="662" spans="1:52" ht="15.75" customHeight="1">
      <c r="A662" s="3">
        <v>532</v>
      </c>
      <c r="B662" s="5" t="str">
        <f t="shared" si="0"/>
        <v>http://roarmap.eprints.org/532/</v>
      </c>
      <c r="C662" s="3">
        <v>3</v>
      </c>
      <c r="D662" s="3" t="s">
        <v>98</v>
      </c>
      <c r="E662" s="3">
        <v>1</v>
      </c>
      <c r="F662" s="3" t="s">
        <v>2398</v>
      </c>
      <c r="G662" s="3">
        <v>41988.924097222225</v>
      </c>
      <c r="H662" s="3">
        <v>41988.924097222225</v>
      </c>
      <c r="I662" s="3">
        <v>41988.924097222225</v>
      </c>
      <c r="J662" s="3" t="s">
        <v>103</v>
      </c>
      <c r="K662" s="3" t="s">
        <v>105</v>
      </c>
      <c r="L662" s="3" t="s">
        <v>2399</v>
      </c>
      <c r="M662" s="3" t="s">
        <v>374</v>
      </c>
      <c r="N662" s="3" t="s">
        <v>2400</v>
      </c>
      <c r="P662" s="3" t="s">
        <v>215</v>
      </c>
      <c r="Q662" t="str">
        <f t="shared" si="43"/>
        <v>http://roarmap.eprints.org/view/country/840.html</v>
      </c>
      <c r="R662" s="3">
        <v>840</v>
      </c>
      <c r="S662" s="6" t="s">
        <v>359</v>
      </c>
      <c r="T662" s="9">
        <v>840</v>
      </c>
      <c r="U662" s="7" t="s">
        <v>2518</v>
      </c>
      <c r="V662" s="6" t="s">
        <v>66</v>
      </c>
      <c r="W662" s="3" t="s">
        <v>158</v>
      </c>
      <c r="X662" s="3" t="s">
        <v>160</v>
      </c>
      <c r="Y662" s="3" t="s">
        <v>2399</v>
      </c>
      <c r="Z662" s="8" t="str">
        <f>HYPERLINK("http://www.universityofcalifornia.edu/","http://www.universityofcalifornia.edu/")</f>
        <v>http://www.universityofcalifornia.edu/</v>
      </c>
      <c r="AA662" s="8" t="str">
        <f>HYPERLINK("http://osc.universityofcalifornia.edu/open-access-policy/","http://osc.universityofcalifornia.edu/open-access-policy/")</f>
        <v>http://osc.universityofcalifornia.edu/open-access-policy/</v>
      </c>
      <c r="AB662" s="8" t="str">
        <f t="shared" ref="AB662:AB663" si="44">HYPERLINK("http://escholarship.org/","http://escholarship.org/")</f>
        <v>http://escholarship.org/</v>
      </c>
      <c r="AC662" s="3">
        <v>41479</v>
      </c>
      <c r="AF662" s="3" t="s">
        <v>478</v>
      </c>
      <c r="AG662" s="3" t="s">
        <v>178</v>
      </c>
      <c r="AH662" s="3" t="s">
        <v>180</v>
      </c>
      <c r="AI662" s="3" t="s">
        <v>392</v>
      </c>
      <c r="AJ662" s="3" t="s">
        <v>182</v>
      </c>
      <c r="AK662" s="3" t="s">
        <v>393</v>
      </c>
      <c r="AL662" s="3" t="s">
        <v>189</v>
      </c>
      <c r="AM662" s="3" t="s">
        <v>247</v>
      </c>
      <c r="AN662" s="3" t="s">
        <v>244</v>
      </c>
      <c r="AO662" s="3" t="s">
        <v>247</v>
      </c>
      <c r="AP662" s="3" t="s">
        <v>244</v>
      </c>
      <c r="AQ662" s="3" t="s">
        <v>386</v>
      </c>
      <c r="AR662" s="3" t="s">
        <v>288</v>
      </c>
      <c r="AS662" s="3" t="s">
        <v>189</v>
      </c>
      <c r="AT662" s="3" t="s">
        <v>244</v>
      </c>
      <c r="AU662" s="3" t="s">
        <v>244</v>
      </c>
      <c r="AV662" s="3" t="s">
        <v>288</v>
      </c>
      <c r="AW662" s="3" t="s">
        <v>339</v>
      </c>
      <c r="AX662" s="3" t="s">
        <v>244</v>
      </c>
      <c r="AY662" s="3" t="s">
        <v>247</v>
      </c>
    </row>
    <row r="663" spans="1:52" ht="15.75" customHeight="1">
      <c r="A663" s="3">
        <v>533</v>
      </c>
      <c r="B663" s="5" t="str">
        <f t="shared" si="0"/>
        <v>http://roarmap.eprints.org/533/</v>
      </c>
      <c r="C663" s="3">
        <v>3</v>
      </c>
      <c r="D663" s="3" t="s">
        <v>98</v>
      </c>
      <c r="E663" s="3">
        <v>1</v>
      </c>
      <c r="F663" s="3" t="s">
        <v>2401</v>
      </c>
      <c r="G663" s="3">
        <v>41988.924097222225</v>
      </c>
      <c r="H663" s="3">
        <v>41988.924108796295</v>
      </c>
      <c r="I663" s="3">
        <v>41988.924097222225</v>
      </c>
      <c r="J663" s="3" t="s">
        <v>103</v>
      </c>
      <c r="K663" s="3" t="s">
        <v>105</v>
      </c>
      <c r="L663" s="3" t="s">
        <v>2402</v>
      </c>
      <c r="M663" s="3" t="s">
        <v>374</v>
      </c>
      <c r="N663" s="3" t="s">
        <v>2403</v>
      </c>
      <c r="P663" s="3" t="s">
        <v>215</v>
      </c>
      <c r="Q663" t="str">
        <f t="shared" si="43"/>
        <v>http://roarmap.eprints.org/view/country/840.html</v>
      </c>
      <c r="R663" s="3">
        <v>840</v>
      </c>
      <c r="S663" s="6" t="s">
        <v>359</v>
      </c>
      <c r="T663" s="9">
        <v>840</v>
      </c>
      <c r="U663" s="7" t="s">
        <v>2518</v>
      </c>
      <c r="V663" s="6" t="s">
        <v>66</v>
      </c>
      <c r="W663" s="3" t="s">
        <v>158</v>
      </c>
      <c r="X663" s="3" t="s">
        <v>160</v>
      </c>
      <c r="Y663" s="3" t="s">
        <v>2402</v>
      </c>
      <c r="Z663" s="8" t="str">
        <f>HYPERLINK("http://www.ucsf.edu/","http://www.ucsf.edu/")</f>
        <v>http://www.ucsf.edu/</v>
      </c>
      <c r="AA663" s="8" t="str">
        <f>HYPERLINK("http://www.library.ucsf.edu/sites/all/files/ucsf_assets/ucsf_oa_policy.pdf","http://www.library.ucsf.edu/sites/all/files/ucsf_assets/ucsf_oa_policy.pdf")</f>
        <v>http://www.library.ucsf.edu/sites/all/files/ucsf_assets/ucsf_oa_policy.pdf</v>
      </c>
      <c r="AB663" s="8" t="str">
        <f t="shared" si="44"/>
        <v>http://escholarship.org/</v>
      </c>
      <c r="AC663" s="3">
        <v>41050</v>
      </c>
      <c r="AD663" s="3">
        <v>41579</v>
      </c>
      <c r="AF663" s="3" t="s">
        <v>478</v>
      </c>
      <c r="AG663" s="3" t="s">
        <v>178</v>
      </c>
      <c r="AH663" s="3" t="s">
        <v>180</v>
      </c>
      <c r="AI663" s="3" t="s">
        <v>392</v>
      </c>
      <c r="AJ663" s="3" t="s">
        <v>182</v>
      </c>
      <c r="AK663" s="3" t="s">
        <v>393</v>
      </c>
      <c r="AL663" s="3" t="s">
        <v>189</v>
      </c>
      <c r="AM663" s="3" t="s">
        <v>247</v>
      </c>
      <c r="AN663" s="3" t="s">
        <v>244</v>
      </c>
      <c r="AO663" s="3" t="s">
        <v>247</v>
      </c>
      <c r="AP663" s="3" t="s">
        <v>244</v>
      </c>
      <c r="AQ663" s="3" t="s">
        <v>386</v>
      </c>
      <c r="AR663" s="3" t="s">
        <v>288</v>
      </c>
      <c r="AS663" s="3" t="s">
        <v>189</v>
      </c>
      <c r="AT663" s="3" t="s">
        <v>244</v>
      </c>
      <c r="AU663" s="3" t="s">
        <v>244</v>
      </c>
      <c r="AV663" s="3" t="s">
        <v>288</v>
      </c>
      <c r="AW663" s="3" t="s">
        <v>339</v>
      </c>
      <c r="AX663" s="3" t="s">
        <v>244</v>
      </c>
      <c r="AY663" s="3" t="s">
        <v>247</v>
      </c>
    </row>
    <row r="664" spans="1:52" ht="15.75" customHeight="1">
      <c r="A664" s="3">
        <v>534</v>
      </c>
      <c r="B664" s="5" t="str">
        <f t="shared" si="0"/>
        <v>http://roarmap.eprints.org/534/</v>
      </c>
      <c r="C664" s="3">
        <v>3</v>
      </c>
      <c r="D664" s="3" t="s">
        <v>98</v>
      </c>
      <c r="E664" s="3">
        <v>1</v>
      </c>
      <c r="F664" s="3" t="s">
        <v>2404</v>
      </c>
      <c r="G664" s="3">
        <v>41988.924108796295</v>
      </c>
      <c r="H664" s="3">
        <v>41988.924108796295</v>
      </c>
      <c r="I664" s="3">
        <v>41988.924108796295</v>
      </c>
      <c r="J664" s="3" t="s">
        <v>103</v>
      </c>
      <c r="K664" s="3" t="s">
        <v>105</v>
      </c>
      <c r="L664" s="3" t="s">
        <v>2405</v>
      </c>
      <c r="M664" s="3" t="s">
        <v>352</v>
      </c>
      <c r="N664" s="3" t="s">
        <v>2406</v>
      </c>
      <c r="P664" s="3" t="s">
        <v>215</v>
      </c>
      <c r="Q664" t="str">
        <f t="shared" si="43"/>
        <v>http://roarmap.eprints.org/view/country/840.html</v>
      </c>
      <c r="R664" s="3">
        <v>840</v>
      </c>
      <c r="S664" s="6" t="s">
        <v>359</v>
      </c>
      <c r="T664" s="9">
        <v>840</v>
      </c>
      <c r="U664" s="7" t="s">
        <v>2518</v>
      </c>
      <c r="V664" s="6" t="s">
        <v>66</v>
      </c>
      <c r="W664" s="3" t="s">
        <v>158</v>
      </c>
      <c r="X664" s="3" t="s">
        <v>160</v>
      </c>
      <c r="Y664" s="3" t="s">
        <v>2405</v>
      </c>
      <c r="Z664" s="8" t="str">
        <f>HYPERLINK("http://www.ucf.edu/","http://www.ucf.edu/")</f>
        <v>http://www.ucf.edu/</v>
      </c>
      <c r="AA664" s="3" t="s">
        <v>2407</v>
      </c>
      <c r="AF664" s="3" t="s">
        <v>244</v>
      </c>
      <c r="AG664" s="3" t="s">
        <v>178</v>
      </c>
      <c r="AH664" s="3" t="s">
        <v>244</v>
      </c>
      <c r="AI664" s="3" t="s">
        <v>244</v>
      </c>
      <c r="AJ664" s="3" t="s">
        <v>385</v>
      </c>
      <c r="AK664" s="3" t="s">
        <v>183</v>
      </c>
      <c r="AL664" s="3" t="s">
        <v>244</v>
      </c>
      <c r="AM664" s="3" t="s">
        <v>247</v>
      </c>
      <c r="AN664" s="3" t="s">
        <v>244</v>
      </c>
      <c r="AO664" s="3" t="s">
        <v>247</v>
      </c>
      <c r="AP664" s="3" t="s">
        <v>244</v>
      </c>
      <c r="AQ664" s="3" t="s">
        <v>247</v>
      </c>
      <c r="AR664" s="3" t="s">
        <v>288</v>
      </c>
      <c r="AS664" s="3" t="s">
        <v>288</v>
      </c>
      <c r="AT664" s="3" t="s">
        <v>193</v>
      </c>
      <c r="AU664" s="3" t="s">
        <v>193</v>
      </c>
      <c r="AV664" s="3" t="s">
        <v>244</v>
      </c>
      <c r="AW664" s="3" t="s">
        <v>339</v>
      </c>
      <c r="AX664" s="3" t="s">
        <v>244</v>
      </c>
      <c r="AY664" s="3" t="s">
        <v>247</v>
      </c>
    </row>
    <row r="665" spans="1:52" ht="15.75" customHeight="1">
      <c r="A665" s="3">
        <v>539</v>
      </c>
      <c r="B665" s="5" t="str">
        <f t="shared" si="0"/>
        <v>http://roarmap.eprints.org/539/</v>
      </c>
      <c r="C665" s="3">
        <v>3</v>
      </c>
      <c r="D665" s="3" t="s">
        <v>98</v>
      </c>
      <c r="E665" s="3">
        <v>1</v>
      </c>
      <c r="F665" s="3" t="s">
        <v>2408</v>
      </c>
      <c r="G665" s="3">
        <v>41988.924108796295</v>
      </c>
      <c r="H665" s="3">
        <v>41988.924108796295</v>
      </c>
      <c r="I665" s="3">
        <v>41988.924108796295</v>
      </c>
      <c r="J665" s="3" t="s">
        <v>103</v>
      </c>
      <c r="K665" s="3" t="s">
        <v>105</v>
      </c>
      <c r="L665" s="3" t="s">
        <v>2409</v>
      </c>
      <c r="M665" s="3" t="s">
        <v>469</v>
      </c>
      <c r="N665" s="3" t="s">
        <v>2410</v>
      </c>
      <c r="P665" s="3" t="s">
        <v>215</v>
      </c>
      <c r="Q665" t="str">
        <f t="shared" si="43"/>
        <v>http://roarmap.eprints.org/view/country/840.html</v>
      </c>
      <c r="R665" s="3">
        <v>840</v>
      </c>
      <c r="S665" s="6" t="s">
        <v>359</v>
      </c>
      <c r="T665" s="9">
        <v>840</v>
      </c>
      <c r="U665" s="7" t="s">
        <v>2518</v>
      </c>
      <c r="V665" s="6" t="s">
        <v>66</v>
      </c>
      <c r="W665" s="3" t="s">
        <v>158</v>
      </c>
      <c r="X665" s="3" t="s">
        <v>160</v>
      </c>
      <c r="Y665" s="3" t="s">
        <v>2409</v>
      </c>
      <c r="Z665" s="8" t="str">
        <f>HYPERLINK("http://www.uillinois.edu/campuses/UrbanaChampaign/","http://www.uillinois.edu/campuses/UrbanaChampaign/")</f>
        <v>http://www.uillinois.edu/campuses/UrbanaChampaign/</v>
      </c>
      <c r="AG665" s="3" t="s">
        <v>244</v>
      </c>
      <c r="AH665" s="3" t="s">
        <v>244</v>
      </c>
      <c r="AI665" s="3" t="s">
        <v>244</v>
      </c>
      <c r="AJ665" s="3" t="s">
        <v>244</v>
      </c>
      <c r="AK665" s="3" t="s">
        <v>244</v>
      </c>
      <c r="AL665" s="3" t="s">
        <v>244</v>
      </c>
      <c r="AM665" s="3" t="s">
        <v>247</v>
      </c>
      <c r="AN665" s="3" t="s">
        <v>244</v>
      </c>
      <c r="AO665" s="3" t="s">
        <v>247</v>
      </c>
      <c r="AP665" s="3" t="s">
        <v>244</v>
      </c>
      <c r="AQ665" s="3" t="s">
        <v>247</v>
      </c>
      <c r="AR665" s="3" t="s">
        <v>288</v>
      </c>
      <c r="AS665" s="3" t="s">
        <v>244</v>
      </c>
      <c r="AT665" s="3" t="s">
        <v>244</v>
      </c>
      <c r="AU665" s="3" t="s">
        <v>244</v>
      </c>
      <c r="AV665" s="3" t="s">
        <v>288</v>
      </c>
      <c r="AW665" s="3" t="s">
        <v>244</v>
      </c>
      <c r="AX665" s="3" t="s">
        <v>244</v>
      </c>
      <c r="AY665" s="3" t="s">
        <v>247</v>
      </c>
    </row>
    <row r="666" spans="1:52" ht="15.75" customHeight="1">
      <c r="A666" s="3">
        <v>535</v>
      </c>
      <c r="B666" s="5" t="str">
        <f t="shared" si="0"/>
        <v>http://roarmap.eprints.org/535/</v>
      </c>
      <c r="C666" s="3">
        <v>4</v>
      </c>
      <c r="D666" s="3" t="s">
        <v>98</v>
      </c>
      <c r="E666" s="3">
        <v>332</v>
      </c>
      <c r="F666" s="3" t="s">
        <v>2411</v>
      </c>
      <c r="G666" s="3">
        <v>41988.924108796295</v>
      </c>
      <c r="H666" s="3">
        <v>42046.981736111113</v>
      </c>
      <c r="I666" s="3">
        <v>41988.924108796295</v>
      </c>
      <c r="J666" s="3" t="s">
        <v>103</v>
      </c>
      <c r="K666" s="3" t="s">
        <v>105</v>
      </c>
      <c r="L666" s="3" t="s">
        <v>2412</v>
      </c>
      <c r="M666" s="3" t="s">
        <v>532</v>
      </c>
      <c r="N666" s="3" t="s">
        <v>2413</v>
      </c>
      <c r="O666" s="3" t="s">
        <v>2414</v>
      </c>
      <c r="P666" s="3" t="s">
        <v>215</v>
      </c>
      <c r="Q666" t="str">
        <f t="shared" si="43"/>
        <v>http://roarmap.eprints.org/view/country/840.html</v>
      </c>
      <c r="R666" s="3">
        <v>840</v>
      </c>
      <c r="S666" s="6" t="s">
        <v>359</v>
      </c>
      <c r="T666" s="9">
        <v>840</v>
      </c>
      <c r="U666" s="7" t="s">
        <v>2518</v>
      </c>
      <c r="V666" s="6" t="s">
        <v>66</v>
      </c>
      <c r="W666" s="3" t="s">
        <v>158</v>
      </c>
      <c r="X666" s="3" t="s">
        <v>384</v>
      </c>
      <c r="Y666" s="3" t="s">
        <v>2412</v>
      </c>
      <c r="Z666" s="8" t="str">
        <f>HYPERLINK("http://www.colorado.edu/","http://www.colorado.edu/")</f>
        <v>http://www.colorado.edu/</v>
      </c>
      <c r="AA666" s="8" t="str">
        <f>HYPERLINK("http://ucblibraries.colorado.edu/ScholarlyCommunications/oa/CU-Boulder%20Libraries%20Faculty%20Open%20Access%20Policy%20rev103113.pdf","http://ucblibraries.colorado.edu/ScholarlyCommunications/oa/CU-Boulder%20Libraries%20Faculty%20Open%20Access%20Policy%20rev103113.pdf")</f>
        <v>http://ucblibraries.colorado.edu/ScholarlyCommunications/oa/CU-Boulder%20Libraries%20Faculty%20Open%20Access%20Policy%20rev103113.pdf</v>
      </c>
      <c r="AB666" s="8" t="str">
        <f>HYPERLINK("http://digitool.library.colostate.edu/R/KU5QP19484T6LLSQMI9MJKDTUG4TEXNPM7V1Q1DHKRPYGYD1Y8-00382?func=collections&amp;collection_id=2382&amp;local_base=GEN01-UCB","http://digitool.library.colostate.edu/R/KU5QP19484T6LLSQMI9MJKDTUG4TEXNPM7V1Q1DHKRPYGYD1Y8-00382?func=collections&amp;collection_id=2382&amp;local_base=GEN01-UCB")</f>
        <v>http://digitool.library.colostate.edu/R/KU5QP19484T6LLSQMI9MJKDTUG4TEXNPM7V1Q1DHKRPYGYD1Y8-00382?func=collections&amp;collection_id=2382&amp;local_base=GEN01-UCB</v>
      </c>
      <c r="AC666" s="3">
        <v>41550</v>
      </c>
      <c r="AE666" s="3">
        <v>41578</v>
      </c>
      <c r="AF666" s="3" t="s">
        <v>478</v>
      </c>
      <c r="AG666" s="3" t="s">
        <v>333</v>
      </c>
      <c r="AH666" s="3" t="s">
        <v>180</v>
      </c>
      <c r="AI666" s="3" t="s">
        <v>244</v>
      </c>
      <c r="AJ666" s="3" t="s">
        <v>182</v>
      </c>
      <c r="AK666" s="3" t="s">
        <v>371</v>
      </c>
      <c r="AL666" s="3" t="s">
        <v>288</v>
      </c>
      <c r="AM666" s="3" t="s">
        <v>371</v>
      </c>
      <c r="AN666" s="3" t="s">
        <v>189</v>
      </c>
      <c r="AO666" s="3" t="s">
        <v>247</v>
      </c>
      <c r="AP666" s="3" t="s">
        <v>244</v>
      </c>
      <c r="AQ666" s="3" t="s">
        <v>386</v>
      </c>
      <c r="AR666" s="3" t="s">
        <v>288</v>
      </c>
      <c r="AS666" s="3" t="s">
        <v>189</v>
      </c>
      <c r="AT666" s="3" t="s">
        <v>244</v>
      </c>
      <c r="AU666" s="3" t="s">
        <v>244</v>
      </c>
      <c r="AV666" s="3" t="s">
        <v>288</v>
      </c>
      <c r="AW666" s="3" t="s">
        <v>339</v>
      </c>
      <c r="AX666" s="3" t="s">
        <v>244</v>
      </c>
      <c r="AY666" s="3" t="s">
        <v>247</v>
      </c>
    </row>
    <row r="667" spans="1:52" ht="15.75" customHeight="1">
      <c r="A667" s="3">
        <v>751</v>
      </c>
      <c r="B667" s="5" t="str">
        <f t="shared" si="0"/>
        <v>http://roarmap.eprints.org/751/</v>
      </c>
      <c r="C667" s="3">
        <v>6</v>
      </c>
      <c r="D667" s="3" t="s">
        <v>98</v>
      </c>
      <c r="E667" s="3">
        <v>727</v>
      </c>
      <c r="F667" s="3" t="s">
        <v>2415</v>
      </c>
      <c r="G667" s="3">
        <v>42121.441446759258</v>
      </c>
      <c r="H667" s="3">
        <v>42121.577314814815</v>
      </c>
      <c r="I667" s="3">
        <v>42121.441446759258</v>
      </c>
      <c r="J667" s="3" t="s">
        <v>103</v>
      </c>
      <c r="K667" s="3" t="s">
        <v>105</v>
      </c>
      <c r="L667" s="3" t="s">
        <v>2416</v>
      </c>
      <c r="P667" s="3" t="s">
        <v>215</v>
      </c>
      <c r="Q667" t="str">
        <f t="shared" si="43"/>
        <v>http://roarmap.eprints.org/view/country/840.html</v>
      </c>
      <c r="R667" s="3">
        <v>840</v>
      </c>
      <c r="S667" s="6" t="s">
        <v>359</v>
      </c>
      <c r="T667" s="9">
        <v>840</v>
      </c>
      <c r="U667" s="7" t="s">
        <v>2518</v>
      </c>
      <c r="V667" s="6" t="s">
        <v>66</v>
      </c>
      <c r="W667" s="3" t="s">
        <v>158</v>
      </c>
      <c r="X667" s="3" t="s">
        <v>160</v>
      </c>
      <c r="Y667" s="3" t="s">
        <v>2416</v>
      </c>
      <c r="Z667" s="8" t="str">
        <f>HYPERLINK("http://www.udel.edu/","http://www.udel.edu/")</f>
        <v>http://www.udel.edu/</v>
      </c>
      <c r="AA667" s="8" t="str">
        <f>HYPERLINK("http://guides.lib.udel.edu/scholcom/openaccess","http://guides.lib.udel.edu/scholcom/openaccess")</f>
        <v>http://guides.lib.udel.edu/scholcom/openaccess</v>
      </c>
      <c r="AB667" s="8" t="str">
        <f>HYPERLINK("http://udspace.udel.edu/","http://udspace.udel.edu/")</f>
        <v>http://udspace.udel.edu/</v>
      </c>
      <c r="AC667" s="3">
        <v>42100</v>
      </c>
      <c r="AF667" s="3" t="s">
        <v>478</v>
      </c>
      <c r="AG667" s="3" t="s">
        <v>178</v>
      </c>
      <c r="AH667" s="3" t="s">
        <v>180</v>
      </c>
      <c r="AI667" s="3" t="s">
        <v>244</v>
      </c>
      <c r="AJ667" s="3" t="s">
        <v>182</v>
      </c>
      <c r="AK667" s="3" t="s">
        <v>393</v>
      </c>
      <c r="AL667" s="3" t="s">
        <v>189</v>
      </c>
      <c r="AM667" s="3" t="s">
        <v>178</v>
      </c>
      <c r="AN667" s="3" t="s">
        <v>189</v>
      </c>
      <c r="AO667" s="3" t="s">
        <v>247</v>
      </c>
      <c r="AP667" s="3" t="s">
        <v>244</v>
      </c>
      <c r="AQ667" s="3" t="s">
        <v>648</v>
      </c>
      <c r="AR667" s="3" t="s">
        <v>244</v>
      </c>
      <c r="AS667" s="3" t="s">
        <v>244</v>
      </c>
      <c r="AT667" s="3" t="s">
        <v>244</v>
      </c>
      <c r="AU667" s="3" t="s">
        <v>244</v>
      </c>
      <c r="AV667" s="3" t="s">
        <v>244</v>
      </c>
      <c r="AW667" s="3" t="s">
        <v>244</v>
      </c>
      <c r="AX667" s="3" t="s">
        <v>244</v>
      </c>
      <c r="AY667" s="3" t="s">
        <v>247</v>
      </c>
    </row>
    <row r="668" spans="1:52" ht="15.75" customHeight="1">
      <c r="A668" s="3">
        <v>536</v>
      </c>
      <c r="B668" s="5" t="str">
        <f t="shared" si="0"/>
        <v>http://roarmap.eprints.org/536/</v>
      </c>
      <c r="C668" s="3">
        <v>3</v>
      </c>
      <c r="D668" s="3" t="s">
        <v>98</v>
      </c>
      <c r="E668" s="3">
        <v>1</v>
      </c>
      <c r="F668" s="3" t="s">
        <v>2417</v>
      </c>
      <c r="G668" s="3">
        <v>41988.924108796295</v>
      </c>
      <c r="H668" s="3">
        <v>41988.924108796295</v>
      </c>
      <c r="I668" s="3">
        <v>41988.924108796295</v>
      </c>
      <c r="J668" s="3" t="s">
        <v>103</v>
      </c>
      <c r="K668" s="3" t="s">
        <v>105</v>
      </c>
      <c r="L668" s="3" t="s">
        <v>2418</v>
      </c>
      <c r="M668" s="3" t="s">
        <v>307</v>
      </c>
      <c r="N668" s="3" t="s">
        <v>2419</v>
      </c>
      <c r="P668" s="3" t="s">
        <v>215</v>
      </c>
      <c r="Q668" t="str">
        <f t="shared" si="43"/>
        <v>http://roarmap.eprints.org/view/country/840.html</v>
      </c>
      <c r="R668" s="3">
        <v>840</v>
      </c>
      <c r="S668" s="6" t="s">
        <v>359</v>
      </c>
      <c r="T668" s="9">
        <v>840</v>
      </c>
      <c r="U668" s="7" t="s">
        <v>2518</v>
      </c>
      <c r="V668" s="6" t="s">
        <v>66</v>
      </c>
      <c r="W668" s="3" t="s">
        <v>158</v>
      </c>
      <c r="X668" s="3" t="s">
        <v>160</v>
      </c>
      <c r="Y668" s="3" t="s">
        <v>2418</v>
      </c>
      <c r="Z668" s="8" t="str">
        <f>HYPERLINK("http://www.ufl.edu/","http://www.ufl.edu/")</f>
        <v>http://www.ufl.edu/</v>
      </c>
      <c r="AB668" s="8" t="str">
        <f>HYPERLINK("http://ufdc.ufl.edu/ir","http://ufdc.ufl.edu/ir")</f>
        <v>http://ufdc.ufl.edu/ir</v>
      </c>
      <c r="AG668" s="3" t="s">
        <v>244</v>
      </c>
      <c r="AH668" s="3" t="s">
        <v>244</v>
      </c>
      <c r="AI668" s="3" t="s">
        <v>244</v>
      </c>
      <c r="AJ668" s="3" t="s">
        <v>244</v>
      </c>
      <c r="AK668" s="3" t="s">
        <v>244</v>
      </c>
      <c r="AL668" s="3" t="s">
        <v>244</v>
      </c>
      <c r="AM668" s="3" t="s">
        <v>247</v>
      </c>
      <c r="AN668" s="3" t="s">
        <v>244</v>
      </c>
      <c r="AO668" s="3" t="s">
        <v>247</v>
      </c>
      <c r="AP668" s="3" t="s">
        <v>244</v>
      </c>
      <c r="AQ668" s="3" t="s">
        <v>247</v>
      </c>
      <c r="AR668" s="3" t="s">
        <v>288</v>
      </c>
      <c r="AS668" s="3" t="s">
        <v>244</v>
      </c>
      <c r="AT668" s="3" t="s">
        <v>244</v>
      </c>
      <c r="AU668" s="3" t="s">
        <v>244</v>
      </c>
      <c r="AV668" s="3" t="s">
        <v>288</v>
      </c>
      <c r="AW668" s="3" t="s">
        <v>244</v>
      </c>
      <c r="AX668" s="3" t="s">
        <v>244</v>
      </c>
      <c r="AY668" s="3" t="s">
        <v>247</v>
      </c>
    </row>
    <row r="669" spans="1:52" ht="15.75" customHeight="1">
      <c r="A669" s="3">
        <v>537</v>
      </c>
      <c r="B669" s="5" t="str">
        <f t="shared" si="0"/>
        <v>http://roarmap.eprints.org/537/</v>
      </c>
      <c r="C669" s="3">
        <v>5</v>
      </c>
      <c r="D669" s="3" t="s">
        <v>98</v>
      </c>
      <c r="E669" s="3">
        <v>1</v>
      </c>
      <c r="F669" s="3" t="s">
        <v>2420</v>
      </c>
      <c r="G669" s="3">
        <v>41988.924108796295</v>
      </c>
      <c r="H669" s="3">
        <v>41988.924108796295</v>
      </c>
      <c r="I669" s="3">
        <v>41988.924108796295</v>
      </c>
      <c r="J669" s="3" t="s">
        <v>103</v>
      </c>
      <c r="K669" s="3" t="s">
        <v>105</v>
      </c>
      <c r="L669" s="3" t="s">
        <v>2421</v>
      </c>
      <c r="M669" s="3" t="s">
        <v>374</v>
      </c>
      <c r="N669" s="3" t="s">
        <v>2422</v>
      </c>
      <c r="O669" s="3" t="s">
        <v>2423</v>
      </c>
      <c r="P669" s="3" t="s">
        <v>215</v>
      </c>
      <c r="Q669" t="str">
        <f t="shared" si="43"/>
        <v>http://roarmap.eprints.org/view/country/840.html</v>
      </c>
      <c r="R669" s="3">
        <v>840</v>
      </c>
      <c r="S669" s="6" t="s">
        <v>359</v>
      </c>
      <c r="T669" s="9">
        <v>840</v>
      </c>
      <c r="U669" s="7" t="s">
        <v>2518</v>
      </c>
      <c r="V669" s="6" t="s">
        <v>66</v>
      </c>
      <c r="W669" s="3" t="s">
        <v>158</v>
      </c>
      <c r="X669" s="3" t="s">
        <v>160</v>
      </c>
      <c r="Y669" s="3" t="s">
        <v>2421</v>
      </c>
      <c r="Z669" s="8" t="str">
        <f>HYPERLINK("http://www.manoa.hawaii.edu/","http://www.manoa.hawaii.edu/")</f>
        <v>http://www.manoa.hawaii.edu/</v>
      </c>
      <c r="AA669" s="8" t="str">
        <f>HYPERLINK("http://manoa.hawaii.edu/ovcaa/admin_memos/pdf/memo_04042012_openaccess.pdf","http://manoa.hawaii.edu/ovcaa/admin_memos/pdf/memo_04042012_openaccess.pdf")</f>
        <v>http://manoa.hawaii.edu/ovcaa/admin_memos/pdf/memo_04042012_openaccess.pdf</v>
      </c>
      <c r="AB669" s="8" t="str">
        <f>HYPERLINK("https://scholarspace.manoa.hawaii.edu/","https://scholarspace.manoa.hawaii.edu/")</f>
        <v>https://scholarspace.manoa.hawaii.edu/</v>
      </c>
      <c r="AC669" s="3">
        <v>41003</v>
      </c>
      <c r="AD669" s="3">
        <v>41143</v>
      </c>
      <c r="AF669" s="3" t="s">
        <v>478</v>
      </c>
      <c r="AG669" s="3" t="s">
        <v>178</v>
      </c>
      <c r="AH669" s="3" t="s">
        <v>370</v>
      </c>
      <c r="AI669" s="3" t="s">
        <v>187</v>
      </c>
      <c r="AJ669" s="3" t="s">
        <v>182</v>
      </c>
      <c r="AK669" s="3" t="s">
        <v>393</v>
      </c>
      <c r="AL669" s="3" t="s">
        <v>189</v>
      </c>
      <c r="AM669" s="3" t="s">
        <v>178</v>
      </c>
      <c r="AN669" s="3" t="s">
        <v>189</v>
      </c>
      <c r="AO669" s="3" t="s">
        <v>187</v>
      </c>
      <c r="AP669" s="3" t="s">
        <v>244</v>
      </c>
      <c r="AQ669" s="3" t="s">
        <v>394</v>
      </c>
      <c r="AR669" s="3" t="s">
        <v>288</v>
      </c>
      <c r="AS669" s="3" t="s">
        <v>189</v>
      </c>
      <c r="AT669" s="3" t="s">
        <v>244</v>
      </c>
      <c r="AU669" s="3" t="s">
        <v>244</v>
      </c>
      <c r="AV669" s="3" t="s">
        <v>288</v>
      </c>
      <c r="AW669" s="3" t="s">
        <v>244</v>
      </c>
      <c r="AX669" s="3" t="s">
        <v>244</v>
      </c>
      <c r="AY669" s="3" t="s">
        <v>247</v>
      </c>
    </row>
    <row r="670" spans="1:52" ht="15.75" customHeight="1">
      <c r="A670" s="3">
        <v>538</v>
      </c>
      <c r="B670" s="5" t="str">
        <f t="shared" si="0"/>
        <v>http://roarmap.eprints.org/538/</v>
      </c>
      <c r="C670" s="3">
        <v>3</v>
      </c>
      <c r="D670" s="3" t="s">
        <v>98</v>
      </c>
      <c r="E670" s="3">
        <v>1</v>
      </c>
      <c r="F670" s="3" t="s">
        <v>2424</v>
      </c>
      <c r="G670" s="3">
        <v>41988.924108796295</v>
      </c>
      <c r="H670" s="3">
        <v>41988.924108796295</v>
      </c>
      <c r="I670" s="3">
        <v>41988.924108796295</v>
      </c>
      <c r="J670" s="3" t="s">
        <v>103</v>
      </c>
      <c r="K670" s="3" t="s">
        <v>105</v>
      </c>
      <c r="L670" s="3" t="s">
        <v>2425</v>
      </c>
      <c r="M670" s="3" t="s">
        <v>352</v>
      </c>
      <c r="N670" s="3" t="s">
        <v>2426</v>
      </c>
      <c r="P670" s="3" t="s">
        <v>215</v>
      </c>
      <c r="Q670" t="str">
        <f t="shared" si="43"/>
        <v>http://roarmap.eprints.org/view/country/840.html</v>
      </c>
      <c r="R670" s="3">
        <v>840</v>
      </c>
      <c r="S670" s="6" t="s">
        <v>359</v>
      </c>
      <c r="T670" s="9">
        <v>840</v>
      </c>
      <c r="U670" s="7" t="s">
        <v>2518</v>
      </c>
      <c r="V670" s="6" t="s">
        <v>66</v>
      </c>
      <c r="W670" s="3" t="s">
        <v>158</v>
      </c>
      <c r="X670" s="3" t="s">
        <v>384</v>
      </c>
      <c r="Y670" s="3" t="s">
        <v>2425</v>
      </c>
      <c r="Z670" s="8" t="str">
        <f>HYPERLINK("http://www.uic.edu/uic/","http://www.uic.edu/uic/")</f>
        <v>http://www.uic.edu/uic/</v>
      </c>
      <c r="AA670" s="8" t="str">
        <f>HYPERLINK("http://researchguides.uic.edu/libraryoapolicy","http://researchguides.uic.edu/libraryoapolicy")</f>
        <v>http://researchguides.uic.edu/libraryoapolicy</v>
      </c>
      <c r="AB670" s="8" t="str">
        <f>HYPERLINK("http://indigo.uic.edu/","http://indigo.uic.edu/")</f>
        <v>http://indigo.uic.edu/</v>
      </c>
      <c r="AC670" s="3">
        <v>40868</v>
      </c>
      <c r="AE670" s="3">
        <v>41038</v>
      </c>
      <c r="AF670" s="3" t="s">
        <v>478</v>
      </c>
      <c r="AG670" s="3" t="s">
        <v>178</v>
      </c>
      <c r="AH670" s="3" t="s">
        <v>180</v>
      </c>
      <c r="AI670" s="3" t="s">
        <v>371</v>
      </c>
      <c r="AJ670" s="3" t="s">
        <v>182</v>
      </c>
      <c r="AK670" s="3" t="s">
        <v>244</v>
      </c>
      <c r="AL670" s="3" t="s">
        <v>189</v>
      </c>
      <c r="AM670" s="3" t="s">
        <v>371</v>
      </c>
      <c r="AN670" s="3" t="s">
        <v>189</v>
      </c>
      <c r="AO670" s="3" t="s">
        <v>371</v>
      </c>
      <c r="AP670" s="3" t="s">
        <v>244</v>
      </c>
      <c r="AQ670" s="3" t="s">
        <v>386</v>
      </c>
      <c r="AR670" s="3" t="s">
        <v>288</v>
      </c>
      <c r="AS670" s="3" t="s">
        <v>189</v>
      </c>
      <c r="AT670" s="3" t="s">
        <v>244</v>
      </c>
      <c r="AU670" s="3" t="s">
        <v>244</v>
      </c>
      <c r="AV670" s="3" t="s">
        <v>288</v>
      </c>
      <c r="AW670" s="3" t="s">
        <v>339</v>
      </c>
      <c r="AX670" s="3" t="s">
        <v>244</v>
      </c>
      <c r="AY670" s="3" t="s">
        <v>247</v>
      </c>
    </row>
    <row r="671" spans="1:52" ht="15.75" customHeight="1">
      <c r="A671" s="3">
        <v>540</v>
      </c>
      <c r="B671" s="5" t="str">
        <f t="shared" si="0"/>
        <v>http://roarmap.eprints.org/540/</v>
      </c>
      <c r="C671" s="3">
        <v>7</v>
      </c>
      <c r="D671" s="3" t="s">
        <v>98</v>
      </c>
      <c r="E671" s="3">
        <v>1</v>
      </c>
      <c r="F671" s="3" t="s">
        <v>2427</v>
      </c>
      <c r="G671" s="3">
        <v>41988.924108796295</v>
      </c>
      <c r="H671" s="3">
        <v>41988.924108796295</v>
      </c>
      <c r="I671" s="3">
        <v>41988.924108796295</v>
      </c>
      <c r="J671" s="3" t="s">
        <v>103</v>
      </c>
      <c r="K671" s="3" t="s">
        <v>105</v>
      </c>
      <c r="L671" s="3" t="s">
        <v>2428</v>
      </c>
      <c r="M671" s="3" t="s">
        <v>374</v>
      </c>
      <c r="N671" s="3" t="s">
        <v>2429</v>
      </c>
      <c r="O671" s="3" t="s">
        <v>2430</v>
      </c>
      <c r="P671" s="3" t="s">
        <v>215</v>
      </c>
      <c r="Q671" t="str">
        <f t="shared" si="43"/>
        <v>http://roarmap.eprints.org/view/country/840.html</v>
      </c>
      <c r="R671" s="3">
        <v>840</v>
      </c>
      <c r="S671" s="6" t="s">
        <v>359</v>
      </c>
      <c r="T671" s="9">
        <v>840</v>
      </c>
      <c r="U671" s="7" t="s">
        <v>2518</v>
      </c>
      <c r="V671" s="6" t="s">
        <v>66</v>
      </c>
      <c r="W671" s="3" t="s">
        <v>158</v>
      </c>
      <c r="X671" s="3" t="s">
        <v>160</v>
      </c>
      <c r="Y671" s="3" t="s">
        <v>2428</v>
      </c>
      <c r="Z671" s="8" t="str">
        <f>HYPERLINK("http://www.ku.edu/","http://www.ku.edu/")</f>
        <v>http://www.ku.edu/</v>
      </c>
      <c r="AA671" s="8" t="str">
        <f>HYPERLINK("http://policy.ku.edu/governance/open-access-policy","http://policy.ku.edu/governance/open-access-policy")</f>
        <v>http://policy.ku.edu/governance/open-access-policy</v>
      </c>
      <c r="AB671" s="8" t="str">
        <f>HYPERLINK("http://kuscholarworks.ku.edu/","http://kuscholarworks.ku.edu/")</f>
        <v>http://kuscholarworks.ku.edu/</v>
      </c>
      <c r="AC671" s="3">
        <v>39933</v>
      </c>
      <c r="AD671" s="3">
        <v>39933</v>
      </c>
      <c r="AE671" s="3">
        <v>40220</v>
      </c>
      <c r="AF671" s="3" t="s">
        <v>478</v>
      </c>
      <c r="AG671" s="3" t="s">
        <v>178</v>
      </c>
      <c r="AH671" s="3" t="s">
        <v>180</v>
      </c>
      <c r="AI671" s="3" t="s">
        <v>371</v>
      </c>
      <c r="AJ671" s="3" t="s">
        <v>182</v>
      </c>
      <c r="AK671" s="3" t="s">
        <v>244</v>
      </c>
      <c r="AL671" s="3" t="s">
        <v>189</v>
      </c>
      <c r="AM671" s="3" t="s">
        <v>178</v>
      </c>
      <c r="AN671" s="3" t="s">
        <v>244</v>
      </c>
      <c r="AO671" s="3" t="s">
        <v>621</v>
      </c>
      <c r="AP671" s="3" t="s">
        <v>185</v>
      </c>
      <c r="AQ671" s="3" t="s">
        <v>394</v>
      </c>
      <c r="AR671" s="3" t="s">
        <v>189</v>
      </c>
      <c r="AS671" s="3" t="s">
        <v>189</v>
      </c>
      <c r="AT671" s="3" t="s">
        <v>244</v>
      </c>
      <c r="AU671" s="3" t="s">
        <v>244</v>
      </c>
      <c r="AV671" s="3" t="s">
        <v>244</v>
      </c>
      <c r="AW671" s="3" t="s">
        <v>244</v>
      </c>
      <c r="AX671" s="3" t="s">
        <v>244</v>
      </c>
      <c r="AY671" s="3" t="s">
        <v>428</v>
      </c>
      <c r="AZ671" s="8" t="str">
        <f>HYPERLINK("http://library.kumc.edu/authors-fund.xml","http://library.kumc.edu/authors-fund.xml")</f>
        <v>http://library.kumc.edu/authors-fund.xml</v>
      </c>
    </row>
    <row r="672" spans="1:52" ht="15.75" customHeight="1">
      <c r="A672" s="3">
        <v>541</v>
      </c>
      <c r="B672" s="5" t="str">
        <f t="shared" si="0"/>
        <v>http://roarmap.eprints.org/541/</v>
      </c>
      <c r="C672" s="3">
        <v>4</v>
      </c>
      <c r="D672" s="3" t="s">
        <v>98</v>
      </c>
      <c r="E672" s="3">
        <v>333</v>
      </c>
      <c r="F672" s="3" t="s">
        <v>2431</v>
      </c>
      <c r="G672" s="3">
        <v>41988.924120370371</v>
      </c>
      <c r="H672" s="3">
        <v>42046.981736111113</v>
      </c>
      <c r="I672" s="3">
        <v>41988.924120370371</v>
      </c>
      <c r="J672" s="3" t="s">
        <v>103</v>
      </c>
      <c r="K672" s="3" t="s">
        <v>105</v>
      </c>
      <c r="L672" s="3" t="s">
        <v>2432</v>
      </c>
      <c r="M672" s="3" t="s">
        <v>352</v>
      </c>
      <c r="N672" s="3" t="s">
        <v>2433</v>
      </c>
      <c r="O672" s="3" t="s">
        <v>2434</v>
      </c>
      <c r="P672" s="3" t="s">
        <v>215</v>
      </c>
      <c r="Q672" t="str">
        <f t="shared" si="43"/>
        <v>http://roarmap.eprints.org/view/country/840.html</v>
      </c>
      <c r="R672" s="3">
        <v>840</v>
      </c>
      <c r="S672" s="6" t="s">
        <v>359</v>
      </c>
      <c r="T672" s="9">
        <v>840</v>
      </c>
      <c r="U672" s="7" t="s">
        <v>2518</v>
      </c>
      <c r="V672" s="6" t="s">
        <v>66</v>
      </c>
      <c r="W672" s="3" t="s">
        <v>158</v>
      </c>
      <c r="X672" s="3" t="s">
        <v>160</v>
      </c>
      <c r="Y672" s="3" t="s">
        <v>2432</v>
      </c>
      <c r="Z672" s="8" t="str">
        <f>HYPERLINK("http://www.uky.edu/","http://www.uky.edu/")</f>
        <v>http://www.uky.edu/</v>
      </c>
      <c r="AA672" s="8" t="str">
        <f>HYPERLINK("http://www.research.uky.edu/gs/CurrentStudents/theses_prep.html","http://www.research.uky.edu/gs/CurrentStudents/theses_prep.html")</f>
        <v>http://www.research.uky.edu/gs/CurrentStudents/theses_prep.html</v>
      </c>
      <c r="AB672" s="8" t="str">
        <f>HYPERLINK("http://uknowledge.uky.edu/gradschool/","http://uknowledge.uky.edu/gradschool/")</f>
        <v>http://uknowledge.uky.edu/gradschool/</v>
      </c>
      <c r="AF672" s="3" t="s">
        <v>244</v>
      </c>
      <c r="AG672" s="3" t="s">
        <v>244</v>
      </c>
      <c r="AH672" s="3" t="s">
        <v>180</v>
      </c>
      <c r="AI672" s="3" t="s">
        <v>377</v>
      </c>
      <c r="AJ672" s="3" t="s">
        <v>385</v>
      </c>
      <c r="AK672" s="3" t="s">
        <v>183</v>
      </c>
      <c r="AL672" s="3" t="s">
        <v>244</v>
      </c>
      <c r="AM672" s="3" t="s">
        <v>371</v>
      </c>
      <c r="AN672" s="3" t="s">
        <v>244</v>
      </c>
      <c r="AO672" s="3" t="s">
        <v>247</v>
      </c>
      <c r="AP672" s="3" t="s">
        <v>244</v>
      </c>
      <c r="AQ672" s="3" t="s">
        <v>247</v>
      </c>
      <c r="AR672" s="3" t="s">
        <v>288</v>
      </c>
      <c r="AS672" s="3" t="s">
        <v>288</v>
      </c>
      <c r="AT672" s="3" t="s">
        <v>244</v>
      </c>
      <c r="AU672" s="3" t="s">
        <v>244</v>
      </c>
      <c r="AV672" s="3" t="s">
        <v>288</v>
      </c>
      <c r="AW672" s="3" t="s">
        <v>339</v>
      </c>
      <c r="AX672" s="3" t="s">
        <v>244</v>
      </c>
      <c r="AY672" s="3" t="s">
        <v>247</v>
      </c>
    </row>
    <row r="673" spans="1:52" ht="15.75" customHeight="1">
      <c r="A673" s="3">
        <v>542</v>
      </c>
      <c r="B673" s="5" t="str">
        <f t="shared" si="0"/>
        <v>http://roarmap.eprints.org/542/</v>
      </c>
      <c r="C673" s="3">
        <v>4</v>
      </c>
      <c r="D673" s="3" t="s">
        <v>98</v>
      </c>
      <c r="E673" s="3">
        <v>334</v>
      </c>
      <c r="F673" s="3" t="s">
        <v>2435</v>
      </c>
      <c r="G673" s="3">
        <v>41988.924120370371</v>
      </c>
      <c r="H673" s="3">
        <v>42046.981736111113</v>
      </c>
      <c r="I673" s="3">
        <v>41988.924120370371</v>
      </c>
      <c r="J673" s="3" t="s">
        <v>103</v>
      </c>
      <c r="K673" s="3" t="s">
        <v>105</v>
      </c>
      <c r="L673" s="3" t="s">
        <v>2436</v>
      </c>
      <c r="M673" s="3" t="s">
        <v>352</v>
      </c>
      <c r="N673" s="3" t="s">
        <v>2437</v>
      </c>
      <c r="O673" s="3" t="s">
        <v>2438</v>
      </c>
      <c r="P673" s="3" t="s">
        <v>215</v>
      </c>
      <c r="Q673" t="str">
        <f t="shared" si="43"/>
        <v>http://roarmap.eprints.org/view/country/840.html</v>
      </c>
      <c r="R673" s="3">
        <v>840</v>
      </c>
      <c r="S673" s="6" t="s">
        <v>359</v>
      </c>
      <c r="T673" s="9">
        <v>840</v>
      </c>
      <c r="U673" s="7" t="s">
        <v>2518</v>
      </c>
      <c r="V673" s="6" t="s">
        <v>66</v>
      </c>
      <c r="W673" s="3" t="s">
        <v>158</v>
      </c>
      <c r="X673" s="3" t="s">
        <v>160</v>
      </c>
      <c r="Y673" s="3" t="s">
        <v>2436</v>
      </c>
      <c r="Z673" s="8" t="str">
        <f>HYPERLINK("http://www.umd.edu/","http://www.umd.edu/")</f>
        <v>http://www.umd.edu/</v>
      </c>
      <c r="AA673" s="3" t="s">
        <v>2439</v>
      </c>
      <c r="AB673" s="8" t="str">
        <f>HYPERLINK("http://drum.lib.umd.edu/","http://drum.lib.umd.edu/")</f>
        <v>http://drum.lib.umd.edu/</v>
      </c>
      <c r="AF673" s="3" t="s">
        <v>244</v>
      </c>
      <c r="AG673" s="3" t="s">
        <v>178</v>
      </c>
      <c r="AH673" s="3" t="s">
        <v>180</v>
      </c>
      <c r="AI673" s="3" t="s">
        <v>371</v>
      </c>
      <c r="AJ673" s="3" t="s">
        <v>385</v>
      </c>
      <c r="AK673" s="3" t="s">
        <v>183</v>
      </c>
      <c r="AL673" s="3" t="s">
        <v>185</v>
      </c>
      <c r="AM673" s="3" t="s">
        <v>371</v>
      </c>
      <c r="AN673" s="3" t="s">
        <v>189</v>
      </c>
      <c r="AO673" s="3" t="s">
        <v>371</v>
      </c>
      <c r="AP673" s="3" t="s">
        <v>244</v>
      </c>
      <c r="AQ673" s="3" t="s">
        <v>386</v>
      </c>
      <c r="AR673" s="3" t="s">
        <v>288</v>
      </c>
      <c r="AS673" s="3" t="s">
        <v>288</v>
      </c>
      <c r="AT673" s="3" t="s">
        <v>193</v>
      </c>
      <c r="AU673" s="3" t="s">
        <v>193</v>
      </c>
      <c r="AV673" s="3" t="s">
        <v>288</v>
      </c>
      <c r="AW673" s="3" t="s">
        <v>339</v>
      </c>
      <c r="AX673" s="3" t="s">
        <v>244</v>
      </c>
      <c r="AY673" s="3" t="s">
        <v>247</v>
      </c>
    </row>
    <row r="674" spans="1:52" ht="15.75" customHeight="1">
      <c r="A674" s="3">
        <v>544</v>
      </c>
      <c r="B674" s="5" t="str">
        <f t="shared" si="0"/>
        <v>http://roarmap.eprints.org/544/</v>
      </c>
      <c r="C674" s="3">
        <v>4</v>
      </c>
      <c r="D674" s="3" t="s">
        <v>98</v>
      </c>
      <c r="E674" s="3">
        <v>335</v>
      </c>
      <c r="F674" s="3" t="s">
        <v>2440</v>
      </c>
      <c r="G674" s="3">
        <v>41988.924120370371</v>
      </c>
      <c r="H674" s="3">
        <v>42046.981747685182</v>
      </c>
      <c r="I674" s="3">
        <v>41988.924120370371</v>
      </c>
      <c r="J674" s="3" t="s">
        <v>103</v>
      </c>
      <c r="K674" s="3" t="s">
        <v>105</v>
      </c>
      <c r="L674" s="3" t="s">
        <v>2441</v>
      </c>
      <c r="M674" s="3" t="s">
        <v>352</v>
      </c>
      <c r="N674" s="3" t="s">
        <v>2442</v>
      </c>
      <c r="P674" s="3" t="s">
        <v>215</v>
      </c>
      <c r="Q674" t="str">
        <f t="shared" si="43"/>
        <v>http://roarmap.eprints.org/view/country/840.html</v>
      </c>
      <c r="R674" s="3">
        <v>840</v>
      </c>
      <c r="S674" s="6" t="s">
        <v>359</v>
      </c>
      <c r="T674" s="9">
        <v>840</v>
      </c>
      <c r="U674" s="7" t="s">
        <v>2518</v>
      </c>
      <c r="V674" s="6" t="s">
        <v>66</v>
      </c>
      <c r="W674" s="3" t="s">
        <v>158</v>
      </c>
      <c r="X674" s="3" t="s">
        <v>384</v>
      </c>
      <c r="Y674" s="3" t="s">
        <v>2441</v>
      </c>
      <c r="Z674" s="8" t="str">
        <f>HYPERLINK("http://www.uncg.edu/","http://www.uncg.edu/")</f>
        <v>http://www.uncg.edu/</v>
      </c>
      <c r="AA674" s="8" t="str">
        <f>HYPERLINK("http://library.uncg.edu/services/scholarly_communication/open_access_policy.aspx","http://library.uncg.edu/services/scholarly_communication/open_access_policy.aspx")</f>
        <v>http://library.uncg.edu/services/scholarly_communication/open_access_policy.aspx</v>
      </c>
      <c r="AB674" s="8" t="str">
        <f>HYPERLINK("http://libres.uncg.edu/ir/","http://libres.uncg.edu/ir/")</f>
        <v>http://libres.uncg.edu/ir/</v>
      </c>
      <c r="AC674" s="3">
        <v>41338</v>
      </c>
      <c r="AF674" s="3" t="s">
        <v>478</v>
      </c>
      <c r="AG674" s="3" t="s">
        <v>178</v>
      </c>
      <c r="AH674" s="3" t="s">
        <v>180</v>
      </c>
      <c r="AI674" s="3" t="s">
        <v>371</v>
      </c>
      <c r="AJ674" s="3" t="s">
        <v>371</v>
      </c>
      <c r="AK674" s="3" t="s">
        <v>244</v>
      </c>
      <c r="AL674" s="3" t="s">
        <v>189</v>
      </c>
      <c r="AM674" s="3" t="s">
        <v>371</v>
      </c>
      <c r="AN674" s="3" t="s">
        <v>189</v>
      </c>
      <c r="AO674" s="3" t="s">
        <v>247</v>
      </c>
      <c r="AP674" s="3" t="s">
        <v>244</v>
      </c>
      <c r="AQ674" s="3" t="s">
        <v>386</v>
      </c>
      <c r="AR674" s="3" t="s">
        <v>288</v>
      </c>
      <c r="AS674" s="3" t="s">
        <v>189</v>
      </c>
      <c r="AT674" s="3" t="s">
        <v>244</v>
      </c>
      <c r="AU674" s="3" t="s">
        <v>244</v>
      </c>
      <c r="AV674" s="3" t="s">
        <v>288</v>
      </c>
      <c r="AW674" s="3" t="s">
        <v>339</v>
      </c>
      <c r="AX674" s="3" t="s">
        <v>341</v>
      </c>
      <c r="AY674" s="3" t="s">
        <v>247</v>
      </c>
    </row>
    <row r="675" spans="1:52" ht="15.75" customHeight="1">
      <c r="A675" s="3">
        <v>545</v>
      </c>
      <c r="B675" s="5" t="str">
        <f t="shared" si="0"/>
        <v>http://roarmap.eprints.org/545/</v>
      </c>
      <c r="C675" s="3">
        <v>4</v>
      </c>
      <c r="D675" s="3" t="s">
        <v>98</v>
      </c>
      <c r="E675" s="3">
        <v>336</v>
      </c>
      <c r="F675" s="3" t="s">
        <v>2443</v>
      </c>
      <c r="G675" s="3">
        <v>41988.924120370371</v>
      </c>
      <c r="H675" s="3">
        <v>42046.981747685182</v>
      </c>
      <c r="I675" s="3">
        <v>41988.924120370371</v>
      </c>
      <c r="J675" s="3" t="s">
        <v>103</v>
      </c>
      <c r="K675" s="3" t="s">
        <v>105</v>
      </c>
      <c r="L675" s="3" t="s">
        <v>2444</v>
      </c>
      <c r="M675" s="3" t="s">
        <v>352</v>
      </c>
      <c r="N675" s="3" t="s">
        <v>2445</v>
      </c>
      <c r="P675" s="3" t="s">
        <v>215</v>
      </c>
      <c r="Q675" t="str">
        <f t="shared" si="43"/>
        <v>http://roarmap.eprints.org/view/country/840.html</v>
      </c>
      <c r="R675" s="3">
        <v>840</v>
      </c>
      <c r="S675" s="6" t="s">
        <v>359</v>
      </c>
      <c r="T675" s="9">
        <v>840</v>
      </c>
      <c r="U675" s="7" t="s">
        <v>2518</v>
      </c>
      <c r="V675" s="6" t="s">
        <v>66</v>
      </c>
      <c r="W675" s="3" t="s">
        <v>158</v>
      </c>
      <c r="X675" s="3" t="s">
        <v>160</v>
      </c>
      <c r="Y675" s="3" t="s">
        <v>2444</v>
      </c>
      <c r="Z675" s="8" t="str">
        <f>HYPERLINK("http://www.unf.edu/","http://www.unf.edu/")</f>
        <v>http://www.unf.edu/</v>
      </c>
      <c r="AA675" s="8" t="str">
        <f>HYPERLINK("http://lgdata.s3-website-us-east-1.amazonaws.com/docs/1652/740785/Thesis_deposit_policy_and_guide_2012_rev.pdf","http://lgdata.s3-website-us-east-1.amazonaws.com/docs/1652/740785/Thesis_deposit_policy_and_guide_2012_rev.pdf")</f>
        <v>http://lgdata.s3-website-us-east-1.amazonaws.com/docs/1652/740785/Thesis_deposit_policy_and_guide_2012_rev.pdf</v>
      </c>
      <c r="AB675" s="8" t="str">
        <f>HYPERLINK("http://digitalcommons.unf.edu/","http://digitalcommons.unf.edu/")</f>
        <v>http://digitalcommons.unf.edu/</v>
      </c>
      <c r="AF675" s="3" t="s">
        <v>244</v>
      </c>
      <c r="AG675" s="3" t="s">
        <v>178</v>
      </c>
      <c r="AH675" s="3" t="s">
        <v>180</v>
      </c>
      <c r="AI675" s="3" t="s">
        <v>371</v>
      </c>
      <c r="AJ675" s="3" t="s">
        <v>385</v>
      </c>
      <c r="AK675" s="3" t="s">
        <v>183</v>
      </c>
      <c r="AL675" s="3" t="s">
        <v>189</v>
      </c>
      <c r="AM675" s="3" t="s">
        <v>479</v>
      </c>
      <c r="AN675" s="3" t="s">
        <v>189</v>
      </c>
      <c r="AO675" s="3" t="s">
        <v>247</v>
      </c>
      <c r="AP675" s="3" t="s">
        <v>244</v>
      </c>
      <c r="AQ675" s="3" t="s">
        <v>386</v>
      </c>
      <c r="AR675" s="3" t="s">
        <v>288</v>
      </c>
      <c r="AS675" s="3" t="s">
        <v>189</v>
      </c>
      <c r="AT675" s="3" t="s">
        <v>395</v>
      </c>
      <c r="AU675" s="3" t="s">
        <v>395</v>
      </c>
      <c r="AV675" s="3" t="s">
        <v>288</v>
      </c>
      <c r="AW675" s="3" t="s">
        <v>339</v>
      </c>
      <c r="AX675" s="3" t="s">
        <v>244</v>
      </c>
      <c r="AY675" s="3" t="s">
        <v>247</v>
      </c>
    </row>
    <row r="676" spans="1:52" ht="15.75" customHeight="1">
      <c r="A676" s="3">
        <v>546</v>
      </c>
      <c r="B676" s="5" t="str">
        <f t="shared" si="0"/>
        <v>http://roarmap.eprints.org/546/</v>
      </c>
      <c r="C676" s="3">
        <v>3</v>
      </c>
      <c r="D676" s="3" t="s">
        <v>98</v>
      </c>
      <c r="E676" s="3">
        <v>1</v>
      </c>
      <c r="F676" s="3" t="s">
        <v>2446</v>
      </c>
      <c r="G676" s="3">
        <v>41988.924120370371</v>
      </c>
      <c r="H676" s="3">
        <v>41988.924131944441</v>
      </c>
      <c r="I676" s="3">
        <v>41988.924120370371</v>
      </c>
      <c r="J676" s="3" t="s">
        <v>103</v>
      </c>
      <c r="K676" s="3" t="s">
        <v>105</v>
      </c>
      <c r="L676" s="3" t="s">
        <v>2447</v>
      </c>
      <c r="M676" s="3" t="s">
        <v>374</v>
      </c>
      <c r="N676" s="3" t="s">
        <v>2448</v>
      </c>
      <c r="O676" s="3" t="s">
        <v>2449</v>
      </c>
      <c r="P676" s="3" t="s">
        <v>215</v>
      </c>
      <c r="Q676" t="str">
        <f t="shared" si="43"/>
        <v>http://roarmap.eprints.org/view/country/840.html</v>
      </c>
      <c r="R676" s="3">
        <v>840</v>
      </c>
      <c r="S676" s="6" t="s">
        <v>359</v>
      </c>
      <c r="T676" s="9">
        <v>840</v>
      </c>
      <c r="U676" s="7" t="s">
        <v>2518</v>
      </c>
      <c r="V676" s="6" t="s">
        <v>66</v>
      </c>
      <c r="W676" s="3" t="s">
        <v>158</v>
      </c>
      <c r="X676" s="3" t="s">
        <v>160</v>
      </c>
      <c r="Y676" s="3" t="s">
        <v>2447</v>
      </c>
      <c r="Z676" s="8" t="str">
        <f>HYPERLINK("http://www.unt.edu/","http://www.unt.edu/")</f>
        <v>http://www.unt.edu/</v>
      </c>
      <c r="AA676" s="8" t="str">
        <f>HYPERLINK("https://policy.unt.edu/sites/default/files/untpolicy/17.5_Open%20Access_Self-Archiving_and%20Long-Term%20Digital%20Stewardship%20for%20UNT%20Scholarly%20Works.pdf","https://policy.unt.edu/sites/default/files/untpolicy/17.5_Open%20Access_Self-Archiving_and%20Long-Term%20Digital%20Stewardship%20for%20UNT%20Scholarly%20Works.pdf")</f>
        <v>https://policy.unt.edu/sites/default/files/untpolicy/17.5_Open%20Access_Self-Archiving_and%20Long-Term%20Digital%20Stewardship%20for%20UNT%20Scholarly%20Works.pdf</v>
      </c>
      <c r="AB676" s="8" t="str">
        <f>HYPERLINK("http://digital.library.unt.edu/","http://digital.library.unt.edu/")</f>
        <v>http://digital.library.unt.edu/</v>
      </c>
      <c r="AC676" s="3">
        <v>40940</v>
      </c>
      <c r="AD676" s="3">
        <v>40940</v>
      </c>
      <c r="AF676" s="3" t="s">
        <v>478</v>
      </c>
      <c r="AG676" s="3" t="s">
        <v>178</v>
      </c>
      <c r="AH676" s="3" t="s">
        <v>180</v>
      </c>
      <c r="AI676" s="3" t="s">
        <v>392</v>
      </c>
      <c r="AJ676" s="3" t="s">
        <v>182</v>
      </c>
      <c r="AK676" s="3" t="s">
        <v>393</v>
      </c>
      <c r="AL676" s="3" t="s">
        <v>189</v>
      </c>
      <c r="AM676" s="3" t="s">
        <v>371</v>
      </c>
      <c r="AN676" s="3" t="s">
        <v>189</v>
      </c>
      <c r="AO676" s="3" t="s">
        <v>371</v>
      </c>
      <c r="AP676" s="3" t="s">
        <v>244</v>
      </c>
      <c r="AQ676" s="3" t="s">
        <v>386</v>
      </c>
      <c r="AR676" s="3" t="s">
        <v>288</v>
      </c>
      <c r="AS676" s="3" t="s">
        <v>189</v>
      </c>
      <c r="AT676" s="3" t="s">
        <v>244</v>
      </c>
      <c r="AU676" s="3" t="s">
        <v>244</v>
      </c>
      <c r="AV676" s="3" t="s">
        <v>288</v>
      </c>
      <c r="AW676" s="3" t="s">
        <v>339</v>
      </c>
      <c r="AX676" s="3" t="s">
        <v>244</v>
      </c>
      <c r="AY676" s="3" t="s">
        <v>247</v>
      </c>
    </row>
    <row r="677" spans="1:52" ht="15.75" customHeight="1">
      <c r="A677" s="3">
        <v>547</v>
      </c>
      <c r="B677" s="5" t="str">
        <f t="shared" si="0"/>
        <v>http://roarmap.eprints.org/547/</v>
      </c>
      <c r="C677" s="3">
        <v>3</v>
      </c>
      <c r="D677" s="3" t="s">
        <v>98</v>
      </c>
      <c r="E677" s="3">
        <v>1</v>
      </c>
      <c r="F677" s="3" t="s">
        <v>2450</v>
      </c>
      <c r="G677" s="3">
        <v>41988.924131944441</v>
      </c>
      <c r="H677" s="3">
        <v>41988.924131944441</v>
      </c>
      <c r="I677" s="3">
        <v>41988.924131944441</v>
      </c>
      <c r="J677" s="3" t="s">
        <v>103</v>
      </c>
      <c r="K677" s="3" t="s">
        <v>105</v>
      </c>
      <c r="L677" s="3" t="s">
        <v>2451</v>
      </c>
      <c r="M677" s="3" t="s">
        <v>374</v>
      </c>
      <c r="N677" s="3" t="s">
        <v>2452</v>
      </c>
      <c r="O677" s="3" t="s">
        <v>2453</v>
      </c>
      <c r="P677" s="3" t="s">
        <v>215</v>
      </c>
      <c r="Q677" t="str">
        <f t="shared" si="43"/>
        <v>http://roarmap.eprints.org/view/country/840.html</v>
      </c>
      <c r="R677" s="3">
        <v>840</v>
      </c>
      <c r="S677" s="6" t="s">
        <v>359</v>
      </c>
      <c r="T677" s="9">
        <v>840</v>
      </c>
      <c r="U677" s="7" t="s">
        <v>2518</v>
      </c>
      <c r="V677" s="6" t="s">
        <v>66</v>
      </c>
      <c r="W677" s="3" t="s">
        <v>158</v>
      </c>
      <c r="X677" s="3" t="s">
        <v>160</v>
      </c>
      <c r="Y677" s="3" t="s">
        <v>2451</v>
      </c>
      <c r="Z677" s="8" t="str">
        <f>HYPERLINK("http://library.unco.edu/","http://library.unco.edu/")</f>
        <v>http://library.unco.edu/</v>
      </c>
      <c r="AA677" s="8" t="str">
        <f>HYPERLINK("http://libguides.unco.edu/content.php?pid=322118&amp;sid=2770946","http://libguides.unco.edu/content.php?pid=322118&amp;sid=2770946")</f>
        <v>http://libguides.unco.edu/content.php?pid=322118&amp;sid=2770946</v>
      </c>
      <c r="AB677" s="8" t="str">
        <f>HYPERLINK("http://digitalunc.coalliance.org/","http://digitalunc.coalliance.org/")</f>
        <v>http://digitalunc.coalliance.org/</v>
      </c>
      <c r="AC677" s="3">
        <v>40448</v>
      </c>
      <c r="AF677" s="3" t="s">
        <v>478</v>
      </c>
      <c r="AG677" s="3" t="s">
        <v>244</v>
      </c>
      <c r="AH677" s="3" t="s">
        <v>180</v>
      </c>
      <c r="AI677" s="3" t="s">
        <v>244</v>
      </c>
      <c r="AJ677" s="3" t="s">
        <v>182</v>
      </c>
      <c r="AK677" s="3" t="s">
        <v>244</v>
      </c>
      <c r="AL677" s="3" t="s">
        <v>244</v>
      </c>
      <c r="AM677" s="3" t="s">
        <v>371</v>
      </c>
      <c r="AN677" s="3" t="s">
        <v>244</v>
      </c>
      <c r="AO677" s="3" t="s">
        <v>371</v>
      </c>
      <c r="AP677" s="3" t="s">
        <v>244</v>
      </c>
      <c r="AQ677" s="3" t="s">
        <v>247</v>
      </c>
      <c r="AR677" s="3" t="s">
        <v>288</v>
      </c>
      <c r="AS677" s="3" t="s">
        <v>288</v>
      </c>
      <c r="AT677" s="3" t="s">
        <v>244</v>
      </c>
      <c r="AU677" s="3" t="s">
        <v>244</v>
      </c>
      <c r="AV677" s="3" t="s">
        <v>288</v>
      </c>
      <c r="AW677" s="3" t="s">
        <v>339</v>
      </c>
      <c r="AX677" s="3" t="s">
        <v>341</v>
      </c>
      <c r="AY677" s="3" t="s">
        <v>247</v>
      </c>
    </row>
    <row r="678" spans="1:52" ht="15.75" customHeight="1">
      <c r="A678" s="3">
        <v>548</v>
      </c>
      <c r="B678" s="5" t="str">
        <f t="shared" si="0"/>
        <v>http://roarmap.eprints.org/548/</v>
      </c>
      <c r="C678" s="3">
        <v>4</v>
      </c>
      <c r="D678" s="3" t="s">
        <v>98</v>
      </c>
      <c r="E678" s="3">
        <v>337</v>
      </c>
      <c r="F678" s="3" t="s">
        <v>2454</v>
      </c>
      <c r="G678" s="3">
        <v>41988.924131944441</v>
      </c>
      <c r="H678" s="3">
        <v>42046.981747685182</v>
      </c>
      <c r="I678" s="3">
        <v>41988.924131944441</v>
      </c>
      <c r="J678" s="3" t="s">
        <v>103</v>
      </c>
      <c r="K678" s="3" t="s">
        <v>105</v>
      </c>
      <c r="L678" s="3" t="s">
        <v>2455</v>
      </c>
      <c r="M678" s="3" t="s">
        <v>352</v>
      </c>
      <c r="N678" s="3" t="s">
        <v>398</v>
      </c>
      <c r="P678" s="3" t="s">
        <v>215</v>
      </c>
      <c r="Q678" t="str">
        <f t="shared" si="43"/>
        <v>http://roarmap.eprints.org/view/country/840.html</v>
      </c>
      <c r="R678" s="3">
        <v>840</v>
      </c>
      <c r="S678" s="6" t="s">
        <v>359</v>
      </c>
      <c r="T678" s="9">
        <v>840</v>
      </c>
      <c r="U678" s="7" t="s">
        <v>2518</v>
      </c>
      <c r="V678" s="6" t="s">
        <v>66</v>
      </c>
      <c r="W678" s="3" t="s">
        <v>158</v>
      </c>
      <c r="X678" s="3" t="s">
        <v>160</v>
      </c>
      <c r="Y678" s="3" t="s">
        <v>2455</v>
      </c>
      <c r="Z678" s="8" t="str">
        <f t="shared" ref="Z678:Z679" si="45">HYPERLINK("http://uoregon.edu/","http://uoregon.edu/")</f>
        <v>http://uoregon.edu/</v>
      </c>
      <c r="AB678" s="8" t="str">
        <f t="shared" ref="AB678:AB679" si="46">HYPERLINK("https://scholarsbank.uoregon.edu/xmlui/","https://scholarsbank.uoregon.edu/xmlui/")</f>
        <v>https://scholarsbank.uoregon.edu/xmlui/</v>
      </c>
      <c r="AG678" s="3" t="s">
        <v>244</v>
      </c>
      <c r="AH678" s="3" t="s">
        <v>244</v>
      </c>
      <c r="AI678" s="3" t="s">
        <v>244</v>
      </c>
      <c r="AJ678" s="3" t="s">
        <v>244</v>
      </c>
      <c r="AK678" s="3" t="s">
        <v>244</v>
      </c>
      <c r="AL678" s="3" t="s">
        <v>244</v>
      </c>
      <c r="AM678" s="3" t="s">
        <v>247</v>
      </c>
      <c r="AN678" s="3" t="s">
        <v>244</v>
      </c>
      <c r="AO678" s="3" t="s">
        <v>247</v>
      </c>
      <c r="AP678" s="3" t="s">
        <v>244</v>
      </c>
      <c r="AQ678" s="3" t="s">
        <v>247</v>
      </c>
      <c r="AR678" s="3" t="s">
        <v>288</v>
      </c>
      <c r="AS678" s="3" t="s">
        <v>244</v>
      </c>
      <c r="AT678" s="3" t="s">
        <v>244</v>
      </c>
      <c r="AU678" s="3" t="s">
        <v>244</v>
      </c>
      <c r="AV678" s="3" t="s">
        <v>288</v>
      </c>
      <c r="AW678" s="3" t="s">
        <v>244</v>
      </c>
      <c r="AX678" s="3" t="s">
        <v>244</v>
      </c>
      <c r="AY678" s="3" t="s">
        <v>247</v>
      </c>
    </row>
    <row r="679" spans="1:52" ht="15.75" customHeight="1">
      <c r="A679" s="3">
        <v>549</v>
      </c>
      <c r="B679" s="5" t="str">
        <f t="shared" si="0"/>
        <v>http://roarmap.eprints.org/549/</v>
      </c>
      <c r="C679" s="3">
        <v>4</v>
      </c>
      <c r="D679" s="3" t="s">
        <v>98</v>
      </c>
      <c r="E679" s="3">
        <v>337</v>
      </c>
      <c r="F679" s="3" t="s">
        <v>2456</v>
      </c>
      <c r="G679" s="3">
        <v>41988.924131944441</v>
      </c>
      <c r="H679" s="3">
        <v>42046.981747685182</v>
      </c>
      <c r="I679" s="3">
        <v>41988.924131944441</v>
      </c>
      <c r="J679" s="3" t="s">
        <v>103</v>
      </c>
      <c r="K679" s="3" t="s">
        <v>105</v>
      </c>
      <c r="L679" s="3" t="s">
        <v>2457</v>
      </c>
      <c r="M679" s="3" t="s">
        <v>532</v>
      </c>
      <c r="N679" s="3" t="s">
        <v>2458</v>
      </c>
      <c r="P679" s="3" t="s">
        <v>215</v>
      </c>
      <c r="Q679" t="str">
        <f t="shared" si="43"/>
        <v>http://roarmap.eprints.org/view/country/840.html</v>
      </c>
      <c r="R679" s="3">
        <v>840</v>
      </c>
      <c r="S679" s="6" t="s">
        <v>359</v>
      </c>
      <c r="T679" s="9">
        <v>840</v>
      </c>
      <c r="U679" s="7" t="s">
        <v>2518</v>
      </c>
      <c r="V679" s="6" t="s">
        <v>66</v>
      </c>
      <c r="W679" s="3" t="s">
        <v>158</v>
      </c>
      <c r="X679" s="3" t="s">
        <v>384</v>
      </c>
      <c r="Y679" s="3" t="s">
        <v>2457</v>
      </c>
      <c r="Z679" s="8" t="str">
        <f t="shared" si="45"/>
        <v>http://uoregon.edu/</v>
      </c>
      <c r="AA679" s="8" t="str">
        <f>HYPERLINK("http://pages.uoregon.edu/uosenate/dirsen090/dirPublicAccess/RomanceLanguagesPolicy.pdf","http://pages.uoregon.edu/uosenate/dirsen090/dirPublicAccess/RomanceLanguagesPolicy.pdf")</f>
        <v>http://pages.uoregon.edu/uosenate/dirsen090/dirPublicAccess/RomanceLanguagesPolicy.pdf</v>
      </c>
      <c r="AB679" s="8" t="str">
        <f t="shared" si="46"/>
        <v>https://scholarsbank.uoregon.edu/xmlui/</v>
      </c>
      <c r="AC679" s="3">
        <v>40001</v>
      </c>
      <c r="AF679" s="3" t="s">
        <v>478</v>
      </c>
      <c r="AG679" s="3" t="s">
        <v>244</v>
      </c>
      <c r="AH679" s="3" t="s">
        <v>180</v>
      </c>
      <c r="AI679" s="3" t="s">
        <v>244</v>
      </c>
      <c r="AJ679" s="3" t="s">
        <v>371</v>
      </c>
      <c r="AK679" s="3" t="s">
        <v>244</v>
      </c>
      <c r="AL679" s="3" t="s">
        <v>244</v>
      </c>
      <c r="AM679" s="3" t="s">
        <v>371</v>
      </c>
      <c r="AN679" s="3" t="s">
        <v>244</v>
      </c>
      <c r="AO679" s="3" t="s">
        <v>247</v>
      </c>
      <c r="AP679" s="3" t="s">
        <v>244</v>
      </c>
      <c r="AQ679" s="3" t="s">
        <v>247</v>
      </c>
      <c r="AR679" s="3" t="s">
        <v>288</v>
      </c>
      <c r="AS679" s="3" t="s">
        <v>288</v>
      </c>
      <c r="AT679" s="3" t="s">
        <v>244</v>
      </c>
      <c r="AU679" s="3" t="s">
        <v>244</v>
      </c>
      <c r="AV679" s="3" t="s">
        <v>288</v>
      </c>
      <c r="AW679" s="3" t="s">
        <v>339</v>
      </c>
      <c r="AX679" s="3" t="s">
        <v>244</v>
      </c>
      <c r="AY679" s="3" t="s">
        <v>247</v>
      </c>
    </row>
    <row r="680" spans="1:52" ht="15.75" customHeight="1">
      <c r="A680" s="3">
        <v>550</v>
      </c>
      <c r="B680" s="5" t="str">
        <f t="shared" si="0"/>
        <v>http://roarmap.eprints.org/550/</v>
      </c>
      <c r="C680" s="3">
        <v>3</v>
      </c>
      <c r="D680" s="3" t="s">
        <v>98</v>
      </c>
      <c r="E680" s="3">
        <v>1</v>
      </c>
      <c r="F680" s="3" t="s">
        <v>2459</v>
      </c>
      <c r="G680" s="3">
        <v>41988.924131944441</v>
      </c>
      <c r="H680" s="3">
        <v>41988.924131944441</v>
      </c>
      <c r="I680" s="3">
        <v>41988.924131944441</v>
      </c>
      <c r="J680" s="3" t="s">
        <v>103</v>
      </c>
      <c r="K680" s="3" t="s">
        <v>105</v>
      </c>
      <c r="L680" s="3" t="s">
        <v>2460</v>
      </c>
      <c r="M680" s="3" t="s">
        <v>374</v>
      </c>
      <c r="N680" s="3" t="s">
        <v>2461</v>
      </c>
      <c r="P680" s="3" t="s">
        <v>215</v>
      </c>
      <c r="Q680" t="str">
        <f t="shared" si="43"/>
        <v>http://roarmap.eprints.org/view/country/840.html</v>
      </c>
      <c r="R680" s="3">
        <v>840</v>
      </c>
      <c r="S680" s="6" t="s">
        <v>359</v>
      </c>
      <c r="T680" s="9">
        <v>840</v>
      </c>
      <c r="U680" s="7" t="s">
        <v>2518</v>
      </c>
      <c r="V680" s="6" t="s">
        <v>66</v>
      </c>
      <c r="W680" s="3" t="s">
        <v>158</v>
      </c>
      <c r="X680" s="3" t="s">
        <v>160</v>
      </c>
      <c r="Y680" s="3" t="s">
        <v>2460</v>
      </c>
      <c r="Z680" s="8" t="str">
        <f>HYPERLINK("http://www.upenn.edu/","http://www.upenn.edu/")</f>
        <v>http://www.upenn.edu/</v>
      </c>
      <c r="AA680" s="8" t="str">
        <f>HYPERLINK("http://www.upenn.edu/almanac/volumes/v58/n03/openaccess.html","http://www.upenn.edu/almanac/volumes/v58/n03/openaccess.html")</f>
        <v>http://www.upenn.edu/almanac/volumes/v58/n03/openaccess.html</v>
      </c>
      <c r="AB680" s="8" t="str">
        <f>HYPERLINK("http://repository.upenn.edu/","http://repository.upenn.edu/")</f>
        <v>http://repository.upenn.edu/</v>
      </c>
      <c r="AC680" s="3">
        <v>40799</v>
      </c>
      <c r="AD680" s="3">
        <v>40799</v>
      </c>
      <c r="AF680" s="3" t="s">
        <v>478</v>
      </c>
      <c r="AG680" s="3" t="s">
        <v>244</v>
      </c>
      <c r="AH680" s="3" t="s">
        <v>180</v>
      </c>
      <c r="AI680" s="3" t="s">
        <v>392</v>
      </c>
      <c r="AJ680" s="3" t="s">
        <v>182</v>
      </c>
      <c r="AK680" s="3" t="s">
        <v>393</v>
      </c>
      <c r="AL680" s="3" t="s">
        <v>244</v>
      </c>
      <c r="AM680" s="3" t="s">
        <v>371</v>
      </c>
      <c r="AN680" s="3" t="s">
        <v>244</v>
      </c>
      <c r="AO680" s="3" t="s">
        <v>247</v>
      </c>
      <c r="AP680" s="3" t="s">
        <v>244</v>
      </c>
      <c r="AQ680" s="3" t="s">
        <v>386</v>
      </c>
      <c r="AR680" s="3" t="s">
        <v>288</v>
      </c>
      <c r="AS680" s="3" t="s">
        <v>288</v>
      </c>
      <c r="AT680" s="3" t="s">
        <v>244</v>
      </c>
      <c r="AU680" s="3" t="s">
        <v>244</v>
      </c>
      <c r="AV680" s="3" t="s">
        <v>288</v>
      </c>
      <c r="AW680" s="3" t="s">
        <v>339</v>
      </c>
      <c r="AX680" s="3" t="s">
        <v>244</v>
      </c>
      <c r="AY680" s="3" t="s">
        <v>247</v>
      </c>
    </row>
    <row r="681" spans="1:52" ht="15.75" customHeight="1">
      <c r="A681" s="3">
        <v>551</v>
      </c>
      <c r="B681" s="5" t="str">
        <f t="shared" si="0"/>
        <v>http://roarmap.eprints.org/551/</v>
      </c>
      <c r="C681" s="3">
        <v>3</v>
      </c>
      <c r="D681" s="3" t="s">
        <v>98</v>
      </c>
      <c r="E681" s="3">
        <v>1</v>
      </c>
      <c r="F681" s="3" t="s">
        <v>2462</v>
      </c>
      <c r="G681" s="3">
        <v>41988.924131944441</v>
      </c>
      <c r="H681" s="3">
        <v>41988.924131944441</v>
      </c>
      <c r="I681" s="3">
        <v>41988.924131944441</v>
      </c>
      <c r="J681" s="3" t="s">
        <v>103</v>
      </c>
      <c r="K681" s="3" t="s">
        <v>105</v>
      </c>
      <c r="L681" s="3" t="s">
        <v>2463</v>
      </c>
      <c r="M681" s="3" t="s">
        <v>352</v>
      </c>
      <c r="N681" s="3" t="s">
        <v>2464</v>
      </c>
      <c r="P681" s="3" t="s">
        <v>215</v>
      </c>
      <c r="Q681" t="str">
        <f t="shared" si="43"/>
        <v>http://roarmap.eprints.org/view/country/840.html</v>
      </c>
      <c r="R681" s="3">
        <v>840</v>
      </c>
      <c r="S681" s="6" t="s">
        <v>359</v>
      </c>
      <c r="T681" s="9">
        <v>840</v>
      </c>
      <c r="U681" s="7" t="s">
        <v>2518</v>
      </c>
      <c r="V681" s="6" t="s">
        <v>66</v>
      </c>
      <c r="W681" s="3" t="s">
        <v>158</v>
      </c>
      <c r="X681" s="3" t="s">
        <v>384</v>
      </c>
      <c r="Y681" s="3" t="s">
        <v>2463</v>
      </c>
      <c r="Z681" s="8" t="str">
        <f>HYPERLINK("http://www.law.upr.edu/","http://www.law.upr.edu/")</f>
        <v>http://www.law.upr.edu/</v>
      </c>
      <c r="AA681" s="8" t="str">
        <f>HYPERLINK("https://mx2.arl.org/Lists/SPARC-OAForum/Message/5436.html","https://mx2.arl.org/Lists/SPARC-OAForum/Message/5436.html")</f>
        <v>https://mx2.arl.org/Lists/SPARC-OAForum/Message/5436.html</v>
      </c>
      <c r="AB681" s="8" t="str">
        <f>HYPERLINK("http://repositorio.upr.edu:8080/jspui/","http://repositorio.upr.edu:8080/jspui/")</f>
        <v>http://repositorio.upr.edu:8080/jspui/</v>
      </c>
      <c r="AC681" s="3">
        <v>40261</v>
      </c>
      <c r="AF681" s="3" t="s">
        <v>478</v>
      </c>
      <c r="AG681" s="3" t="s">
        <v>178</v>
      </c>
      <c r="AH681" s="3" t="s">
        <v>180</v>
      </c>
      <c r="AI681" s="3" t="s">
        <v>392</v>
      </c>
      <c r="AJ681" s="3" t="s">
        <v>182</v>
      </c>
      <c r="AK681" s="3" t="s">
        <v>393</v>
      </c>
      <c r="AL681" s="3" t="s">
        <v>189</v>
      </c>
      <c r="AM681" s="3" t="s">
        <v>371</v>
      </c>
      <c r="AN681" s="3" t="s">
        <v>189</v>
      </c>
      <c r="AO681" s="3" t="s">
        <v>247</v>
      </c>
      <c r="AP681" s="3" t="s">
        <v>244</v>
      </c>
      <c r="AQ681" s="3" t="s">
        <v>386</v>
      </c>
      <c r="AR681" s="3" t="s">
        <v>288</v>
      </c>
      <c r="AS681" s="3" t="s">
        <v>189</v>
      </c>
      <c r="AT681" s="3" t="s">
        <v>244</v>
      </c>
      <c r="AU681" s="3" t="s">
        <v>244</v>
      </c>
      <c r="AV681" s="3" t="s">
        <v>288</v>
      </c>
      <c r="AW681" s="3" t="s">
        <v>339</v>
      </c>
      <c r="AX681" s="3" t="s">
        <v>244</v>
      </c>
      <c r="AY681" s="3" t="s">
        <v>247</v>
      </c>
    </row>
    <row r="682" spans="1:52" ht="15.75" customHeight="1">
      <c r="A682" s="3">
        <v>552</v>
      </c>
      <c r="B682" s="5" t="str">
        <f t="shared" si="0"/>
        <v>http://roarmap.eprints.org/552/</v>
      </c>
      <c r="C682" s="3">
        <v>4</v>
      </c>
      <c r="D682" s="3" t="s">
        <v>98</v>
      </c>
      <c r="E682" s="3">
        <v>338</v>
      </c>
      <c r="F682" s="3" t="s">
        <v>2465</v>
      </c>
      <c r="G682" s="3">
        <v>41988.924131944441</v>
      </c>
      <c r="H682" s="3">
        <v>42046.981747685182</v>
      </c>
      <c r="I682" s="3">
        <v>41988.924131944441</v>
      </c>
      <c r="J682" s="3" t="s">
        <v>103</v>
      </c>
      <c r="K682" s="3" t="s">
        <v>105</v>
      </c>
      <c r="L682" s="3" t="s">
        <v>2466</v>
      </c>
      <c r="M682" s="3" t="s">
        <v>374</v>
      </c>
      <c r="N682" s="3" t="s">
        <v>2467</v>
      </c>
      <c r="P682" s="3" t="s">
        <v>215</v>
      </c>
      <c r="Q682" t="str">
        <f t="shared" si="43"/>
        <v>http://roarmap.eprints.org/view/country/840.html</v>
      </c>
      <c r="R682" s="3">
        <v>840</v>
      </c>
      <c r="S682" s="6" t="s">
        <v>359</v>
      </c>
      <c r="T682" s="9">
        <v>840</v>
      </c>
      <c r="U682" s="7" t="s">
        <v>2518</v>
      </c>
      <c r="V682" s="6" t="s">
        <v>66</v>
      </c>
      <c r="W682" s="3" t="s">
        <v>158</v>
      </c>
      <c r="X682" s="3" t="s">
        <v>160</v>
      </c>
      <c r="Y682" s="3" t="s">
        <v>2466</v>
      </c>
      <c r="Z682" s="8" t="str">
        <f>HYPERLINK("http://ww2.uri.edu/","http://ww2.uri.edu/")</f>
        <v>http://ww2.uri.edu/</v>
      </c>
      <c r="AA682" s="8" t="str">
        <f>HYPERLINK("http://www.uri.edu/facsen/about/legislation/legislation_documents/2012-13/Bill_12-13-29.pdf","http://www.uri.edu/facsen/about/legislation/legislation_documents/2012-13/Bill_12-13-29.pdf")</f>
        <v>http://www.uri.edu/facsen/about/legislation/legislation_documents/2012-13/Bill_12-13-29.pdf</v>
      </c>
      <c r="AB682" s="8" t="str">
        <f>HYPERLINK("http://digitalcommons.uri.edu/","http://digitalcommons.uri.edu/")</f>
        <v>http://digitalcommons.uri.edu/</v>
      </c>
      <c r="AC682" s="3">
        <v>41354</v>
      </c>
      <c r="AD682" s="3">
        <v>41375</v>
      </c>
      <c r="AF682" s="3" t="s">
        <v>478</v>
      </c>
      <c r="AG682" s="3" t="s">
        <v>178</v>
      </c>
      <c r="AH682" s="3" t="s">
        <v>180</v>
      </c>
      <c r="AI682" s="3" t="s">
        <v>392</v>
      </c>
      <c r="AJ682" s="3" t="s">
        <v>182</v>
      </c>
      <c r="AK682" s="3" t="s">
        <v>393</v>
      </c>
      <c r="AL682" s="3" t="s">
        <v>189</v>
      </c>
      <c r="AM682" s="3" t="s">
        <v>371</v>
      </c>
      <c r="AN682" s="3" t="s">
        <v>189</v>
      </c>
      <c r="AO682" s="3" t="s">
        <v>247</v>
      </c>
      <c r="AP682" s="3" t="s">
        <v>244</v>
      </c>
      <c r="AQ682" s="3" t="s">
        <v>386</v>
      </c>
      <c r="AR682" s="3" t="s">
        <v>288</v>
      </c>
      <c r="AS682" s="3" t="s">
        <v>189</v>
      </c>
      <c r="AT682" s="3" t="s">
        <v>244</v>
      </c>
      <c r="AU682" s="3" t="s">
        <v>244</v>
      </c>
      <c r="AV682" s="3" t="s">
        <v>288</v>
      </c>
      <c r="AW682" s="3" t="s">
        <v>339</v>
      </c>
      <c r="AX682" s="3" t="s">
        <v>244</v>
      </c>
      <c r="AY682" s="3" t="s">
        <v>247</v>
      </c>
    </row>
    <row r="683" spans="1:52" ht="15.75" customHeight="1">
      <c r="A683" s="3">
        <v>553</v>
      </c>
      <c r="B683" s="5" t="str">
        <f t="shared" si="0"/>
        <v>http://roarmap.eprints.org/553/</v>
      </c>
      <c r="C683" s="3">
        <v>3</v>
      </c>
      <c r="D683" s="3" t="s">
        <v>98</v>
      </c>
      <c r="E683" s="3">
        <v>1</v>
      </c>
      <c r="F683" s="3" t="s">
        <v>2468</v>
      </c>
      <c r="G683" s="3">
        <v>41988.924131944441</v>
      </c>
      <c r="H683" s="3">
        <v>41988.924131944441</v>
      </c>
      <c r="I683" s="3">
        <v>41988.924131944441</v>
      </c>
      <c r="J683" s="3" t="s">
        <v>103</v>
      </c>
      <c r="K683" s="3" t="s">
        <v>105</v>
      </c>
      <c r="L683" s="3" t="s">
        <v>2469</v>
      </c>
      <c r="M683" s="3" t="s">
        <v>352</v>
      </c>
      <c r="N683" s="3" t="s">
        <v>2470</v>
      </c>
      <c r="P683" s="3" t="s">
        <v>215</v>
      </c>
      <c r="Q683" t="str">
        <f t="shared" si="43"/>
        <v>http://roarmap.eprints.org/view/country/840.html</v>
      </c>
      <c r="R683" s="3">
        <v>840</v>
      </c>
      <c r="S683" s="6" t="s">
        <v>359</v>
      </c>
      <c r="T683" s="9">
        <v>840</v>
      </c>
      <c r="U683" s="7" t="s">
        <v>2518</v>
      </c>
      <c r="V683" s="6" t="s">
        <v>66</v>
      </c>
      <c r="W683" s="3" t="s">
        <v>158</v>
      </c>
      <c r="X683" s="3" t="s">
        <v>160</v>
      </c>
      <c r="Y683" s="3" t="s">
        <v>2469</v>
      </c>
      <c r="Z683" s="8" t="str">
        <f>HYPERLINK("http://www.utk.edu/","http://www.utk.edu/")</f>
        <v>http://www.utk.edu/</v>
      </c>
      <c r="AA683" s="3" t="s">
        <v>2471</v>
      </c>
      <c r="AB683" s="8" t="str">
        <f>HYPERLINK("http://www.trace.tennessee.edu/","http://www.trace.tennessee.edu/")</f>
        <v>http://www.trace.tennessee.edu/</v>
      </c>
      <c r="AF683" s="3" t="s">
        <v>244</v>
      </c>
      <c r="AG683" s="3" t="s">
        <v>178</v>
      </c>
      <c r="AH683" s="3" t="s">
        <v>180</v>
      </c>
      <c r="AI683" s="3" t="s">
        <v>377</v>
      </c>
      <c r="AJ683" s="3" t="s">
        <v>385</v>
      </c>
      <c r="AK683" s="3" t="s">
        <v>393</v>
      </c>
      <c r="AL683" s="3" t="s">
        <v>244</v>
      </c>
      <c r="AM683" s="3" t="s">
        <v>178</v>
      </c>
      <c r="AN683" s="3" t="s">
        <v>244</v>
      </c>
      <c r="AO683" s="3" t="s">
        <v>378</v>
      </c>
      <c r="AP683" s="3" t="s">
        <v>244</v>
      </c>
      <c r="AQ683" s="3" t="s">
        <v>247</v>
      </c>
      <c r="AR683" s="3" t="s">
        <v>288</v>
      </c>
      <c r="AS683" s="3" t="s">
        <v>288</v>
      </c>
      <c r="AT683" s="3" t="s">
        <v>193</v>
      </c>
      <c r="AU683" s="3" t="s">
        <v>459</v>
      </c>
      <c r="AV683" s="3" t="s">
        <v>244</v>
      </c>
      <c r="AW683" s="3" t="s">
        <v>339</v>
      </c>
      <c r="AX683" s="3" t="s">
        <v>244</v>
      </c>
      <c r="AY683" s="3" t="s">
        <v>247</v>
      </c>
    </row>
    <row r="684" spans="1:52" ht="15.75" customHeight="1">
      <c r="A684" s="3">
        <v>554</v>
      </c>
      <c r="B684" s="5" t="str">
        <f t="shared" si="0"/>
        <v>http://roarmap.eprints.org/554/</v>
      </c>
      <c r="C684" s="3">
        <v>6</v>
      </c>
      <c r="D684" s="3" t="s">
        <v>98</v>
      </c>
      <c r="E684" s="3">
        <v>339</v>
      </c>
      <c r="F684" s="3" t="s">
        <v>2472</v>
      </c>
      <c r="G684" s="3">
        <v>41988.924131944441</v>
      </c>
      <c r="H684" s="3">
        <v>42046.981747685182</v>
      </c>
      <c r="I684" s="3">
        <v>41988.924131944441</v>
      </c>
      <c r="J684" s="3" t="s">
        <v>103</v>
      </c>
      <c r="K684" s="3" t="s">
        <v>105</v>
      </c>
      <c r="L684" s="3" t="s">
        <v>2473</v>
      </c>
      <c r="M684" s="3" t="s">
        <v>637</v>
      </c>
      <c r="O684" s="3" t="s">
        <v>2474</v>
      </c>
      <c r="P684" s="3" t="s">
        <v>215</v>
      </c>
      <c r="Q684" t="str">
        <f t="shared" si="43"/>
        <v>http://roarmap.eprints.org/view/country/840.html</v>
      </c>
      <c r="R684" s="3">
        <v>840</v>
      </c>
      <c r="S684" s="6" t="s">
        <v>359</v>
      </c>
      <c r="T684" s="9">
        <v>840</v>
      </c>
      <c r="U684" s="7" t="s">
        <v>2518</v>
      </c>
      <c r="V684" s="6" t="s">
        <v>66</v>
      </c>
      <c r="W684" s="3" t="s">
        <v>158</v>
      </c>
      <c r="X684" s="3" t="s">
        <v>160</v>
      </c>
      <c r="Y684" s="3" t="s">
        <v>2473</v>
      </c>
      <c r="Z684" s="8" t="str">
        <f>HYPERLINK("http://www.virginia.edu/","http://www.virginia.edu/")</f>
        <v>http://www.virginia.edu/</v>
      </c>
      <c r="AA684" s="8" t="str">
        <f>HYPERLINK("http://www.virginia.edu/facultysenate/wp-content/uploads/2013/08/OpenAccessResolution2-5-2010Revision.pdf","http://www.virginia.edu/facultysenate/wp-content/uploads/2013/08/OpenAccessResolution2-5-2010Revision.pdf")</f>
        <v>http://www.virginia.edu/facultysenate/wp-content/uploads/2013/08/OpenAccessResolution2-5-2010Revision.pdf</v>
      </c>
      <c r="AB684" s="8" t="str">
        <f>HYPERLINK("http://libra.virginia.edu/","http://libra.virginia.edu/")</f>
        <v>http://libra.virginia.edu/</v>
      </c>
      <c r="AC684" s="3">
        <v>40210</v>
      </c>
      <c r="AD684" s="3">
        <v>40210</v>
      </c>
      <c r="AE684" s="3">
        <v>40210</v>
      </c>
      <c r="AF684" s="3" t="s">
        <v>478</v>
      </c>
      <c r="AG684" s="3" t="s">
        <v>333</v>
      </c>
      <c r="AH684" s="3" t="s">
        <v>180</v>
      </c>
      <c r="AI684" s="3" t="s">
        <v>244</v>
      </c>
      <c r="AJ684" s="3" t="s">
        <v>182</v>
      </c>
      <c r="AK684" s="3" t="s">
        <v>244</v>
      </c>
      <c r="AL684" s="3" t="s">
        <v>244</v>
      </c>
      <c r="AM684" s="3" t="s">
        <v>479</v>
      </c>
      <c r="AN684" s="3" t="s">
        <v>185</v>
      </c>
      <c r="AO684" s="3" t="s">
        <v>621</v>
      </c>
      <c r="AP684" s="3" t="s">
        <v>244</v>
      </c>
      <c r="AQ684" s="3" t="s">
        <v>394</v>
      </c>
      <c r="AR684" s="3" t="s">
        <v>244</v>
      </c>
      <c r="AS684" s="3" t="s">
        <v>185</v>
      </c>
      <c r="AT684" s="3" t="s">
        <v>785</v>
      </c>
      <c r="AU684" s="3" t="s">
        <v>785</v>
      </c>
      <c r="AV684" s="3" t="s">
        <v>288</v>
      </c>
      <c r="AW684" s="3" t="s">
        <v>908</v>
      </c>
      <c r="AX684" s="3" t="s">
        <v>442</v>
      </c>
      <c r="AY684" s="3" t="s">
        <v>428</v>
      </c>
      <c r="AZ684" s="8" t="str">
        <f>HYPERLINK("http://copyright.library.virginia.edu/support-for-open-access-publishing/uva-library-open-access-fund/","http://copyright.library.virginia.edu/support-for-open-access-publishing/uva-library-open-access-fund/")</f>
        <v>http://copyright.library.virginia.edu/support-for-open-access-publishing/uva-library-open-access-fund/</v>
      </c>
    </row>
    <row r="685" spans="1:52" ht="15.75" customHeight="1">
      <c r="A685" s="3">
        <v>555</v>
      </c>
      <c r="B685" s="5" t="str">
        <f t="shared" si="0"/>
        <v>http://roarmap.eprints.org/555/</v>
      </c>
      <c r="C685" s="3">
        <v>3</v>
      </c>
      <c r="D685" s="3" t="s">
        <v>98</v>
      </c>
      <c r="E685" s="3">
        <v>1</v>
      </c>
      <c r="F685" s="3" t="s">
        <v>2475</v>
      </c>
      <c r="G685" s="3">
        <v>41988.924143518518</v>
      </c>
      <c r="H685" s="3">
        <v>41988.924143518518</v>
      </c>
      <c r="I685" s="3">
        <v>41988.924143518518</v>
      </c>
      <c r="J685" s="3" t="s">
        <v>103</v>
      </c>
      <c r="K685" s="3" t="s">
        <v>105</v>
      </c>
      <c r="L685" s="3" t="s">
        <v>2476</v>
      </c>
      <c r="M685" s="3" t="s">
        <v>352</v>
      </c>
      <c r="N685" s="3" t="s">
        <v>2477</v>
      </c>
      <c r="P685" s="3" t="s">
        <v>215</v>
      </c>
      <c r="Q685" t="str">
        <f t="shared" si="43"/>
        <v>http://roarmap.eprints.org/view/country/840.html</v>
      </c>
      <c r="R685" s="3">
        <v>840</v>
      </c>
      <c r="S685" s="6" t="s">
        <v>359</v>
      </c>
      <c r="T685" s="9">
        <v>840</v>
      </c>
      <c r="U685" s="7" t="s">
        <v>2518</v>
      </c>
      <c r="V685" s="6" t="s">
        <v>66</v>
      </c>
      <c r="W685" s="3" t="s">
        <v>158</v>
      </c>
      <c r="X685" s="3" t="s">
        <v>384</v>
      </c>
      <c r="Y685" s="3" t="s">
        <v>2476</v>
      </c>
      <c r="Z685" s="8" t="str">
        <f>HYPERLINK("http://www.uwec.edu/index.htm","http://www.uwec.edu/index.htm")</f>
        <v>http://www.uwec.edu/index.htm</v>
      </c>
      <c r="AA685" s="8" t="str">
        <f>HYPERLINK("http://www.uwec.edu/Library/services/openaccessdeclaration.htm","http://www.uwec.edu/Library/services/openaccessdeclaration.htm")</f>
        <v>http://www.uwec.edu/Library/services/openaccessdeclaration.htm</v>
      </c>
      <c r="AB685" s="8" t="str">
        <f>HYPERLINK("http://minds.wisconsin.edu/","http://minds.wisconsin.edu/")</f>
        <v>http://minds.wisconsin.edu/</v>
      </c>
      <c r="AF685" s="3" t="s">
        <v>478</v>
      </c>
      <c r="AG685" s="3" t="s">
        <v>244</v>
      </c>
      <c r="AH685" s="3" t="s">
        <v>244</v>
      </c>
      <c r="AI685" s="3" t="s">
        <v>244</v>
      </c>
      <c r="AJ685" s="3" t="s">
        <v>244</v>
      </c>
      <c r="AK685" s="3" t="s">
        <v>244</v>
      </c>
      <c r="AL685" s="3" t="s">
        <v>244</v>
      </c>
      <c r="AM685" s="3" t="s">
        <v>371</v>
      </c>
      <c r="AN685" s="3" t="s">
        <v>244</v>
      </c>
      <c r="AO685" s="3" t="s">
        <v>247</v>
      </c>
      <c r="AP685" s="3" t="s">
        <v>244</v>
      </c>
      <c r="AQ685" s="3" t="s">
        <v>386</v>
      </c>
      <c r="AR685" s="3" t="s">
        <v>288</v>
      </c>
      <c r="AS685" s="3" t="s">
        <v>288</v>
      </c>
      <c r="AT685" s="3" t="s">
        <v>244</v>
      </c>
      <c r="AU685" s="3" t="s">
        <v>244</v>
      </c>
      <c r="AV685" s="3" t="s">
        <v>288</v>
      </c>
      <c r="AW685" s="3" t="s">
        <v>339</v>
      </c>
      <c r="AX685" s="3" t="s">
        <v>244</v>
      </c>
      <c r="AY685" s="3" t="s">
        <v>247</v>
      </c>
    </row>
    <row r="686" spans="1:52" ht="15.75" customHeight="1">
      <c r="A686" s="3">
        <v>556</v>
      </c>
      <c r="B686" s="5" t="str">
        <f t="shared" si="0"/>
        <v>http://roarmap.eprints.org/556/</v>
      </c>
      <c r="C686" s="3">
        <v>3</v>
      </c>
      <c r="D686" s="3" t="s">
        <v>98</v>
      </c>
      <c r="E686" s="3">
        <v>1</v>
      </c>
      <c r="F686" s="3" t="s">
        <v>2478</v>
      </c>
      <c r="G686" s="3">
        <v>41988.924143518518</v>
      </c>
      <c r="H686" s="3">
        <v>41988.924143518518</v>
      </c>
      <c r="I686" s="3">
        <v>41988.924143518518</v>
      </c>
      <c r="J686" s="3" t="s">
        <v>103</v>
      </c>
      <c r="K686" s="3" t="s">
        <v>105</v>
      </c>
      <c r="L686" s="3" t="s">
        <v>2479</v>
      </c>
      <c r="M686" s="3" t="s">
        <v>374</v>
      </c>
      <c r="N686" s="3" t="s">
        <v>2480</v>
      </c>
      <c r="P686" s="3" t="s">
        <v>215</v>
      </c>
      <c r="Q686" t="str">
        <f t="shared" si="43"/>
        <v>http://roarmap.eprints.org/view/country/840.html</v>
      </c>
      <c r="R686" s="3">
        <v>840</v>
      </c>
      <c r="S686" s="6" t="s">
        <v>359</v>
      </c>
      <c r="T686" s="9">
        <v>840</v>
      </c>
      <c r="U686" s="7" t="s">
        <v>2518</v>
      </c>
      <c r="V686" s="6" t="s">
        <v>66</v>
      </c>
      <c r="W686" s="3" t="s">
        <v>158</v>
      </c>
      <c r="X686" s="3" t="s">
        <v>160</v>
      </c>
      <c r="Y686" s="3" t="s">
        <v>2479</v>
      </c>
      <c r="Z686" s="8" t="str">
        <f>HYPERLINK("http://www.usu.edu/","http://www.usu.edu/")</f>
        <v>http://www.usu.edu/</v>
      </c>
      <c r="AA686" s="8" t="str">
        <f>HYPERLINK("http://roarmap.eprints.org/653/1/535.pdf","http://roarmap.eprints.org/653/1/535.pdf")</f>
        <v>http://roarmap.eprints.org/653/1/535.pdf</v>
      </c>
      <c r="AB686" s="8" t="str">
        <f>HYPERLINK("http://digitalcommons.usu.edu/","http://digitalcommons.usu.edu/")</f>
        <v>http://digitalcommons.usu.edu/</v>
      </c>
      <c r="AC686" s="3">
        <v>41059</v>
      </c>
      <c r="AF686" s="3" t="s">
        <v>478</v>
      </c>
      <c r="AG686" s="3" t="s">
        <v>333</v>
      </c>
      <c r="AH686" s="3" t="s">
        <v>180</v>
      </c>
      <c r="AI686" s="3" t="s">
        <v>244</v>
      </c>
      <c r="AJ686" s="3" t="s">
        <v>182</v>
      </c>
      <c r="AK686" s="3" t="s">
        <v>371</v>
      </c>
      <c r="AL686" s="3" t="s">
        <v>288</v>
      </c>
      <c r="AM686" s="3" t="s">
        <v>371</v>
      </c>
      <c r="AN686" s="3" t="s">
        <v>189</v>
      </c>
      <c r="AO686" s="3" t="s">
        <v>247</v>
      </c>
      <c r="AP686" s="3" t="s">
        <v>244</v>
      </c>
      <c r="AQ686" s="3" t="s">
        <v>386</v>
      </c>
      <c r="AR686" s="3" t="s">
        <v>288</v>
      </c>
      <c r="AS686" s="3" t="s">
        <v>189</v>
      </c>
      <c r="AT686" s="3" t="s">
        <v>244</v>
      </c>
      <c r="AU686" s="3" t="s">
        <v>244</v>
      </c>
      <c r="AV686" s="3" t="s">
        <v>288</v>
      </c>
      <c r="AW686" s="3" t="s">
        <v>339</v>
      </c>
      <c r="AX686" s="3" t="s">
        <v>244</v>
      </c>
      <c r="AY686" s="3" t="s">
        <v>247</v>
      </c>
    </row>
    <row r="687" spans="1:52" ht="15.75" customHeight="1">
      <c r="A687" s="3">
        <v>557</v>
      </c>
      <c r="B687" s="5" t="str">
        <f t="shared" si="0"/>
        <v>http://roarmap.eprints.org/557/</v>
      </c>
      <c r="C687" s="3">
        <v>4</v>
      </c>
      <c r="D687" s="3" t="s">
        <v>98</v>
      </c>
      <c r="E687" s="3">
        <v>340</v>
      </c>
      <c r="F687" s="3" t="s">
        <v>2481</v>
      </c>
      <c r="G687" s="3">
        <v>41988.924143518518</v>
      </c>
      <c r="H687" s="3">
        <v>42046.981747685182</v>
      </c>
      <c r="I687" s="3">
        <v>41988.924143518518</v>
      </c>
      <c r="J687" s="3" t="s">
        <v>103</v>
      </c>
      <c r="K687" s="3" t="s">
        <v>105</v>
      </c>
      <c r="L687" s="3" t="s">
        <v>2482</v>
      </c>
      <c r="M687" s="3" t="s">
        <v>352</v>
      </c>
      <c r="N687" s="3" t="s">
        <v>2483</v>
      </c>
      <c r="P687" s="3" t="s">
        <v>215</v>
      </c>
      <c r="Q687" t="str">
        <f t="shared" si="43"/>
        <v>http://roarmap.eprints.org/view/country/840.html</v>
      </c>
      <c r="R687" s="3">
        <v>840</v>
      </c>
      <c r="S687" s="6" t="s">
        <v>359</v>
      </c>
      <c r="T687" s="9">
        <v>840</v>
      </c>
      <c r="U687" s="7" t="s">
        <v>2518</v>
      </c>
      <c r="V687" s="6" t="s">
        <v>66</v>
      </c>
      <c r="W687" s="3" t="s">
        <v>158</v>
      </c>
      <c r="X687" s="3" t="s">
        <v>384</v>
      </c>
      <c r="Y687" s="3" t="s">
        <v>2482</v>
      </c>
      <c r="Z687" s="8" t="str">
        <f>HYPERLINK("http://www.valpo.edu/","http://www.valpo.edu/")</f>
        <v>http://www.valpo.edu/</v>
      </c>
      <c r="AA687" s="8" t="str">
        <f>HYPERLINK("http://library.valpo.edu/policies/openaccess.html","http://library.valpo.edu/policies/openaccess.html")</f>
        <v>http://library.valpo.edu/policies/openaccess.html</v>
      </c>
      <c r="AB687" s="8" t="str">
        <f>HYPERLINK("http://scholar.valpo.edu/","http://scholar.valpo.edu/")</f>
        <v>http://scholar.valpo.edu/</v>
      </c>
      <c r="AF687" s="3" t="s">
        <v>478</v>
      </c>
      <c r="AG687" s="3" t="s">
        <v>178</v>
      </c>
      <c r="AH687" s="3" t="s">
        <v>180</v>
      </c>
      <c r="AI687" s="3" t="s">
        <v>187</v>
      </c>
      <c r="AJ687" s="3" t="s">
        <v>182</v>
      </c>
      <c r="AK687" s="3" t="s">
        <v>244</v>
      </c>
      <c r="AL687" s="3" t="s">
        <v>189</v>
      </c>
      <c r="AM687" s="3" t="s">
        <v>479</v>
      </c>
      <c r="AN687" s="3" t="s">
        <v>189</v>
      </c>
      <c r="AO687" s="3" t="s">
        <v>371</v>
      </c>
      <c r="AP687" s="3" t="s">
        <v>244</v>
      </c>
      <c r="AQ687" s="3" t="s">
        <v>386</v>
      </c>
      <c r="AR687" s="3" t="s">
        <v>288</v>
      </c>
      <c r="AS687" s="3" t="s">
        <v>189</v>
      </c>
      <c r="AT687" s="3" t="s">
        <v>244</v>
      </c>
      <c r="AU687" s="3" t="s">
        <v>244</v>
      </c>
      <c r="AV687" s="3" t="s">
        <v>288</v>
      </c>
      <c r="AW687" s="3" t="s">
        <v>339</v>
      </c>
      <c r="AX687" s="3" t="s">
        <v>341</v>
      </c>
      <c r="AY687" s="3" t="s">
        <v>247</v>
      </c>
    </row>
    <row r="688" spans="1:52" ht="15.75" customHeight="1">
      <c r="A688" s="3">
        <v>558</v>
      </c>
      <c r="B688" s="5" t="str">
        <f t="shared" si="0"/>
        <v>http://roarmap.eprints.org/558/</v>
      </c>
      <c r="C688" s="3">
        <v>6</v>
      </c>
      <c r="D688" s="3" t="s">
        <v>98</v>
      </c>
      <c r="E688" s="3">
        <v>599</v>
      </c>
      <c r="F688" s="3" t="s">
        <v>2484</v>
      </c>
      <c r="G688" s="3">
        <v>41988.924143518518</v>
      </c>
      <c r="H688" s="3">
        <v>42108.584108796298</v>
      </c>
      <c r="I688" s="3">
        <v>41988.924143518518</v>
      </c>
      <c r="J688" s="3" t="s">
        <v>103</v>
      </c>
      <c r="K688" s="3" t="s">
        <v>105</v>
      </c>
      <c r="L688" s="3" t="s">
        <v>2485</v>
      </c>
      <c r="M688" s="3" t="s">
        <v>352</v>
      </c>
      <c r="N688" s="3" t="s">
        <v>2486</v>
      </c>
      <c r="O688" s="3" t="s">
        <v>2487</v>
      </c>
      <c r="P688" s="3" t="s">
        <v>215</v>
      </c>
      <c r="Q688" t="str">
        <f t="shared" si="43"/>
        <v>http://roarmap.eprints.org/view/country/840.html</v>
      </c>
      <c r="R688" s="3">
        <v>840</v>
      </c>
      <c r="S688" s="6" t="s">
        <v>359</v>
      </c>
      <c r="T688" s="9">
        <v>840</v>
      </c>
      <c r="U688" s="7" t="s">
        <v>2518</v>
      </c>
      <c r="V688" s="6" t="s">
        <v>66</v>
      </c>
      <c r="W688" s="3" t="s">
        <v>158</v>
      </c>
      <c r="X688" s="3" t="s">
        <v>384</v>
      </c>
      <c r="Y688" s="3" t="s">
        <v>2485</v>
      </c>
      <c r="Z688" s="8" t="str">
        <f>HYPERLINK("http://www.vt.edu/","http://www.vt.edu/")</f>
        <v>http://www.vt.edu/</v>
      </c>
      <c r="AA688" s="8" t="str">
        <f>HYPERLINK("http://etd.vt.edu/index.html","http://etd.vt.edu/index.html")</f>
        <v>http://etd.vt.edu/index.html</v>
      </c>
      <c r="AB688" s="8" t="str">
        <f t="shared" ref="AB688:AB689" si="47">HYPERLINK("http://vtechworks.lib.vt.edu/","http://vtechworks.lib.vt.edu/")</f>
        <v>http://vtechworks.lib.vt.edu/</v>
      </c>
      <c r="AF688" s="3" t="s">
        <v>177</v>
      </c>
      <c r="AG688" s="3" t="s">
        <v>178</v>
      </c>
      <c r="AH688" s="3" t="s">
        <v>180</v>
      </c>
      <c r="AI688" s="3" t="s">
        <v>371</v>
      </c>
      <c r="AJ688" s="3" t="s">
        <v>385</v>
      </c>
      <c r="AK688" s="3" t="s">
        <v>183</v>
      </c>
      <c r="AL688" s="3" t="s">
        <v>244</v>
      </c>
      <c r="AM688" s="3" t="s">
        <v>178</v>
      </c>
      <c r="AN688" s="3" t="s">
        <v>244</v>
      </c>
      <c r="AO688" s="3" t="s">
        <v>247</v>
      </c>
      <c r="AP688" s="3" t="s">
        <v>244</v>
      </c>
      <c r="AQ688" s="3" t="s">
        <v>247</v>
      </c>
      <c r="AR688" s="3" t="s">
        <v>288</v>
      </c>
      <c r="AS688" s="3" t="s">
        <v>288</v>
      </c>
      <c r="AT688" s="3" t="s">
        <v>395</v>
      </c>
      <c r="AU688" s="3" t="s">
        <v>395</v>
      </c>
      <c r="AV688" s="3" t="s">
        <v>244</v>
      </c>
      <c r="AW688" s="3" t="s">
        <v>339</v>
      </c>
      <c r="AX688" s="3" t="s">
        <v>244</v>
      </c>
      <c r="AY688" s="3" t="s">
        <v>247</v>
      </c>
    </row>
    <row r="689" spans="1:52" ht="15.75" customHeight="1">
      <c r="A689" s="3">
        <v>559</v>
      </c>
      <c r="B689" s="5" t="str">
        <f t="shared" si="0"/>
        <v>http://roarmap.eprints.org/559/</v>
      </c>
      <c r="C689" s="3">
        <v>6</v>
      </c>
      <c r="D689" s="3" t="s">
        <v>98</v>
      </c>
      <c r="E689" s="3">
        <v>599</v>
      </c>
      <c r="F689" s="3" t="s">
        <v>2488</v>
      </c>
      <c r="G689" s="3">
        <v>41988.924143518518</v>
      </c>
      <c r="H689" s="3">
        <v>42108.629328703704</v>
      </c>
      <c r="I689" s="3">
        <v>41988.924143518518</v>
      </c>
      <c r="J689" s="3" t="s">
        <v>103</v>
      </c>
      <c r="K689" s="3" t="s">
        <v>105</v>
      </c>
      <c r="L689" s="3" t="s">
        <v>2489</v>
      </c>
      <c r="M689" s="3" t="s">
        <v>374</v>
      </c>
      <c r="N689" s="3" t="s">
        <v>2490</v>
      </c>
      <c r="P689" s="3" t="s">
        <v>215</v>
      </c>
      <c r="Q689" t="str">
        <f t="shared" si="43"/>
        <v>http://roarmap.eprints.org/view/country/840.html</v>
      </c>
      <c r="R689" s="3">
        <v>840</v>
      </c>
      <c r="S689" s="6" t="s">
        <v>359</v>
      </c>
      <c r="T689" s="9">
        <v>840</v>
      </c>
      <c r="U689" s="7" t="s">
        <v>2518</v>
      </c>
      <c r="V689" s="6" t="s">
        <v>66</v>
      </c>
      <c r="W689" s="3" t="s">
        <v>158</v>
      </c>
      <c r="X689" s="3" t="s">
        <v>384</v>
      </c>
      <c r="Y689" s="3" t="s">
        <v>2489</v>
      </c>
      <c r="Z689" s="8" t="str">
        <f>HYPERLINK("http://www.lib.vt.edu/","http://www.lib.vt.edu/")</f>
        <v>http://www.lib.vt.edu/</v>
      </c>
      <c r="AA689" s="8" t="str">
        <f>HYPERLINK("http://www.lib.vt.edu/openaccess/lfa-oa-policy.pdf","http://www.lib.vt.edu/openaccess/lfa-oa-policy.pdf")</f>
        <v>http://www.lib.vt.edu/openaccess/lfa-oa-policy.pdf</v>
      </c>
      <c r="AB689" s="8" t="str">
        <f t="shared" si="47"/>
        <v>http://vtechworks.lib.vt.edu/</v>
      </c>
      <c r="AC689" s="3">
        <v>41487</v>
      </c>
      <c r="AF689" s="3" t="s">
        <v>478</v>
      </c>
      <c r="AG689" s="3" t="s">
        <v>178</v>
      </c>
      <c r="AH689" s="3" t="s">
        <v>180</v>
      </c>
      <c r="AI689" s="3" t="s">
        <v>392</v>
      </c>
      <c r="AJ689" s="3" t="s">
        <v>182</v>
      </c>
      <c r="AK689" s="3" t="s">
        <v>393</v>
      </c>
      <c r="AL689" s="3" t="s">
        <v>185</v>
      </c>
      <c r="AM689" s="3" t="s">
        <v>479</v>
      </c>
      <c r="AN689" s="3" t="s">
        <v>189</v>
      </c>
      <c r="AO689" s="3" t="s">
        <v>247</v>
      </c>
      <c r="AP689" s="3" t="s">
        <v>185</v>
      </c>
      <c r="AQ689" s="3" t="s">
        <v>648</v>
      </c>
      <c r="AR689" s="3" t="s">
        <v>288</v>
      </c>
      <c r="AS689" s="3" t="s">
        <v>185</v>
      </c>
      <c r="AT689" s="3" t="s">
        <v>244</v>
      </c>
      <c r="AU689" s="3" t="s">
        <v>244</v>
      </c>
      <c r="AV689" s="3" t="s">
        <v>288</v>
      </c>
      <c r="AW689" s="3" t="s">
        <v>339</v>
      </c>
      <c r="AX689" s="3" t="s">
        <v>341</v>
      </c>
      <c r="AY689" s="3" t="s">
        <v>428</v>
      </c>
      <c r="AZ689" s="8" t="str">
        <f>HYPERLINK("http://www.lib.vt.edu/oafund/index.html","http://www.lib.vt.edu/oafund/index.html")</f>
        <v>http://www.lib.vt.edu/oafund/index.html</v>
      </c>
    </row>
    <row r="690" spans="1:52" ht="15.75" customHeight="1">
      <c r="A690" s="3">
        <v>560</v>
      </c>
      <c r="B690" s="5" t="str">
        <f t="shared" si="0"/>
        <v>http://roarmap.eprints.org/560/</v>
      </c>
      <c r="C690" s="3">
        <v>3</v>
      </c>
      <c r="D690" s="3" t="s">
        <v>98</v>
      </c>
      <c r="E690" s="3">
        <v>1</v>
      </c>
      <c r="F690" s="3" t="s">
        <v>2491</v>
      </c>
      <c r="G690" s="3">
        <v>41988.924143518518</v>
      </c>
      <c r="H690" s="3">
        <v>41988.924143518518</v>
      </c>
      <c r="I690" s="3">
        <v>41988.924143518518</v>
      </c>
      <c r="J690" s="3" t="s">
        <v>103</v>
      </c>
      <c r="K690" s="3" t="s">
        <v>105</v>
      </c>
      <c r="L690" s="3" t="s">
        <v>2492</v>
      </c>
      <c r="M690" s="3" t="s">
        <v>374</v>
      </c>
      <c r="N690" s="3" t="s">
        <v>2493</v>
      </c>
      <c r="P690" s="3" t="s">
        <v>215</v>
      </c>
      <c r="Q690" t="str">
        <f t="shared" si="43"/>
        <v>http://roarmap.eprints.org/view/country/840.html</v>
      </c>
      <c r="R690" s="3">
        <v>840</v>
      </c>
      <c r="S690" s="6" t="s">
        <v>359</v>
      </c>
      <c r="T690" s="9">
        <v>840</v>
      </c>
      <c r="U690" s="7" t="s">
        <v>2518</v>
      </c>
      <c r="V690" s="6" t="s">
        <v>66</v>
      </c>
      <c r="W690" s="3" t="s">
        <v>158</v>
      </c>
      <c r="X690" s="3" t="s">
        <v>384</v>
      </c>
      <c r="Y690" s="3" t="s">
        <v>2492</v>
      </c>
      <c r="Z690" s="8" t="str">
        <f>HYPERLINK("http://www.wfu.edu/","http://www.wfu.edu/")</f>
        <v>http://www.wfu.edu/</v>
      </c>
      <c r="AA690" s="8" t="str">
        <f>HYPERLINK("http://zsr.wfu.edu/documents/ZSR_Librarians_Assembly_Open_Access_Policy.pdf","http://zsr.wfu.edu/documents/ZSR_Librarians_Assembly_Open_Access_Policy.pdf")</f>
        <v>http://zsr.wfu.edu/documents/ZSR_Librarians_Assembly_Open_Access_Policy.pdf</v>
      </c>
      <c r="AB690" s="8" t="str">
        <f>HYPERLINK("http://wakespace.lib.wfu.edu/handle/10339/14934","http://wakespace.lib.wfu.edu/handle/10339/14934")</f>
        <v>http://wakespace.lib.wfu.edu/handle/10339/14934</v>
      </c>
      <c r="AC690" s="3">
        <v>40210</v>
      </c>
      <c r="AF690" s="3" t="s">
        <v>478</v>
      </c>
      <c r="AG690" s="3" t="s">
        <v>178</v>
      </c>
      <c r="AH690" s="3" t="s">
        <v>180</v>
      </c>
      <c r="AI690" s="3" t="s">
        <v>371</v>
      </c>
      <c r="AJ690" s="3" t="s">
        <v>182</v>
      </c>
      <c r="AK690" s="3" t="s">
        <v>393</v>
      </c>
      <c r="AL690" s="3" t="s">
        <v>189</v>
      </c>
      <c r="AM690" s="3" t="s">
        <v>479</v>
      </c>
      <c r="AN690" s="3" t="s">
        <v>189</v>
      </c>
      <c r="AO690" s="3" t="s">
        <v>378</v>
      </c>
      <c r="AP690" s="3" t="s">
        <v>244</v>
      </c>
      <c r="AQ690" s="3" t="s">
        <v>386</v>
      </c>
      <c r="AR690" s="3" t="s">
        <v>288</v>
      </c>
      <c r="AS690" s="3" t="s">
        <v>189</v>
      </c>
      <c r="AT690" s="3" t="s">
        <v>244</v>
      </c>
      <c r="AU690" s="3" t="s">
        <v>244</v>
      </c>
      <c r="AV690" s="3" t="s">
        <v>288</v>
      </c>
      <c r="AW690" s="3" t="s">
        <v>339</v>
      </c>
      <c r="AX690" s="3" t="s">
        <v>341</v>
      </c>
      <c r="AY690" s="3" t="s">
        <v>247</v>
      </c>
    </row>
    <row r="691" spans="1:52" ht="15.75" customHeight="1">
      <c r="A691" s="3">
        <v>561</v>
      </c>
      <c r="B691" s="5" t="str">
        <f t="shared" si="0"/>
        <v>http://roarmap.eprints.org/561/</v>
      </c>
      <c r="C691" s="3">
        <v>3</v>
      </c>
      <c r="D691" s="3" t="s">
        <v>98</v>
      </c>
      <c r="E691" s="3">
        <v>1</v>
      </c>
      <c r="F691" s="3" t="s">
        <v>2494</v>
      </c>
      <c r="G691" s="3">
        <v>41988.924143518518</v>
      </c>
      <c r="H691" s="3">
        <v>41988.924143518518</v>
      </c>
      <c r="I691" s="3">
        <v>41988.924143518518</v>
      </c>
      <c r="J691" s="3" t="s">
        <v>103</v>
      </c>
      <c r="K691" s="3" t="s">
        <v>105</v>
      </c>
      <c r="L691" s="3" t="s">
        <v>2495</v>
      </c>
      <c r="M691" s="3" t="s">
        <v>374</v>
      </c>
      <c r="N691" s="3" t="s">
        <v>2467</v>
      </c>
      <c r="P691" s="3" t="s">
        <v>215</v>
      </c>
      <c r="Q691" t="str">
        <f t="shared" si="43"/>
        <v>http://roarmap.eprints.org/view/country/840.html</v>
      </c>
      <c r="R691" s="3">
        <v>840</v>
      </c>
      <c r="S691" s="6" t="s">
        <v>359</v>
      </c>
      <c r="T691" s="9">
        <v>840</v>
      </c>
      <c r="U691" s="7" t="s">
        <v>2518</v>
      </c>
      <c r="V691" s="6" t="s">
        <v>66</v>
      </c>
      <c r="W691" s="3" t="s">
        <v>158</v>
      </c>
      <c r="X691" s="3" t="s">
        <v>160</v>
      </c>
      <c r="Y691" s="3" t="s">
        <v>2495</v>
      </c>
      <c r="Z691" s="8" t="str">
        <f>HYPERLINK("http://www.wellesley.edu/","http://www.wellesley.edu/")</f>
        <v>http://www.wellesley.edu/</v>
      </c>
      <c r="AA691" s="8" t="str">
        <f>HYPERLINK("http://www.wellesley.edu/sites/default/files/assets/departments/provost/files/openaccesspolicy2.13.13.pdf","http://www.wellesley.edu/sites/default/files/assets/departments/provost/files/openaccesspolicy2.13.13.pdf")</f>
        <v>http://www.wellesley.edu/sites/default/files/assets/departments/provost/files/openaccesspolicy2.13.13.pdf</v>
      </c>
      <c r="AB691" s="8" t="str">
        <f>HYPERLINK("http://repository.wellesley.edu/","http://repository.wellesley.edu/")</f>
        <v>http://repository.wellesley.edu/</v>
      </c>
      <c r="AC691" s="3">
        <v>41311</v>
      </c>
      <c r="AF691" s="3" t="s">
        <v>478</v>
      </c>
      <c r="AG691" s="3" t="s">
        <v>178</v>
      </c>
      <c r="AH691" s="3" t="s">
        <v>180</v>
      </c>
      <c r="AI691" s="3" t="s">
        <v>392</v>
      </c>
      <c r="AJ691" s="3" t="s">
        <v>182</v>
      </c>
      <c r="AK691" s="3" t="s">
        <v>393</v>
      </c>
      <c r="AL691" s="3" t="s">
        <v>189</v>
      </c>
      <c r="AM691" s="3" t="s">
        <v>479</v>
      </c>
      <c r="AN691" s="3" t="s">
        <v>189</v>
      </c>
      <c r="AO691" s="3" t="s">
        <v>247</v>
      </c>
      <c r="AP691" s="3" t="s">
        <v>244</v>
      </c>
      <c r="AQ691" s="3" t="s">
        <v>386</v>
      </c>
      <c r="AR691" s="3" t="s">
        <v>288</v>
      </c>
      <c r="AS691" s="3" t="s">
        <v>189</v>
      </c>
      <c r="AT691" s="3" t="s">
        <v>244</v>
      </c>
      <c r="AU691" s="3" t="s">
        <v>244</v>
      </c>
      <c r="AV691" s="3" t="s">
        <v>288</v>
      </c>
      <c r="AW691" s="3" t="s">
        <v>339</v>
      </c>
      <c r="AX691" s="3" t="s">
        <v>244</v>
      </c>
      <c r="AY691" s="3" t="s">
        <v>247</v>
      </c>
    </row>
    <row r="692" spans="1:52" ht="15.75" customHeight="1">
      <c r="A692" s="3">
        <v>562</v>
      </c>
      <c r="B692" s="5" t="str">
        <f t="shared" si="0"/>
        <v>http://roarmap.eprints.org/562/</v>
      </c>
      <c r="C692" s="3">
        <v>3</v>
      </c>
      <c r="D692" s="3" t="s">
        <v>98</v>
      </c>
      <c r="E692" s="3">
        <v>1</v>
      </c>
      <c r="F692" s="3" t="s">
        <v>2496</v>
      </c>
      <c r="G692" s="3">
        <v>41988.924155092594</v>
      </c>
      <c r="H692" s="3">
        <v>41988.924155092594</v>
      </c>
      <c r="I692" s="3">
        <v>41988.924155092594</v>
      </c>
      <c r="J692" s="3" t="s">
        <v>103</v>
      </c>
      <c r="K692" s="3" t="s">
        <v>105</v>
      </c>
      <c r="L692" s="3" t="s">
        <v>2497</v>
      </c>
      <c r="M692" s="3" t="s">
        <v>352</v>
      </c>
      <c r="N692" s="3" t="s">
        <v>2498</v>
      </c>
      <c r="P692" s="3" t="s">
        <v>215</v>
      </c>
      <c r="Q692" t="str">
        <f t="shared" si="43"/>
        <v>http://roarmap.eprints.org/view/country/840.html</v>
      </c>
      <c r="R692" s="3">
        <v>840</v>
      </c>
      <c r="S692" s="6" t="s">
        <v>359</v>
      </c>
      <c r="T692" s="9">
        <v>840</v>
      </c>
      <c r="U692" s="7" t="s">
        <v>2518</v>
      </c>
      <c r="V692" s="6" t="s">
        <v>66</v>
      </c>
      <c r="W692" s="3" t="s">
        <v>158</v>
      </c>
      <c r="X692" s="3" t="s">
        <v>384</v>
      </c>
      <c r="Y692" s="3" t="s">
        <v>2497</v>
      </c>
      <c r="Z692" s="8" t="str">
        <f>HYPERLINK("http://www.wvu.edu/","http://www.wvu.edu/")</f>
        <v>http://www.wvu.edu/</v>
      </c>
      <c r="AA692" s="8" t="str">
        <f>HYPERLINK("http://www.wvu.edu/~thesis/News/ETDpolicysummary.pdf","http://www.wvu.edu/~thesis/News/ETDpolicysummary.pdf")</f>
        <v>http://www.wvu.edu/~thesis/News/ETDpolicysummary.pdf</v>
      </c>
      <c r="AB692" s="8" t="str">
        <f>HYPERLINK("http://wvuscholar.wvu.edu:8881/R?RN=17903662","http://wvuscholar.wvu.edu:8881/R?RN=17903662")</f>
        <v>http://wvuscholar.wvu.edu:8881/R?RN=17903662</v>
      </c>
      <c r="AC692" s="3">
        <v>35796</v>
      </c>
      <c r="AF692" s="3" t="s">
        <v>244</v>
      </c>
      <c r="AG692" s="3" t="s">
        <v>178</v>
      </c>
      <c r="AH692" s="3" t="s">
        <v>180</v>
      </c>
      <c r="AI692" s="3" t="s">
        <v>244</v>
      </c>
      <c r="AJ692" s="3" t="s">
        <v>385</v>
      </c>
      <c r="AK692" s="3" t="s">
        <v>244</v>
      </c>
      <c r="AL692" s="3" t="s">
        <v>189</v>
      </c>
      <c r="AM692" s="3" t="s">
        <v>479</v>
      </c>
      <c r="AN692" s="3" t="s">
        <v>189</v>
      </c>
      <c r="AO692" s="3" t="s">
        <v>247</v>
      </c>
      <c r="AP692" s="3" t="s">
        <v>244</v>
      </c>
      <c r="AQ692" s="3" t="s">
        <v>386</v>
      </c>
      <c r="AR692" s="3" t="s">
        <v>288</v>
      </c>
      <c r="AS692" s="3" t="s">
        <v>189</v>
      </c>
      <c r="AT692" s="3" t="s">
        <v>244</v>
      </c>
      <c r="AU692" s="3" t="s">
        <v>244</v>
      </c>
      <c r="AV692" s="3" t="s">
        <v>288</v>
      </c>
      <c r="AW692" s="3" t="s">
        <v>339</v>
      </c>
      <c r="AX692" s="3" t="s">
        <v>244</v>
      </c>
      <c r="AY692" s="3" t="s">
        <v>247</v>
      </c>
    </row>
    <row r="693" spans="1:52" ht="15.75" customHeight="1">
      <c r="A693" s="3">
        <v>563</v>
      </c>
      <c r="B693" s="5" t="str">
        <f t="shared" si="0"/>
        <v>http://roarmap.eprints.org/563/</v>
      </c>
      <c r="C693" s="3">
        <v>3</v>
      </c>
      <c r="D693" s="3" t="s">
        <v>98</v>
      </c>
      <c r="E693" s="3">
        <v>1</v>
      </c>
      <c r="F693" s="3" t="s">
        <v>2499</v>
      </c>
      <c r="G693" s="3">
        <v>41988.924155092594</v>
      </c>
      <c r="H693" s="3">
        <v>41988.924155092594</v>
      </c>
      <c r="I693" s="3">
        <v>41988.924155092594</v>
      </c>
      <c r="J693" s="3" t="s">
        <v>103</v>
      </c>
      <c r="K693" s="3" t="s">
        <v>105</v>
      </c>
      <c r="L693" s="3" t="s">
        <v>2500</v>
      </c>
      <c r="M693" s="3" t="s">
        <v>352</v>
      </c>
      <c r="N693" s="3" t="s">
        <v>2501</v>
      </c>
      <c r="P693" s="3" t="s">
        <v>215</v>
      </c>
      <c r="Q693" t="str">
        <f t="shared" si="43"/>
        <v>http://roarmap.eprints.org/view/country/840.html</v>
      </c>
      <c r="R693" s="3">
        <v>840</v>
      </c>
      <c r="S693" s="6" t="s">
        <v>359</v>
      </c>
      <c r="T693" s="9">
        <v>840</v>
      </c>
      <c r="U693" s="7" t="s">
        <v>2518</v>
      </c>
      <c r="V693" s="6" t="s">
        <v>66</v>
      </c>
      <c r="W693" s="3" t="s">
        <v>158</v>
      </c>
      <c r="X693" s="3" t="s">
        <v>384</v>
      </c>
      <c r="Y693" s="3" t="s">
        <v>2500</v>
      </c>
      <c r="Z693" s="8" t="str">
        <f>HYPERLINK("http://www.wichita.edu/thisis/","http://www.wichita.edu/thisis/")</f>
        <v>http://www.wichita.edu/thisis/</v>
      </c>
      <c r="AA693" s="8" t="str">
        <f>HYPERLINK("http://webs.wichita.edu/depttools/depttoolsmemberfiles/gradschool/ThesisDissertationManual.pdf","http://webs.wichita.edu/depttools/depttoolsmemberfiles/gradschool/ThesisDissertationManual.pdf")</f>
        <v>http://webs.wichita.edu/depttools/depttoolsmemberfiles/gradschool/ThesisDissertationManual.pdf</v>
      </c>
      <c r="AB693" s="8" t="str">
        <f>HYPERLINK("http://soar.wichita.edu/","http://soar.wichita.edu/")</f>
        <v>http://soar.wichita.edu/</v>
      </c>
      <c r="AF693" s="3" t="s">
        <v>244</v>
      </c>
      <c r="AG693" s="3" t="s">
        <v>244</v>
      </c>
      <c r="AH693" s="3" t="s">
        <v>244</v>
      </c>
      <c r="AI693" s="3" t="s">
        <v>244</v>
      </c>
      <c r="AJ693" s="3" t="s">
        <v>385</v>
      </c>
      <c r="AK693" s="3" t="s">
        <v>183</v>
      </c>
      <c r="AL693" s="3" t="s">
        <v>244</v>
      </c>
      <c r="AM693" s="3" t="s">
        <v>247</v>
      </c>
      <c r="AN693" s="3" t="s">
        <v>244</v>
      </c>
      <c r="AO693" s="3" t="s">
        <v>247</v>
      </c>
      <c r="AP693" s="3" t="s">
        <v>244</v>
      </c>
      <c r="AQ693" s="3" t="s">
        <v>386</v>
      </c>
      <c r="AR693" s="3" t="s">
        <v>288</v>
      </c>
      <c r="AS693" s="3" t="s">
        <v>288</v>
      </c>
      <c r="AT693" s="3" t="s">
        <v>395</v>
      </c>
      <c r="AU693" s="3" t="s">
        <v>395</v>
      </c>
      <c r="AV693" s="3" t="s">
        <v>244</v>
      </c>
      <c r="AW693" s="3" t="s">
        <v>339</v>
      </c>
      <c r="AX693" s="3" t="s">
        <v>244</v>
      </c>
      <c r="AY693" s="3" t="s">
        <v>247</v>
      </c>
    </row>
    <row r="694" spans="1:52" ht="15.75" customHeight="1">
      <c r="A694" s="3">
        <v>720</v>
      </c>
      <c r="B694" s="5" t="str">
        <f t="shared" si="0"/>
        <v>http://roarmap.eprints.org/720/</v>
      </c>
      <c r="C694" s="3">
        <v>6</v>
      </c>
      <c r="D694" s="3" t="s">
        <v>98</v>
      </c>
      <c r="E694" s="3">
        <v>606</v>
      </c>
      <c r="F694" s="3" t="s">
        <v>2502</v>
      </c>
      <c r="G694" s="3">
        <v>42093.649756944447</v>
      </c>
      <c r="H694" s="3">
        <v>42108.64472222222</v>
      </c>
      <c r="I694" s="3">
        <v>42093.649756944447</v>
      </c>
      <c r="J694" s="3" t="s">
        <v>103</v>
      </c>
      <c r="K694" s="3" t="s">
        <v>105</v>
      </c>
      <c r="L694" s="3" t="s">
        <v>2503</v>
      </c>
      <c r="P694" s="3" t="s">
        <v>215</v>
      </c>
      <c r="Q694" t="str">
        <f t="shared" si="43"/>
        <v>http://roarmap.eprints.org/view/country/840.html</v>
      </c>
      <c r="R694" s="3">
        <v>840</v>
      </c>
      <c r="S694" s="6" t="s">
        <v>359</v>
      </c>
      <c r="T694" s="9">
        <v>840</v>
      </c>
      <c r="U694" s="7" t="s">
        <v>2518</v>
      </c>
      <c r="V694" s="6" t="s">
        <v>66</v>
      </c>
      <c r="W694" s="3" t="s">
        <v>158</v>
      </c>
      <c r="X694" s="3" t="s">
        <v>364</v>
      </c>
      <c r="Y694" s="3" t="s">
        <v>2503</v>
      </c>
      <c r="Z694" s="8" t="str">
        <f>HYPERLINK("https://wikimediafoundation.org","https://wikimediafoundation.org")</f>
        <v>https://wikimediafoundation.org</v>
      </c>
      <c r="AA694" s="8" t="str">
        <f>HYPERLINK("https://wikimediafoundation.org/wiki/Open_access_policy","https://wikimediafoundation.org/wiki/Open_access_policy")</f>
        <v>https://wikimediafoundation.org/wiki/Open_access_policy</v>
      </c>
      <c r="AC694" s="3">
        <v>42081</v>
      </c>
      <c r="AD694" s="3">
        <v>42081</v>
      </c>
      <c r="AF694" s="3" t="s">
        <v>177</v>
      </c>
      <c r="AG694" s="3" t="s">
        <v>178</v>
      </c>
      <c r="AH694" s="3" t="s">
        <v>370</v>
      </c>
      <c r="AI694" s="3" t="s">
        <v>392</v>
      </c>
      <c r="AJ694" s="3" t="s">
        <v>182</v>
      </c>
      <c r="AK694" s="3" t="s">
        <v>393</v>
      </c>
      <c r="AL694" s="3" t="s">
        <v>189</v>
      </c>
      <c r="AM694" s="3" t="s">
        <v>178</v>
      </c>
      <c r="AN694" s="3" t="s">
        <v>189</v>
      </c>
      <c r="AO694" s="3" t="s">
        <v>392</v>
      </c>
      <c r="AP694" s="3" t="s">
        <v>244</v>
      </c>
      <c r="AQ694" s="3" t="s">
        <v>394</v>
      </c>
      <c r="AR694" s="3" t="s">
        <v>189</v>
      </c>
      <c r="AS694" s="3" t="s">
        <v>189</v>
      </c>
      <c r="AT694" s="3" t="s">
        <v>244</v>
      </c>
      <c r="AU694" s="3" t="s">
        <v>244</v>
      </c>
      <c r="AV694" s="3" t="s">
        <v>244</v>
      </c>
      <c r="AW694" s="3" t="s">
        <v>908</v>
      </c>
      <c r="AX694" s="3" t="s">
        <v>442</v>
      </c>
      <c r="AY694" s="3" t="s">
        <v>371</v>
      </c>
    </row>
    <row r="695" spans="1:52" ht="15.75" customHeight="1">
      <c r="A695" s="3">
        <v>631</v>
      </c>
      <c r="B695" s="5" t="str">
        <f t="shared" si="0"/>
        <v>http://roarmap.eprints.org/631/</v>
      </c>
      <c r="C695" s="3">
        <v>3</v>
      </c>
      <c r="D695" s="3" t="s">
        <v>98</v>
      </c>
      <c r="E695" s="3">
        <v>1</v>
      </c>
      <c r="F695" s="3" t="s">
        <v>2504</v>
      </c>
      <c r="G695" s="3">
        <v>41988.924259259256</v>
      </c>
      <c r="H695" s="3">
        <v>41988.924259259256</v>
      </c>
      <c r="I695" s="3">
        <v>41988.924259259256</v>
      </c>
      <c r="J695" s="3" t="s">
        <v>103</v>
      </c>
      <c r="K695" s="3" t="s">
        <v>105</v>
      </c>
      <c r="L695" s="3" t="s">
        <v>2505</v>
      </c>
      <c r="M695" s="3" t="s">
        <v>374</v>
      </c>
      <c r="N695" s="3" t="s">
        <v>620</v>
      </c>
      <c r="O695" s="3" t="s">
        <v>2506</v>
      </c>
      <c r="P695" s="3" t="s">
        <v>215</v>
      </c>
      <c r="Q695" t="str">
        <f t="shared" si="43"/>
        <v>http://roarmap.eprints.org/view/country/862.html</v>
      </c>
      <c r="R695" s="3">
        <v>862</v>
      </c>
      <c r="S695" s="6" t="s">
        <v>365</v>
      </c>
      <c r="T695" s="9">
        <v>862</v>
      </c>
      <c r="U695" s="7" t="s">
        <v>2517</v>
      </c>
      <c r="V695" s="6" t="s">
        <v>53</v>
      </c>
      <c r="W695" s="3" t="s">
        <v>158</v>
      </c>
      <c r="X695" s="3" t="s">
        <v>160</v>
      </c>
      <c r="Y695" s="3" t="s">
        <v>2505</v>
      </c>
      <c r="Z695" s="8" t="str">
        <f>HYPERLINK("http://www.ula.ve/","http://www.ula.ve/")</f>
        <v>http://www.ula.ve/</v>
      </c>
      <c r="AA695" s="8" t="str">
        <f>HYPERLINK("http://www.cca.ula.ve/documentos/ResolucionCU0580del030308.pdf","http://www.cca.ula.ve/documentos/ResolucionCU0580del030308.pdf")</f>
        <v>http://www.cca.ula.ve/documentos/ResolucionCU0580del030308.pdf</v>
      </c>
      <c r="AB695" s="8" t="str">
        <f>HYPERLINK("http://www.saber.ula.ve/","http://www.saber.ula.ve/")</f>
        <v>http://www.saber.ula.ve/</v>
      </c>
      <c r="AC695" s="3">
        <v>39510</v>
      </c>
      <c r="AF695" s="3" t="s">
        <v>177</v>
      </c>
      <c r="AG695" s="3" t="s">
        <v>178</v>
      </c>
      <c r="AH695" s="3" t="s">
        <v>180</v>
      </c>
      <c r="AI695" s="3" t="s">
        <v>244</v>
      </c>
      <c r="AJ695" s="3" t="s">
        <v>182</v>
      </c>
      <c r="AK695" s="3" t="s">
        <v>244</v>
      </c>
      <c r="AL695" s="3" t="s">
        <v>244</v>
      </c>
      <c r="AM695" s="3" t="s">
        <v>178</v>
      </c>
      <c r="AN695" s="3" t="s">
        <v>244</v>
      </c>
      <c r="AO695" s="3" t="s">
        <v>621</v>
      </c>
      <c r="AP695" s="3" t="s">
        <v>185</v>
      </c>
      <c r="AQ695" s="3" t="s">
        <v>247</v>
      </c>
      <c r="AR695" s="3" t="s">
        <v>288</v>
      </c>
      <c r="AS695" s="3" t="s">
        <v>189</v>
      </c>
      <c r="AT695" s="3" t="s">
        <v>244</v>
      </c>
      <c r="AU695" s="3" t="s">
        <v>244</v>
      </c>
      <c r="AV695" s="3" t="s">
        <v>288</v>
      </c>
      <c r="AW695" s="3" t="s">
        <v>339</v>
      </c>
      <c r="AX695" s="3" t="s">
        <v>244</v>
      </c>
      <c r="AY695" s="3" t="s">
        <v>247</v>
      </c>
    </row>
    <row r="696" spans="1:52" ht="15.75" customHeight="1">
      <c r="A696" s="3">
        <v>632</v>
      </c>
      <c r="B696" s="5" t="str">
        <f t="shared" si="0"/>
        <v>http://roarmap.eprints.org/632/</v>
      </c>
      <c r="C696" s="3">
        <v>4</v>
      </c>
      <c r="D696" s="3" t="s">
        <v>98</v>
      </c>
      <c r="E696" s="3">
        <v>365</v>
      </c>
      <c r="F696" s="3" t="s">
        <v>2507</v>
      </c>
      <c r="G696" s="3">
        <v>41988.924259259256</v>
      </c>
      <c r="H696" s="3">
        <v>42046.981759259259</v>
      </c>
      <c r="I696" s="3">
        <v>41988.924259259256</v>
      </c>
      <c r="J696" s="3" t="s">
        <v>103</v>
      </c>
      <c r="K696" s="3" t="s">
        <v>105</v>
      </c>
      <c r="L696" s="3" t="s">
        <v>2508</v>
      </c>
      <c r="M696" s="3" t="s">
        <v>352</v>
      </c>
      <c r="N696" s="3" t="s">
        <v>398</v>
      </c>
      <c r="P696" s="3" t="s">
        <v>215</v>
      </c>
      <c r="Q696" t="str">
        <f t="shared" si="43"/>
        <v>http://roarmap.eprints.org/view/country/862.html</v>
      </c>
      <c r="R696" s="3">
        <v>862</v>
      </c>
      <c r="S696" s="6" t="s">
        <v>365</v>
      </c>
      <c r="T696" s="9">
        <v>862</v>
      </c>
      <c r="U696" s="7" t="s">
        <v>2517</v>
      </c>
      <c r="V696" s="6" t="s">
        <v>53</v>
      </c>
      <c r="W696" s="3" t="s">
        <v>158</v>
      </c>
      <c r="X696" s="3" t="s">
        <v>160</v>
      </c>
      <c r="Y696" s="3" t="s">
        <v>2508</v>
      </c>
      <c r="Z696" s="8" t="str">
        <f>HYPERLINK("http://www.udo.edu.ve/","http://www.udo.edu.ve/")</f>
        <v>http://www.udo.edu.ve/</v>
      </c>
      <c r="AB696" s="8" t="str">
        <f>HYPERLINK("http://ri.biblioteca.udo.edu.ve/","http://ri.biblioteca.udo.edu.ve/")</f>
        <v>http://ri.biblioteca.udo.edu.ve/</v>
      </c>
      <c r="AG696" s="3" t="s">
        <v>244</v>
      </c>
      <c r="AH696" s="3" t="s">
        <v>244</v>
      </c>
      <c r="AI696" s="3" t="s">
        <v>244</v>
      </c>
      <c r="AJ696" s="3" t="s">
        <v>244</v>
      </c>
      <c r="AK696" s="3" t="s">
        <v>244</v>
      </c>
      <c r="AL696" s="3" t="s">
        <v>244</v>
      </c>
      <c r="AM696" s="3" t="s">
        <v>247</v>
      </c>
      <c r="AN696" s="3" t="s">
        <v>244</v>
      </c>
      <c r="AO696" s="3" t="s">
        <v>247</v>
      </c>
      <c r="AP696" s="3" t="s">
        <v>244</v>
      </c>
      <c r="AQ696" s="3" t="s">
        <v>247</v>
      </c>
      <c r="AR696" s="3" t="s">
        <v>288</v>
      </c>
      <c r="AS696" s="3" t="s">
        <v>244</v>
      </c>
      <c r="AT696" s="3" t="s">
        <v>244</v>
      </c>
      <c r="AU696" s="3" t="s">
        <v>244</v>
      </c>
      <c r="AV696" s="3" t="s">
        <v>288</v>
      </c>
      <c r="AW696" s="3" t="s">
        <v>244</v>
      </c>
      <c r="AX696" s="3" t="s">
        <v>244</v>
      </c>
      <c r="AY696" s="3" t="s">
        <v>247</v>
      </c>
    </row>
    <row r="697" spans="1:52" ht="15.75" customHeight="1">
      <c r="A697" s="3">
        <v>705</v>
      </c>
      <c r="B697" s="5" t="str">
        <f t="shared" si="0"/>
        <v>http://roarmap.eprints.org/705/</v>
      </c>
      <c r="C697" s="3">
        <v>5</v>
      </c>
      <c r="D697" s="3" t="s">
        <v>98</v>
      </c>
      <c r="E697" s="3">
        <v>443</v>
      </c>
      <c r="F697" s="3" t="s">
        <v>2509</v>
      </c>
      <c r="G697" s="3">
        <v>42093.547523148147</v>
      </c>
      <c r="H697" s="3">
        <v>42093.547523148147</v>
      </c>
      <c r="I697" s="3">
        <v>42093.547523148147</v>
      </c>
      <c r="J697" s="3" t="s">
        <v>103</v>
      </c>
      <c r="K697" s="3" t="s">
        <v>105</v>
      </c>
      <c r="L697" s="3" t="s">
        <v>2510</v>
      </c>
      <c r="Q697" t="str">
        <f t="shared" si="43"/>
        <v>http://roarmap.eprints.org/view/country/862.html</v>
      </c>
      <c r="R697" s="3">
        <v>862</v>
      </c>
      <c r="S697" s="6" t="s">
        <v>365</v>
      </c>
      <c r="T697" s="9">
        <v>862</v>
      </c>
      <c r="U697" s="7" t="s">
        <v>2517</v>
      </c>
      <c r="V697" s="6" t="s">
        <v>53</v>
      </c>
      <c r="W697" s="3" t="s">
        <v>158</v>
      </c>
      <c r="X697" s="3" t="s">
        <v>160</v>
      </c>
      <c r="Y697" s="3" t="s">
        <v>2510</v>
      </c>
      <c r="Z697" s="8" t="str">
        <f>HYPERLINK("http://www.luz.edu.ve/","http://www.luz.edu.ve/")</f>
        <v>http://www.luz.edu.ve/</v>
      </c>
      <c r="AA697" s="8" t="str">
        <f>HYPERLINK("http://www.serbi.luz.edu.ve/index.php/politica-de-acceso-abierto","http://www.serbi.luz.edu.ve/index.php/politica-de-acceso-abierto")</f>
        <v>http://www.serbi.luz.edu.ve/index.php/politica-de-acceso-abierto</v>
      </c>
      <c r="AB697" s="8" t="str">
        <f>HYPERLINK("http://repositorio.luz.edu.ve/","http://repositorio.luz.edu.ve/")</f>
        <v>http://repositorio.luz.edu.ve/</v>
      </c>
      <c r="AC697" s="3">
        <v>41180</v>
      </c>
      <c r="AE697" s="3">
        <v>41974</v>
      </c>
      <c r="AF697" s="3" t="s">
        <v>177</v>
      </c>
      <c r="AG697" s="3" t="s">
        <v>178</v>
      </c>
      <c r="AH697" s="3" t="s">
        <v>180</v>
      </c>
      <c r="AI697" s="3" t="s">
        <v>244</v>
      </c>
      <c r="AJ697" s="3" t="s">
        <v>182</v>
      </c>
      <c r="AK697" s="3" t="s">
        <v>244</v>
      </c>
      <c r="AL697" s="3" t="s">
        <v>244</v>
      </c>
      <c r="AM697" s="3" t="s">
        <v>178</v>
      </c>
      <c r="AN697" s="3" t="s">
        <v>244</v>
      </c>
      <c r="AO697" s="3" t="s">
        <v>621</v>
      </c>
      <c r="AP697" s="3" t="s">
        <v>244</v>
      </c>
      <c r="AQ697" s="3" t="s">
        <v>648</v>
      </c>
      <c r="AR697" s="3" t="s">
        <v>288</v>
      </c>
      <c r="AS697" s="3" t="s">
        <v>288</v>
      </c>
      <c r="AT697" s="3" t="s">
        <v>244</v>
      </c>
      <c r="AU697" s="3" t="s">
        <v>244</v>
      </c>
      <c r="AV697" s="3" t="s">
        <v>288</v>
      </c>
      <c r="AW697" s="3" t="s">
        <v>244</v>
      </c>
      <c r="AX697" s="3" t="s">
        <v>341</v>
      </c>
      <c r="AY697" s="3" t="s">
        <v>371</v>
      </c>
    </row>
    <row r="698" spans="1:52" ht="15.75" customHeight="1">
      <c r="A698" s="3">
        <v>47</v>
      </c>
      <c r="B698" s="5" t="str">
        <f t="shared" si="0"/>
        <v>http://roarmap.eprints.org/47/</v>
      </c>
      <c r="C698" s="3">
        <v>4</v>
      </c>
      <c r="D698" s="3" t="s">
        <v>98</v>
      </c>
      <c r="E698" s="3">
        <v>1</v>
      </c>
      <c r="F698" s="3" t="s">
        <v>2511</v>
      </c>
      <c r="G698" s="3">
        <v>41988.923136574071</v>
      </c>
      <c r="H698" s="3">
        <v>42066.897326388891</v>
      </c>
      <c r="I698" s="3">
        <v>41988.923136574071</v>
      </c>
      <c r="J698" s="3" t="s">
        <v>103</v>
      </c>
      <c r="K698" s="3" t="s">
        <v>105</v>
      </c>
      <c r="L698" s="3" t="s">
        <v>2512</v>
      </c>
      <c r="M698" s="3" t="s">
        <v>637</v>
      </c>
      <c r="N698" s="3" t="s">
        <v>2513</v>
      </c>
      <c r="O698" s="3" t="s">
        <v>2514</v>
      </c>
      <c r="P698" s="3" t="s">
        <v>215</v>
      </c>
      <c r="Q698" t="str">
        <f t="shared" si="43"/>
        <v>http://roarmap.eprints.org/view/country/taiwan.html</v>
      </c>
      <c r="R698" s="3" t="s">
        <v>391</v>
      </c>
      <c r="S698" s="3" t="s">
        <v>2515</v>
      </c>
      <c r="T698" s="9" t="s">
        <v>391</v>
      </c>
      <c r="U698" s="7" t="s">
        <v>118</v>
      </c>
      <c r="V698" s="6" t="s">
        <v>70</v>
      </c>
      <c r="W698" s="3" t="s">
        <v>158</v>
      </c>
      <c r="X698" s="3" t="s">
        <v>160</v>
      </c>
      <c r="Y698" s="3" t="s">
        <v>2512</v>
      </c>
      <c r="Z698" s="8" t="str">
        <f>HYPERLINK("http://www.nchu.edu.tw/en-index.php","http://www.nchu.edu.tw/en-index.php")</f>
        <v>http://www.nchu.edu.tw/en-index.php</v>
      </c>
      <c r="AB698" s="8" t="str">
        <f>HYPERLINK("http://nchuir.lib.nchu.edu.tw/?locale=en-US","http://nchuir.lib.nchu.edu.tw/?locale=en-US")</f>
        <v>http://nchuir.lib.nchu.edu.tw/?locale=en-US</v>
      </c>
      <c r="AF698" s="3" t="s">
        <v>371</v>
      </c>
      <c r="AG698" s="3" t="s">
        <v>178</v>
      </c>
      <c r="AH698" s="3" t="s">
        <v>180</v>
      </c>
      <c r="AI698" s="3" t="s">
        <v>187</v>
      </c>
      <c r="AJ698" s="3" t="s">
        <v>385</v>
      </c>
      <c r="AK698" s="3" t="s">
        <v>244</v>
      </c>
      <c r="AL698" s="3" t="s">
        <v>244</v>
      </c>
      <c r="AM698" s="3" t="s">
        <v>247</v>
      </c>
      <c r="AN698" s="3" t="s">
        <v>244</v>
      </c>
      <c r="AO698" s="3" t="s">
        <v>247</v>
      </c>
      <c r="AP698" s="3" t="s">
        <v>244</v>
      </c>
      <c r="AQ698" s="3" t="s">
        <v>386</v>
      </c>
      <c r="AR698" s="3" t="s">
        <v>288</v>
      </c>
      <c r="AS698" s="3" t="s">
        <v>288</v>
      </c>
      <c r="AT698" s="3" t="s">
        <v>244</v>
      </c>
      <c r="AU698" s="3" t="s">
        <v>244</v>
      </c>
      <c r="AV698" s="3" t="s">
        <v>288</v>
      </c>
      <c r="AW698" s="3" t="s">
        <v>371</v>
      </c>
      <c r="AX698" s="3" t="s">
        <v>244</v>
      </c>
      <c r="AY698" s="3" t="s">
        <v>247</v>
      </c>
    </row>
    <row r="699" spans="1:52" ht="15.75" customHeight="1">
      <c r="B699" s="3"/>
    </row>
    <row r="700" spans="1:52" ht="15.75" customHeight="1">
      <c r="B700" s="3"/>
    </row>
    <row r="701" spans="1:52" ht="15.75" customHeight="1">
      <c r="B701" s="3"/>
    </row>
    <row r="702" spans="1:52" ht="15.75" customHeight="1">
      <c r="B702" s="3"/>
    </row>
    <row r="703" spans="1:52" ht="15.75" customHeight="1">
      <c r="B703" s="3"/>
    </row>
    <row r="704" spans="1:52" ht="15.75" customHeight="1">
      <c r="B704" s="3"/>
    </row>
    <row r="705" spans="2:2" ht="15.75" customHeight="1">
      <c r="B705" s="3"/>
    </row>
    <row r="706" spans="2:2" ht="15.75" customHeight="1">
      <c r="B706" s="3"/>
    </row>
    <row r="707" spans="2:2" ht="15.75" customHeight="1">
      <c r="B707" s="3"/>
    </row>
    <row r="708" spans="2:2" ht="15.75" customHeight="1">
      <c r="B708" s="3"/>
    </row>
    <row r="709" spans="2:2" ht="15.75" customHeight="1">
      <c r="B709" s="3"/>
    </row>
    <row r="710" spans="2:2" ht="15.75" customHeight="1">
      <c r="B710" s="3"/>
    </row>
    <row r="711" spans="2:2" ht="15.75" customHeight="1">
      <c r="B711" s="3"/>
    </row>
    <row r="712" spans="2:2" ht="15.75" customHeight="1">
      <c r="B712" s="3"/>
    </row>
    <row r="713" spans="2:2" ht="15.75" customHeight="1">
      <c r="B713" s="3"/>
    </row>
    <row r="714" spans="2:2" ht="15.75" customHeight="1">
      <c r="B714" s="3"/>
    </row>
    <row r="715" spans="2:2" ht="15.75" customHeight="1">
      <c r="B715" s="3"/>
    </row>
    <row r="716" spans="2:2" ht="15.75" customHeight="1">
      <c r="B716" s="3"/>
    </row>
    <row r="717" spans="2:2" ht="15.75" customHeight="1">
      <c r="B717" s="3"/>
    </row>
    <row r="718" spans="2:2" ht="15.75" customHeight="1">
      <c r="B718" s="3"/>
    </row>
    <row r="719" spans="2:2" ht="15.75" customHeight="1">
      <c r="B719" s="3"/>
    </row>
    <row r="720" spans="2:2" ht="15.75" customHeight="1">
      <c r="B720" s="3"/>
    </row>
    <row r="721" spans="2:2" ht="15.75" customHeight="1">
      <c r="B721" s="3"/>
    </row>
    <row r="722" spans="2:2" ht="15.75" customHeight="1">
      <c r="B722" s="3"/>
    </row>
    <row r="723" spans="2:2" ht="15.75" customHeight="1">
      <c r="B723" s="3"/>
    </row>
    <row r="724" spans="2:2" ht="15.75" customHeight="1">
      <c r="B724" s="3"/>
    </row>
    <row r="725" spans="2:2" ht="15.75" customHeight="1">
      <c r="B725" s="3"/>
    </row>
    <row r="726" spans="2:2" ht="15.75" customHeight="1">
      <c r="B726" s="3"/>
    </row>
    <row r="727" spans="2:2" ht="15.75" customHeight="1">
      <c r="B727" s="3"/>
    </row>
    <row r="728" spans="2:2" ht="15.75" customHeight="1">
      <c r="B728" s="3"/>
    </row>
    <row r="729" spans="2:2" ht="15.75" customHeight="1">
      <c r="B729" s="3"/>
    </row>
    <row r="730" spans="2:2" ht="15.75" customHeight="1">
      <c r="B730" s="3"/>
    </row>
    <row r="731" spans="2:2" ht="15.75" customHeight="1">
      <c r="B731" s="3"/>
    </row>
    <row r="732" spans="2:2" ht="15.75" customHeight="1">
      <c r="B732" s="3"/>
    </row>
    <row r="733" spans="2:2" ht="15.75" customHeight="1">
      <c r="B733" s="3"/>
    </row>
    <row r="734" spans="2:2" ht="15.75" customHeight="1">
      <c r="B734" s="3"/>
    </row>
    <row r="735" spans="2:2" ht="15.75" customHeight="1">
      <c r="B735" s="3"/>
    </row>
    <row r="736" spans="2:2" ht="15.75" customHeight="1">
      <c r="B736" s="3"/>
    </row>
    <row r="737" spans="2:2" ht="15.75" customHeight="1">
      <c r="B737" s="3"/>
    </row>
    <row r="738" spans="2:2" ht="15.75" customHeight="1">
      <c r="B738" s="3"/>
    </row>
    <row r="739" spans="2:2" ht="15.75" customHeight="1">
      <c r="B739" s="3"/>
    </row>
    <row r="740" spans="2:2" ht="15.75" customHeight="1">
      <c r="B740" s="3"/>
    </row>
    <row r="741" spans="2:2" ht="15.75" customHeight="1">
      <c r="B741" s="3"/>
    </row>
    <row r="742" spans="2:2" ht="15.75" customHeight="1">
      <c r="B742" s="3"/>
    </row>
    <row r="743" spans="2:2" ht="15.75" customHeight="1">
      <c r="B743" s="3"/>
    </row>
    <row r="744" spans="2:2" ht="15.75" customHeight="1">
      <c r="B744" s="3"/>
    </row>
    <row r="745" spans="2:2" ht="15.75" customHeight="1">
      <c r="B745" s="3"/>
    </row>
    <row r="746" spans="2:2" ht="15.75" customHeight="1">
      <c r="B746" s="3"/>
    </row>
    <row r="747" spans="2:2" ht="15.75" customHeight="1">
      <c r="B747" s="3"/>
    </row>
    <row r="748" spans="2:2" ht="15.75" customHeight="1">
      <c r="B748" s="3"/>
    </row>
    <row r="749" spans="2:2" ht="15.75" customHeight="1">
      <c r="B749" s="3"/>
    </row>
    <row r="750" spans="2:2" ht="15.75" customHeight="1">
      <c r="B750" s="3"/>
    </row>
    <row r="751" spans="2:2" ht="15.75" customHeight="1">
      <c r="B751" s="3"/>
    </row>
    <row r="752" spans="2:2" ht="15.75" customHeight="1">
      <c r="B752" s="3"/>
    </row>
    <row r="753" spans="2:2" ht="15.75" customHeight="1">
      <c r="B753" s="3"/>
    </row>
    <row r="754" spans="2:2" ht="15.75" customHeight="1">
      <c r="B754" s="3"/>
    </row>
    <row r="755" spans="2:2" ht="15.75" customHeight="1">
      <c r="B755" s="3"/>
    </row>
    <row r="756" spans="2:2" ht="15.75" customHeight="1">
      <c r="B756" s="3"/>
    </row>
    <row r="757" spans="2:2" ht="15.75" customHeight="1">
      <c r="B757" s="3"/>
    </row>
    <row r="758" spans="2:2" ht="15.75" customHeight="1">
      <c r="B758" s="3"/>
    </row>
    <row r="759" spans="2:2" ht="15.75" customHeight="1">
      <c r="B759" s="3"/>
    </row>
    <row r="760" spans="2:2" ht="15.75" customHeight="1">
      <c r="B760" s="3"/>
    </row>
    <row r="761" spans="2:2" ht="15.75" customHeight="1">
      <c r="B761" s="3"/>
    </row>
    <row r="762" spans="2:2" ht="15.75" customHeight="1">
      <c r="B762" s="3"/>
    </row>
    <row r="763" spans="2:2" ht="15.75" customHeight="1">
      <c r="B763" s="3"/>
    </row>
    <row r="764" spans="2:2" ht="15.75" customHeight="1">
      <c r="B764" s="3"/>
    </row>
    <row r="765" spans="2:2" ht="15.75" customHeight="1">
      <c r="B765" s="3"/>
    </row>
    <row r="766" spans="2:2" ht="15.75" customHeight="1">
      <c r="B766" s="3"/>
    </row>
    <row r="767" spans="2:2" ht="15.75" customHeight="1">
      <c r="B767" s="3"/>
    </row>
    <row r="768" spans="2:2" ht="15.75" customHeight="1">
      <c r="B768" s="3"/>
    </row>
    <row r="769" spans="2:2" ht="15.75" customHeight="1">
      <c r="B769" s="3"/>
    </row>
    <row r="770" spans="2:2" ht="15.75" customHeight="1">
      <c r="B770" s="3"/>
    </row>
    <row r="771" spans="2:2" ht="15.75" customHeight="1">
      <c r="B771" s="3"/>
    </row>
    <row r="772" spans="2:2" ht="15.75" customHeight="1">
      <c r="B772" s="3"/>
    </row>
    <row r="773" spans="2:2" ht="15.75" customHeight="1">
      <c r="B773" s="3"/>
    </row>
    <row r="774" spans="2:2" ht="15.75" customHeight="1">
      <c r="B774" s="3"/>
    </row>
    <row r="775" spans="2:2" ht="15.75" customHeight="1">
      <c r="B775" s="3"/>
    </row>
    <row r="776" spans="2:2" ht="15.75" customHeight="1">
      <c r="B776" s="3"/>
    </row>
    <row r="777" spans="2:2" ht="15.75" customHeight="1">
      <c r="B777" s="3"/>
    </row>
    <row r="778" spans="2:2" ht="15.75" customHeight="1">
      <c r="B778" s="3"/>
    </row>
    <row r="779" spans="2:2" ht="15.75" customHeight="1">
      <c r="B779" s="3"/>
    </row>
    <row r="780" spans="2:2" ht="15.75" customHeight="1">
      <c r="B780" s="3"/>
    </row>
    <row r="781" spans="2:2" ht="15.75" customHeight="1">
      <c r="B781" s="3"/>
    </row>
    <row r="782" spans="2:2" ht="15.75" customHeight="1">
      <c r="B782" s="3"/>
    </row>
    <row r="783" spans="2:2" ht="15.75" customHeight="1">
      <c r="B783" s="3"/>
    </row>
    <row r="784" spans="2:2" ht="15.75" customHeight="1">
      <c r="B784" s="3"/>
    </row>
    <row r="785" spans="2:2" ht="15.75" customHeight="1">
      <c r="B785" s="3"/>
    </row>
    <row r="786" spans="2:2" ht="15.75" customHeight="1">
      <c r="B786" s="3"/>
    </row>
    <row r="787" spans="2:2" ht="15.75" customHeight="1">
      <c r="B787" s="3"/>
    </row>
    <row r="788" spans="2:2" ht="15.75" customHeight="1">
      <c r="B788" s="3"/>
    </row>
    <row r="789" spans="2:2" ht="15.75" customHeight="1">
      <c r="B789" s="3"/>
    </row>
    <row r="790" spans="2:2" ht="15.75" customHeight="1">
      <c r="B790" s="3"/>
    </row>
    <row r="791" spans="2:2" ht="15.75" customHeight="1">
      <c r="B791" s="3"/>
    </row>
    <row r="792" spans="2:2" ht="15.75" customHeight="1">
      <c r="B792" s="3"/>
    </row>
    <row r="793" spans="2:2" ht="15.75" customHeight="1">
      <c r="B793" s="3"/>
    </row>
    <row r="794" spans="2:2" ht="15.75" customHeight="1">
      <c r="B794" s="3"/>
    </row>
    <row r="795" spans="2:2" ht="15.75" customHeight="1">
      <c r="B795" s="3"/>
    </row>
    <row r="796" spans="2:2" ht="15.75" customHeight="1">
      <c r="B796" s="3"/>
    </row>
    <row r="797" spans="2:2" ht="15.75" customHeight="1">
      <c r="B797" s="3"/>
    </row>
    <row r="798" spans="2:2" ht="15.75" customHeight="1">
      <c r="B798" s="3"/>
    </row>
    <row r="799" spans="2:2" ht="15.75" customHeight="1">
      <c r="B799" s="3"/>
    </row>
    <row r="800" spans="2:2" ht="15.75" customHeight="1">
      <c r="B800" s="3"/>
    </row>
    <row r="801" spans="2:2" ht="15.75" customHeight="1">
      <c r="B801" s="3"/>
    </row>
    <row r="802" spans="2:2" ht="15.75" customHeight="1">
      <c r="B802" s="3"/>
    </row>
    <row r="803" spans="2:2" ht="15.75" customHeight="1">
      <c r="B803" s="3"/>
    </row>
    <row r="804" spans="2:2" ht="15.75" customHeight="1">
      <c r="B804" s="3"/>
    </row>
    <row r="805" spans="2:2" ht="15.75" customHeight="1">
      <c r="B805" s="3"/>
    </row>
    <row r="806" spans="2:2" ht="15.75" customHeight="1">
      <c r="B806" s="3"/>
    </row>
    <row r="807" spans="2:2" ht="15.75" customHeight="1">
      <c r="B807" s="3"/>
    </row>
    <row r="808" spans="2:2" ht="15.75" customHeight="1">
      <c r="B808" s="3"/>
    </row>
    <row r="809" spans="2:2" ht="15.75" customHeight="1">
      <c r="B809" s="3"/>
    </row>
    <row r="810" spans="2:2" ht="15.75" customHeight="1">
      <c r="B810" s="3"/>
    </row>
    <row r="811" spans="2:2" ht="15.75" customHeight="1">
      <c r="B811" s="3"/>
    </row>
    <row r="812" spans="2:2" ht="15.75" customHeight="1">
      <c r="B812" s="3"/>
    </row>
    <row r="813" spans="2:2" ht="15.75" customHeight="1">
      <c r="B813" s="3"/>
    </row>
    <row r="814" spans="2:2" ht="15.75" customHeight="1">
      <c r="B814" s="3"/>
    </row>
    <row r="815" spans="2:2" ht="15.75" customHeight="1">
      <c r="B815" s="3"/>
    </row>
    <row r="816" spans="2:2" ht="15.75" customHeight="1">
      <c r="B816" s="3"/>
    </row>
    <row r="817" spans="2:2" ht="15.75" customHeight="1">
      <c r="B817" s="3"/>
    </row>
    <row r="818" spans="2:2" ht="15.75" customHeight="1">
      <c r="B818" s="3"/>
    </row>
    <row r="819" spans="2:2" ht="15.75" customHeight="1">
      <c r="B819" s="3"/>
    </row>
    <row r="820" spans="2:2" ht="15.75" customHeight="1">
      <c r="B820" s="3"/>
    </row>
    <row r="821" spans="2:2" ht="15.75" customHeight="1">
      <c r="B821" s="3"/>
    </row>
    <row r="822" spans="2:2" ht="15.75" customHeight="1">
      <c r="B822" s="3"/>
    </row>
    <row r="823" spans="2:2" ht="15.75" customHeight="1">
      <c r="B823" s="3"/>
    </row>
    <row r="824" spans="2:2" ht="15.75" customHeight="1">
      <c r="B824" s="3"/>
    </row>
    <row r="825" spans="2:2" ht="15.75" customHeight="1">
      <c r="B825" s="3"/>
    </row>
    <row r="826" spans="2:2" ht="15.75" customHeight="1">
      <c r="B826" s="3"/>
    </row>
    <row r="827" spans="2:2" ht="15.75" customHeight="1">
      <c r="B827" s="3"/>
    </row>
    <row r="828" spans="2:2" ht="15.75" customHeight="1">
      <c r="B828" s="3"/>
    </row>
    <row r="829" spans="2:2" ht="15.75" customHeight="1">
      <c r="B829" s="3"/>
    </row>
    <row r="830" spans="2:2" ht="15.75" customHeight="1">
      <c r="B830" s="3"/>
    </row>
    <row r="831" spans="2:2" ht="15.75" customHeight="1">
      <c r="B831" s="3"/>
    </row>
    <row r="832" spans="2:2" ht="15.75" customHeight="1">
      <c r="B832" s="3"/>
    </row>
    <row r="833" spans="2:2" ht="15.75" customHeight="1">
      <c r="B833" s="3"/>
    </row>
    <row r="834" spans="2:2" ht="15.75" customHeight="1">
      <c r="B834" s="3"/>
    </row>
    <row r="835" spans="2:2" ht="15.75" customHeight="1">
      <c r="B835" s="3"/>
    </row>
    <row r="836" spans="2:2" ht="15.75" customHeight="1">
      <c r="B836" s="3"/>
    </row>
    <row r="837" spans="2:2" ht="15.75" customHeight="1">
      <c r="B837" s="3"/>
    </row>
    <row r="838" spans="2:2" ht="15.75" customHeight="1">
      <c r="B838" s="3"/>
    </row>
    <row r="839" spans="2:2" ht="15.75" customHeight="1">
      <c r="B839" s="3"/>
    </row>
    <row r="840" spans="2:2" ht="15.75" customHeight="1">
      <c r="B840" s="3"/>
    </row>
    <row r="841" spans="2:2" ht="15.75" customHeight="1">
      <c r="B841" s="3"/>
    </row>
    <row r="842" spans="2:2" ht="15.75" customHeight="1">
      <c r="B842" s="3"/>
    </row>
    <row r="843" spans="2:2" ht="15.75" customHeight="1">
      <c r="B843" s="3"/>
    </row>
    <row r="844" spans="2:2" ht="15.75" customHeight="1">
      <c r="B844" s="3"/>
    </row>
    <row r="845" spans="2:2" ht="15.75" customHeight="1">
      <c r="B845" s="3"/>
    </row>
    <row r="846" spans="2:2" ht="15.75" customHeight="1">
      <c r="B846" s="3"/>
    </row>
    <row r="847" spans="2:2" ht="15.75" customHeight="1">
      <c r="B847" s="3"/>
    </row>
    <row r="848" spans="2:2" ht="15.75" customHeight="1">
      <c r="B848" s="3"/>
    </row>
    <row r="849" spans="2:2" ht="15.75" customHeight="1">
      <c r="B849" s="3"/>
    </row>
    <row r="850" spans="2:2" ht="15.75" customHeight="1">
      <c r="B850" s="3"/>
    </row>
    <row r="851" spans="2:2" ht="15.75" customHeight="1">
      <c r="B851" s="3"/>
    </row>
    <row r="852" spans="2:2" ht="15.75" customHeight="1">
      <c r="B852" s="3"/>
    </row>
    <row r="853" spans="2:2" ht="15.75" customHeight="1">
      <c r="B853" s="3"/>
    </row>
    <row r="854" spans="2:2" ht="15.75" customHeight="1">
      <c r="B854" s="3"/>
    </row>
    <row r="855" spans="2:2" ht="15.75" customHeight="1">
      <c r="B855" s="3"/>
    </row>
    <row r="856" spans="2:2" ht="15.75" customHeight="1">
      <c r="B856" s="3"/>
    </row>
    <row r="857" spans="2:2" ht="15.75" customHeight="1">
      <c r="B857" s="3"/>
    </row>
    <row r="858" spans="2:2" ht="15.75" customHeight="1">
      <c r="B858" s="3"/>
    </row>
    <row r="859" spans="2:2" ht="15.75" customHeight="1">
      <c r="B859" s="3"/>
    </row>
    <row r="860" spans="2:2" ht="15.75" customHeight="1">
      <c r="B860" s="3"/>
    </row>
    <row r="861" spans="2:2" ht="15.75" customHeight="1">
      <c r="B861" s="3"/>
    </row>
    <row r="862" spans="2:2" ht="15.75" customHeight="1">
      <c r="B862" s="3"/>
    </row>
    <row r="863" spans="2:2" ht="15.75" customHeight="1">
      <c r="B863" s="3"/>
    </row>
    <row r="864" spans="2:2" ht="15.75" customHeight="1">
      <c r="B864" s="3"/>
    </row>
    <row r="865" spans="2:2" ht="15.75" customHeight="1">
      <c r="B865" s="3"/>
    </row>
    <row r="866" spans="2:2" ht="15.75" customHeight="1">
      <c r="B866" s="3"/>
    </row>
    <row r="867" spans="2:2" ht="15.75" customHeight="1">
      <c r="B867" s="3"/>
    </row>
    <row r="868" spans="2:2" ht="15.75" customHeight="1">
      <c r="B868" s="3"/>
    </row>
    <row r="869" spans="2:2" ht="15.75" customHeight="1">
      <c r="B869" s="3"/>
    </row>
    <row r="870" spans="2:2" ht="15.75" customHeight="1">
      <c r="B870" s="3"/>
    </row>
    <row r="871" spans="2:2" ht="15.75" customHeight="1">
      <c r="B871" s="3"/>
    </row>
    <row r="872" spans="2:2" ht="15.75" customHeight="1">
      <c r="B872" s="3"/>
    </row>
    <row r="873" spans="2:2" ht="15.75" customHeight="1">
      <c r="B873" s="3"/>
    </row>
    <row r="874" spans="2:2" ht="15.75" customHeight="1">
      <c r="B874" s="3"/>
    </row>
    <row r="875" spans="2:2" ht="15.75" customHeight="1">
      <c r="B875" s="3"/>
    </row>
    <row r="876" spans="2:2" ht="15.75" customHeight="1">
      <c r="B876" s="3"/>
    </row>
    <row r="877" spans="2:2" ht="15.75" customHeight="1">
      <c r="B877" s="3"/>
    </row>
    <row r="878" spans="2:2" ht="15.75" customHeight="1">
      <c r="B878" s="3"/>
    </row>
    <row r="879" spans="2:2" ht="15.75" customHeight="1">
      <c r="B879" s="3"/>
    </row>
    <row r="880" spans="2:2" ht="15.75" customHeight="1">
      <c r="B880" s="3"/>
    </row>
    <row r="881" spans="2:2" ht="15.75" customHeight="1">
      <c r="B881" s="3"/>
    </row>
    <row r="882" spans="2:2" ht="15.75" customHeight="1">
      <c r="B882" s="3"/>
    </row>
    <row r="883" spans="2:2" ht="15.75" customHeight="1">
      <c r="B883" s="3"/>
    </row>
    <row r="884" spans="2:2" ht="15.75" customHeight="1">
      <c r="B884" s="3"/>
    </row>
    <row r="885" spans="2:2" ht="15.75" customHeight="1">
      <c r="B885" s="3"/>
    </row>
    <row r="886" spans="2:2" ht="15.75" customHeight="1">
      <c r="B886" s="3"/>
    </row>
    <row r="887" spans="2:2" ht="15.75" customHeight="1">
      <c r="B887" s="3"/>
    </row>
    <row r="888" spans="2:2" ht="15.75" customHeight="1">
      <c r="B888" s="3"/>
    </row>
    <row r="889" spans="2:2" ht="15.75" customHeight="1">
      <c r="B889" s="3"/>
    </row>
    <row r="890" spans="2:2" ht="15.75" customHeight="1">
      <c r="B890" s="3"/>
    </row>
    <row r="891" spans="2:2" ht="15.75" customHeight="1">
      <c r="B891" s="3"/>
    </row>
    <row r="892" spans="2:2" ht="15.75" customHeight="1">
      <c r="B892" s="3"/>
    </row>
    <row r="893" spans="2:2" ht="15.75" customHeight="1">
      <c r="B893" s="3"/>
    </row>
    <row r="894" spans="2:2" ht="15.75" customHeight="1">
      <c r="B894" s="3"/>
    </row>
    <row r="895" spans="2:2" ht="15.75" customHeight="1">
      <c r="B895" s="3"/>
    </row>
    <row r="896" spans="2:2" ht="15.75" customHeight="1">
      <c r="B896" s="3"/>
    </row>
    <row r="897" spans="2:2" ht="15.75" customHeight="1">
      <c r="B897" s="3"/>
    </row>
    <row r="898" spans="2:2" ht="15.75" customHeight="1">
      <c r="B898" s="3"/>
    </row>
    <row r="899" spans="2:2" ht="15.75" customHeight="1">
      <c r="B899" s="3"/>
    </row>
    <row r="900" spans="2:2" ht="15.75" customHeight="1">
      <c r="B900" s="3"/>
    </row>
    <row r="901" spans="2:2" ht="15.75" customHeight="1">
      <c r="B901" s="3"/>
    </row>
    <row r="902" spans="2:2" ht="15.75" customHeight="1">
      <c r="B902" s="3"/>
    </row>
    <row r="903" spans="2:2" ht="15.75" customHeight="1">
      <c r="B903" s="3"/>
    </row>
    <row r="904" spans="2:2" ht="15.75" customHeight="1">
      <c r="B904" s="3"/>
    </row>
    <row r="905" spans="2:2" ht="15.75" customHeight="1">
      <c r="B905" s="3"/>
    </row>
    <row r="906" spans="2:2" ht="15.75" customHeight="1">
      <c r="B906" s="3"/>
    </row>
    <row r="907" spans="2:2" ht="15.75" customHeight="1">
      <c r="B907" s="3"/>
    </row>
    <row r="908" spans="2:2" ht="15.75" customHeight="1">
      <c r="B908" s="3"/>
    </row>
    <row r="909" spans="2:2" ht="15.75" customHeight="1">
      <c r="B909" s="3"/>
    </row>
    <row r="910" spans="2:2" ht="15.75" customHeight="1">
      <c r="B910" s="3"/>
    </row>
    <row r="911" spans="2:2" ht="15.75" customHeight="1">
      <c r="B911" s="3"/>
    </row>
    <row r="912" spans="2:2" ht="15.75" customHeight="1">
      <c r="B912" s="3"/>
    </row>
    <row r="913" spans="2:2" ht="15.75" customHeight="1">
      <c r="B913" s="3"/>
    </row>
    <row r="914" spans="2:2" ht="15.75" customHeight="1">
      <c r="B914" s="3"/>
    </row>
    <row r="915" spans="2:2" ht="15.75" customHeight="1">
      <c r="B915" s="3"/>
    </row>
    <row r="916" spans="2:2" ht="15.75" customHeight="1">
      <c r="B916" s="3"/>
    </row>
    <row r="917" spans="2:2" ht="15.75" customHeight="1">
      <c r="B917" s="3"/>
    </row>
    <row r="918" spans="2:2" ht="15.75" customHeight="1">
      <c r="B918" s="3"/>
    </row>
    <row r="919" spans="2:2" ht="15.75" customHeight="1">
      <c r="B919" s="3"/>
    </row>
    <row r="920" spans="2:2" ht="15.75" customHeight="1">
      <c r="B920" s="3"/>
    </row>
    <row r="921" spans="2:2" ht="15.75" customHeight="1">
      <c r="B921" s="3"/>
    </row>
    <row r="922" spans="2:2" ht="15.75" customHeight="1">
      <c r="B922" s="3"/>
    </row>
    <row r="923" spans="2:2" ht="15.75" customHeight="1">
      <c r="B923" s="3"/>
    </row>
    <row r="924" spans="2:2" ht="15.75" customHeight="1">
      <c r="B924" s="3"/>
    </row>
    <row r="925" spans="2:2" ht="15.75" customHeight="1">
      <c r="B925" s="3"/>
    </row>
    <row r="926" spans="2:2" ht="15.75" customHeight="1">
      <c r="B926" s="3"/>
    </row>
    <row r="927" spans="2:2" ht="15.75" customHeight="1">
      <c r="B927" s="3"/>
    </row>
    <row r="928" spans="2:2" ht="15.75" customHeight="1">
      <c r="B928" s="3"/>
    </row>
    <row r="929" spans="2:2" ht="15.75" customHeight="1">
      <c r="B929" s="3"/>
    </row>
    <row r="930" spans="2:2" ht="15.75" customHeight="1">
      <c r="B930" s="3"/>
    </row>
    <row r="931" spans="2:2" ht="15.75" customHeight="1">
      <c r="B931" s="3"/>
    </row>
    <row r="932" spans="2:2" ht="15.75" customHeight="1">
      <c r="B932" s="3"/>
    </row>
    <row r="933" spans="2:2" ht="15.75" customHeight="1">
      <c r="B933" s="3"/>
    </row>
    <row r="934" spans="2:2" ht="15.75" customHeight="1">
      <c r="B934" s="3"/>
    </row>
    <row r="935" spans="2:2" ht="15.75" customHeight="1">
      <c r="B935" s="3"/>
    </row>
    <row r="936" spans="2:2" ht="15.75" customHeight="1">
      <c r="B936" s="3"/>
    </row>
    <row r="937" spans="2:2" ht="15.75" customHeight="1">
      <c r="B937" s="3"/>
    </row>
    <row r="938" spans="2:2" ht="15.75" customHeight="1">
      <c r="B938" s="3"/>
    </row>
    <row r="939" spans="2:2" ht="15.75" customHeight="1">
      <c r="B939" s="3"/>
    </row>
    <row r="940" spans="2:2" ht="15.75" customHeight="1">
      <c r="B940" s="3"/>
    </row>
    <row r="941" spans="2:2" ht="15.75" customHeight="1">
      <c r="B941" s="3"/>
    </row>
    <row r="942" spans="2:2" ht="15.75" customHeight="1">
      <c r="B942" s="3"/>
    </row>
    <row r="943" spans="2:2" ht="15.75" customHeight="1">
      <c r="B943" s="3"/>
    </row>
    <row r="944" spans="2:2" ht="15.75" customHeight="1">
      <c r="B944" s="3"/>
    </row>
    <row r="945" spans="2:2" ht="15.75" customHeight="1">
      <c r="B945" s="3"/>
    </row>
    <row r="946" spans="2:2" ht="15.75" customHeight="1">
      <c r="B946" s="3"/>
    </row>
    <row r="947" spans="2:2" ht="15.75" customHeight="1">
      <c r="B947" s="3"/>
    </row>
    <row r="948" spans="2:2" ht="15.75" customHeight="1">
      <c r="B948" s="3"/>
    </row>
    <row r="949" spans="2:2" ht="15.75" customHeight="1">
      <c r="B949" s="3"/>
    </row>
    <row r="950" spans="2:2" ht="15.75" customHeight="1">
      <c r="B950" s="3"/>
    </row>
    <row r="951" spans="2:2" ht="15.75" customHeight="1">
      <c r="B951" s="3"/>
    </row>
    <row r="952" spans="2:2" ht="15.75" customHeight="1">
      <c r="B952" s="3"/>
    </row>
    <row r="953" spans="2:2" ht="15.75" customHeight="1">
      <c r="B953" s="3"/>
    </row>
    <row r="954" spans="2:2" ht="15.75" customHeight="1">
      <c r="B954" s="3"/>
    </row>
    <row r="955" spans="2:2" ht="15.75" customHeight="1">
      <c r="B955" s="3"/>
    </row>
    <row r="956" spans="2:2" ht="15.75" customHeight="1">
      <c r="B956" s="3"/>
    </row>
    <row r="957" spans="2:2" ht="15.75" customHeight="1">
      <c r="B957" s="3"/>
    </row>
    <row r="958" spans="2:2" ht="15.75" customHeight="1">
      <c r="B958" s="3"/>
    </row>
    <row r="959" spans="2:2" ht="15.75" customHeight="1">
      <c r="B959" s="3"/>
    </row>
    <row r="960" spans="2:2" ht="15.75" customHeight="1">
      <c r="B960" s="3"/>
    </row>
    <row r="961" spans="2:2" ht="15.75" customHeight="1">
      <c r="B961" s="3"/>
    </row>
    <row r="962" spans="2:2" ht="15.75" customHeight="1">
      <c r="B962" s="3"/>
    </row>
    <row r="963" spans="2:2" ht="15.75" customHeight="1">
      <c r="B963" s="3"/>
    </row>
    <row r="964" spans="2:2" ht="15.75" customHeight="1">
      <c r="B964" s="3"/>
    </row>
    <row r="965" spans="2:2" ht="15.75" customHeight="1">
      <c r="B965" s="3"/>
    </row>
    <row r="966" spans="2:2" ht="15.75" customHeight="1">
      <c r="B966" s="3"/>
    </row>
    <row r="967" spans="2:2" ht="15.75" customHeight="1">
      <c r="B967" s="3"/>
    </row>
    <row r="968" spans="2:2" ht="15.75" customHeight="1">
      <c r="B968" s="3"/>
    </row>
    <row r="969" spans="2:2" ht="15.75" customHeight="1">
      <c r="B969" s="3"/>
    </row>
    <row r="970" spans="2:2" ht="15.75" customHeight="1">
      <c r="B970" s="3"/>
    </row>
    <row r="971" spans="2:2" ht="15.75" customHeight="1">
      <c r="B971" s="3"/>
    </row>
    <row r="972" spans="2:2" ht="15.75" customHeight="1">
      <c r="B972" s="3"/>
    </row>
    <row r="973" spans="2:2" ht="15.75" customHeight="1">
      <c r="B973" s="3"/>
    </row>
    <row r="974" spans="2:2" ht="15.75" customHeight="1">
      <c r="B974" s="3"/>
    </row>
    <row r="975" spans="2:2" ht="15.75" customHeight="1">
      <c r="B975" s="3"/>
    </row>
    <row r="976" spans="2:2" ht="15.75" customHeight="1">
      <c r="B976" s="3"/>
    </row>
    <row r="977" spans="2:2" ht="15.75" customHeight="1">
      <c r="B977" s="3"/>
    </row>
    <row r="978" spans="2:2" ht="15.75" customHeight="1">
      <c r="B978" s="3"/>
    </row>
    <row r="979" spans="2:2" ht="15.75" customHeight="1">
      <c r="B979" s="3"/>
    </row>
    <row r="980" spans="2:2" ht="15.75" customHeight="1">
      <c r="B980" s="3"/>
    </row>
    <row r="981" spans="2:2" ht="15.75" customHeight="1">
      <c r="B981" s="3"/>
    </row>
    <row r="982" spans="2:2" ht="15.75" customHeight="1">
      <c r="B982" s="3"/>
    </row>
    <row r="983" spans="2:2" ht="15.75" customHeight="1">
      <c r="B983" s="3"/>
    </row>
    <row r="984" spans="2:2" ht="15.75" customHeight="1">
      <c r="B984" s="3"/>
    </row>
    <row r="985" spans="2:2" ht="15.75" customHeight="1">
      <c r="B985" s="3"/>
    </row>
    <row r="986" spans="2:2" ht="15.75" customHeight="1">
      <c r="B986" s="3"/>
    </row>
    <row r="987" spans="2:2" ht="15.75" customHeight="1">
      <c r="B987" s="3"/>
    </row>
    <row r="988" spans="2:2" ht="15.75" customHeight="1">
      <c r="B988" s="3"/>
    </row>
    <row r="989" spans="2:2" ht="15.75" customHeight="1">
      <c r="B989" s="3"/>
    </row>
    <row r="990" spans="2:2" ht="15.75" customHeight="1">
      <c r="B990" s="3"/>
    </row>
    <row r="991" spans="2:2" ht="15.75" customHeight="1">
      <c r="B991" s="3"/>
    </row>
    <row r="992" spans="2:2" ht="15.75" customHeight="1">
      <c r="B992" s="3"/>
    </row>
    <row r="993" spans="2:2" ht="15.75" customHeight="1">
      <c r="B993" s="3"/>
    </row>
    <row r="994" spans="2:2" ht="15.75" customHeight="1">
      <c r="B994" s="3"/>
    </row>
    <row r="995" spans="2:2" ht="15.75" customHeight="1">
      <c r="B995" s="3"/>
    </row>
    <row r="996" spans="2:2" ht="15.75" customHeight="1">
      <c r="B996" s="3"/>
    </row>
    <row r="997" spans="2:2" ht="15.75" customHeight="1">
      <c r="B997" s="3"/>
    </row>
    <row r="998" spans="2:2" ht="15.75" customHeight="1">
      <c r="B998" s="3"/>
    </row>
    <row r="999" spans="2:2" ht="15.75" customHeight="1">
      <c r="B999" s="3"/>
    </row>
    <row r="1000" spans="2:2" ht="15.75" customHeight="1">
      <c r="B1000" s="3"/>
    </row>
  </sheetData>
  <autoFilter ref="A1:AZ698"/>
  <hyperlinks>
    <hyperlink ref="B2" r:id="rId1" display="http://roarmap.eprints.org/775/"/>
    <hyperlink ref="Z2" r:id="rId2" display="http://www.univ-bouira.dz/fr/"/>
    <hyperlink ref="AB2" r:id="rId3" display="http://dspace.univ-bouira.dz:8080/jspui/"/>
    <hyperlink ref="AZ2" r:id="rId4" display="http://dspace.univ-bouira.dz:8080/oai/request?verb=Identify"/>
    <hyperlink ref="B3" r:id="rId5" display="http://roarmap.eprints.org/653/"/>
    <hyperlink ref="Z3" r:id="rId6" display="http://www.univ-boumerdes.dz/"/>
    <hyperlink ref="AB3" r:id="rId7" display="http://dlibrary.univ-boumerdes.dz:8080/jspui/"/>
    <hyperlink ref="B4" r:id="rId8" display="http://roarmap.eprints.org/654/"/>
    <hyperlink ref="Z4" r:id="rId9" display="http://www.ibp.az/banm/en/index"/>
    <hyperlink ref="AB4" r:id="rId10" display="http://dspace.bhos.edu.az/xmlui/"/>
    <hyperlink ref="B5" r:id="rId11" display="http://roarmap.eprints.org/12/"/>
    <hyperlink ref="Z5" r:id="rId12" display="http://www.khazar.org/"/>
    <hyperlink ref="AA5" r:id="rId13" display="http://www.docstoc.com/docs/164736821/IR_Guidedoc---Proposed-Khazar-University-Policy-Governing-the"/>
    <hyperlink ref="B6" r:id="rId14" display="http://roarmap.eprints.org/602/"/>
    <hyperlink ref="Z6" r:id="rId15" display="http://www.mincyt.gob.ar/"/>
    <hyperlink ref="B7" r:id="rId16" display="http://roarmap.eprints.org/603/"/>
    <hyperlink ref="N7" r:id="rId17" display="http://otwartanauka.pl/analysis/nauka-otwartosc-swiat/otwarty-dostep-model-argentynski/open-access-in-argentina"/>
    <hyperlink ref="Z7" r:id="rId18" display="http://www.senado.gov.ar/"/>
    <hyperlink ref="AA7" r:id="rId19" display="http://repositorios.mincyt.gob.ar/recursos.php"/>
    <hyperlink ref="AB7" r:id="rId20" display="http://lareferencia.redclara.net/rfr/"/>
    <hyperlink ref="B8" r:id="rId21" display="http://roarmap.eprints.org/604/"/>
    <hyperlink ref="Z8" r:id="rId22" display="http://www.unlp.edu.ar/"/>
    <hyperlink ref="AA8" r:id="rId23" display="http://sedici.unlp.edu.ar/bitstream/handle/10915/18184/Documento_completo.pdf?sequence=1"/>
    <hyperlink ref="AB8" r:id="rId24" display="http://sedici.unlp.edu.ar/"/>
    <hyperlink ref="B9" r:id="rId25" display="http://roarmap.eprints.org/605/"/>
    <hyperlink ref="Z9" r:id="rId26" display="http://eco.mdp.edu.ar/"/>
    <hyperlink ref="AA9" r:id="rId27" display="http://nulan.mdp.edu.ar/2031/"/>
    <hyperlink ref="AB9" r:id="rId28" display="http://nulan.mdp.edu.ar/"/>
    <hyperlink ref="B10" r:id="rId29" display="http://roarmap.eprints.org/564/"/>
    <hyperlink ref="Z10" r:id="rId30" display="http://www.unsw.adfa.edu.au/"/>
    <hyperlink ref="AB10" r:id="rId31" display="http://adt.caul.edu.au/"/>
    <hyperlink ref="B11" r:id="rId32" display="http://roarmap.eprints.org/565/"/>
    <hyperlink ref="Z11" r:id="rId33" display="http://www.anu.edu.au/"/>
    <hyperlink ref="AA11" r:id="rId34" display="https://policies.anu.edu.au/ppl/document/ANUP_008802"/>
    <hyperlink ref="AB11" r:id="rId35" display="https://digitalcollections.anu.edu.au/"/>
    <hyperlink ref="B12" r:id="rId36" display="http://roarmap.eprints.org/566/"/>
    <hyperlink ref="Z12" r:id="rId37" display="http://www.arc.gov.au/"/>
    <hyperlink ref="AA12" r:id="rId38" display="http://www.arc.gov.au/applicants/open_access.htm"/>
    <hyperlink ref="B13" r:id="rId39" display="http://roarmap.eprints.org/567/"/>
    <hyperlink ref="Z13" r:id="rId40" display="http://www.bond.edu.au/"/>
    <hyperlink ref="AA13" r:id="rId41" display="http://www.bond.edu.au/prod_ext/groups/public/@pub-qa-gen/documents/policy/bd3_027955.pdf"/>
    <hyperlink ref="AB13" r:id="rId42" display="http://epublications.bond.edu.au/"/>
    <hyperlink ref="B14" r:id="rId43" display="http://roarmap.eprints.org/568/"/>
    <hyperlink ref="Z14" r:id="rId44" display="http://www.csu.edu.au/"/>
    <hyperlink ref="AA14" r:id="rId45" display="http://www.csu.edu.au/research/performance/cro/policy"/>
    <hyperlink ref="AB14" r:id="rId46" display="http://digitool.unilinc.edu.au/R?func=search&amp;local_base=GEN01-CSU01"/>
    <hyperlink ref="B15" r:id="rId47" display="http://roarmap.eprints.org/569/"/>
    <hyperlink ref="Z15" r:id="rId48" display="http://www.curtin.edu.au/"/>
    <hyperlink ref="AA15" r:id="rId49" display="http://research.curtin.edu.au/local/docs/graduate/TE-DTGuidelines.pdf"/>
    <hyperlink ref="AB15" r:id="rId50" display="http://espace.library.curtin.edu.au/R?func=search&amp;local_base=gen01-era02"/>
    <hyperlink ref="B16" r:id="rId51" display="http://roarmap.eprints.org/570/"/>
    <hyperlink ref="Z16" r:id="rId52" display="http://www.deakin.edu.au/"/>
    <hyperlink ref="AA16" r:id="rId53" display="http://theguide.deakin.edu.au/TheGuide/TheGuide2011.nsf/191d0d51322b3a04ca2576be00064063/7299b3cb34d37e45ca257acb002546a3?OpenDocument"/>
    <hyperlink ref="AB16" r:id="rId54" display="http://dro.deakin.edu.au/"/>
    <hyperlink ref="B17" r:id="rId55" display="http://roarmap.eprints.org/571/"/>
    <hyperlink ref="Z17" r:id="rId56" display="http://www.ecu.edu.au/"/>
    <hyperlink ref="AA17" r:id="rId57" display="http://www.ecu.edu.au/GPPS/policies_db/tmp/ac081.pdf"/>
    <hyperlink ref="AB17" r:id="rId58" display="http://ro.ecu.edu.au/"/>
    <hyperlink ref="B18" r:id="rId59" display="http://roarmap.eprints.org/572/"/>
    <hyperlink ref="Z18" r:id="rId60" display="http://www.griffith.edu.au/"/>
    <hyperlink ref="B19" r:id="rId61" display="http://roarmap.eprints.org/573/"/>
    <hyperlink ref="Z19" r:id="rId62" display="http://www.jcu.edu.au/"/>
    <hyperlink ref="AA19" r:id="rId63" display="http://www.jcu.edu.au/policy/information/allim/JCU_112859.html"/>
    <hyperlink ref="AB19" r:id="rId64" display="http://researchonline.jcu.edu.au/"/>
    <hyperlink ref="B20" r:id="rId65" display="http://roarmap.eprints.org/574/"/>
    <hyperlink ref="Z20" r:id="rId66" display="http://www.mq.edu.au/"/>
    <hyperlink ref="AA20" r:id="rId67" display="http://www.mq.edu.au/policy/docs/open_access/policy.html"/>
    <hyperlink ref="AB20" r:id="rId68" display="http://www.researchonline.mq.edu.au/vital/access/manager/Index"/>
    <hyperlink ref="B21" r:id="rId69" display="http://roarmap.eprints.org/575/"/>
    <hyperlink ref="Z21" r:id="rId70" display="http://monash.edu/"/>
    <hyperlink ref="AA21" r:id="rId71" display="http://www.monash.edu.au/migr/research-degrees/handbook/chapter-seven/7-6.html"/>
    <hyperlink ref="AB21" r:id="rId72" display="http://arrow.monash.edu.au/vital/access/manager/Index"/>
    <hyperlink ref="B22" r:id="rId73" display="http://roarmap.eprints.org/576/"/>
    <hyperlink ref="Z22" r:id="rId74" display="http://www.murdoch.edu.au/"/>
    <hyperlink ref="AA22" r:id="rId75" display="http://our.murdoch.edu.au/Research-and-Development/Resources-for-students/Thesis/Access-to-thesis/"/>
    <hyperlink ref="AB22" r:id="rId76" display="http://researchrepository.murdoch.edu.au/"/>
    <hyperlink ref="B23" r:id="rId77" display="http://roarmap.eprints.org/577/"/>
    <hyperlink ref="Z23" r:id="rId78" display="http://www.nhmrc.gov.au/"/>
    <hyperlink ref="AA23" r:id="rId79" display="http://www.nhmrc.gov.au/grants/policy/nhmrc-open-access-policy"/>
    <hyperlink ref="AB23" r:id="rId80" display="http://www.nhmrc.gov.au/"/>
    <hyperlink ref="B24" r:id="rId81" display="http://roarmap.eprints.org/578/"/>
    <hyperlink ref="Z24" r:id="rId82" display="http://www.nmit.edu.au/"/>
    <hyperlink ref="B25" r:id="rId83" display="http://roarmap.eprints.org/579/"/>
    <hyperlink ref="Z25" r:id="rId84" display="http://www.qut.edu.au/"/>
    <hyperlink ref="AA25" r:id="rId85" display="http://www.mopp.qut.edu.au/F/F_01_03.jsp"/>
    <hyperlink ref="AB25" r:id="rId86" display="http://eprints.qut.edu.au/"/>
    <hyperlink ref="B26" r:id="rId87" display="http://roarmap.eprints.org/580/"/>
    <hyperlink ref="Z26" r:id="rId88" display="http://www.rmit.edu.au/"/>
    <hyperlink ref="AA26" r:id="rId89" display="http://rmit.com.au/browse/Staff%2FAdministration%2FPolicies and procedures%2FAcademic and research%2FHigher degrees by research%2FThesis policy (Higher degrees by research)/"/>
    <hyperlink ref="AB26" r:id="rId90" display="http://researchbank.rmit.edu.au/"/>
    <hyperlink ref="B27" r:id="rId91" display="http://roarmap.eprints.org/581/"/>
    <hyperlink ref="Z27" r:id="rId92" display="http://www.swinburne.edu.au/"/>
    <hyperlink ref="AA27" r:id="rId93" display="http://www.research.swinburne.edu.au/research-students/documents/format_of_examinable_outcome.pdf"/>
    <hyperlink ref="AB27" r:id="rId94" display="http://researchbank.swinburne.edu.au/vital/access/manager/Index"/>
    <hyperlink ref="B28" r:id="rId95" display="http://roarmap.eprints.org/582/"/>
    <hyperlink ref="Z28" r:id="rId96" display="http://www.adelaide.edu.au/library/"/>
    <hyperlink ref="AA28" r:id="rId97" display="http://www.adelaide.edu.au/graduatecentre/handbook/09-examination/09-final-form-of-thesis/"/>
    <hyperlink ref="AB28" r:id="rId98" display="http://digital.library.adelaide.edu.au/dspace/"/>
    <hyperlink ref="B29" r:id="rId99" display="http://roarmap.eprints.org/585/"/>
    <hyperlink ref="Z29" r:id="rId100" display="http://www.cqu.edu.au/"/>
    <hyperlink ref="AA29" r:id="rId101" display="http://policy.cqu.edu.au/Policy/policy_file.do?policyid=749"/>
    <hyperlink ref="AB29" r:id="rId102" display="http://acquire.cqu.edu.au:8080/vital/access/manager/Index;jsessionid=FFC11B0893745BB8866A84B2195746AE"/>
    <hyperlink ref="B30" r:id="rId103" display="http://roarmap.eprints.org/583/"/>
    <hyperlink ref="Z30" r:id="rId104" display="http://www.unimelb.edu.au/"/>
    <hyperlink ref="AA30" r:id="rId105" display="http://gradresearch.unimelb.edu.au/exams/digital-thesis.html"/>
    <hyperlink ref="AB30" r:id="rId106" display="http://library.unimelb.edu.au/digitalcollections/research_collections"/>
    <hyperlink ref="B31" r:id="rId107" display="http://roarmap.eprints.org/586/"/>
    <hyperlink ref="Z31" r:id="rId108" display="http://www.unsw.edu.au/"/>
    <hyperlink ref="AA31" r:id="rId109" display="http://research.unsw.edu.au/document/thesis_format_guide.pdf"/>
    <hyperlink ref="AB31" r:id="rId110" display="http://www.unsworks.unsw.edu.au/primo_library/libweb/action/search.do?dscnt=1&amp;dstmp=1401409982283&amp;vid=UNSWORKS&amp;fromLogin=true"/>
    <hyperlink ref="B32" r:id="rId111" display="http://roarmap.eprints.org/587/"/>
    <hyperlink ref="Z32" r:id="rId112" display="http://www.newcastle.edu.au/"/>
    <hyperlink ref="AA32" r:id="rId113" display="http://www.newcastle.edu.au/about-uon/governance-and-leadership/policy-library/document?RecordNumber=D09_2070%5bV6%5d"/>
    <hyperlink ref="AB32" r:id="rId114" display="http://nova.newcastle.edu.au/vital/access/manager/Index"/>
    <hyperlink ref="B33" r:id="rId115" display="http://roarmap.eprints.org/584/"/>
    <hyperlink ref="Z33" r:id="rId116" display="https://www.uq.edu.au/"/>
    <hyperlink ref="AA33" r:id="rId117" display="http://ppl.app.uq.edu.au/content/4.20.08-open-access-uq-research-outputs"/>
    <hyperlink ref="AB33" r:id="rId118" display="http://espace.library.uq.edu.au/"/>
    <hyperlink ref="B34" r:id="rId119" display="http://roarmap.eprints.org/588/"/>
    <hyperlink ref="Z34" r:id="rId120" display="http://www.unisa.edu.au/"/>
    <hyperlink ref="AA34" r:id="rId121" display="http://w3.unisa.edu.au/policies/policies/resrch/res20.asp"/>
    <hyperlink ref="AB34" r:id="rId122" display="http://ura.unisa.edu.au/R?RN=648171307"/>
    <hyperlink ref="B35" r:id="rId123" display="http://roarmap.eprints.org/589/"/>
    <hyperlink ref="Z35" r:id="rId124" display="http://www.usq.edu.au/"/>
    <hyperlink ref="AB35" r:id="rId125" display="http://eprints.usq.edu.au/"/>
    <hyperlink ref="B36" r:id="rId126" display="http://roarmap.eprints.org/679/"/>
    <hyperlink ref="Z36" r:id="rId127" display="http://sydney.edu.au/"/>
    <hyperlink ref="AA36" r:id="rId128" display="http://sydney.edu.au/policies/showdoc.aspx?recnum=PDOC2014/367"/>
    <hyperlink ref="AB36" r:id="rId129" display="http://ses.library.usyd.edu.au/"/>
    <hyperlink ref="B37" r:id="rId130" display="http://roarmap.eprints.org/590/"/>
    <hyperlink ref="Z37" r:id="rId131" display="http://www.utas.edu.au/"/>
    <hyperlink ref="AB37" r:id="rId132" display="http://eprints.utas.edu.au/"/>
    <hyperlink ref="B38" r:id="rId133" display="http://roarmap.eprints.org/591/"/>
    <hyperlink ref="Z38" r:id="rId134" display="http://www.utas.edu.au/computing-information-systems"/>
    <hyperlink ref="AB38" r:id="rId135" display="http://eprints.utas.edu.au/"/>
    <hyperlink ref="B39" r:id="rId136" display="http://roarmap.eprints.org/592/"/>
    <hyperlink ref="Z39" r:id="rId137" display="https://www.uts.edu.au/"/>
    <hyperlink ref="AA39" r:id="rId138" display="http://www.gsu.uts.edu.au/policies/open-access.html"/>
    <hyperlink ref="AB39" r:id="rId139" display="https://opus.lib.uts.edu.au/research/"/>
    <hyperlink ref="B40" r:id="rId140" display="http://roarmap.eprints.org/593/"/>
    <hyperlink ref="Z40" r:id="rId141" display="http://www.uwa.edu.au/"/>
    <hyperlink ref="AA40" r:id="rId142" location="submitting" display="http://www.is.uwa.edu.au/research/theses - submitting"/>
    <hyperlink ref="AB40" r:id="rId143" display="http://www.is.uwa.edu.au/repository/home"/>
    <hyperlink ref="B41" r:id="rId144" display="http://roarmap.eprints.org/594/"/>
    <hyperlink ref="Z41" r:id="rId145" display="http://www.uow.edu.au/index.html"/>
    <hyperlink ref="AA41" r:id="rId146" display="http://www.uow.edu.au/content/groups/public/@web/@gov/documents/doc/uow167088.pdf"/>
    <hyperlink ref="AB41" r:id="rId147" display="http://ro.uow.edu.au/"/>
    <hyperlink ref="B42" r:id="rId148" display="http://roarmap.eprints.org/595/"/>
    <hyperlink ref="Z42" r:id="rId149" display="http://www.vu.edu.au/"/>
    <hyperlink ref="AA42" r:id="rId150" display="http://wcf.vu.edu.au/GovernancePolicy/PDF/POI041116000.PDF"/>
    <hyperlink ref="AB42" r:id="rId151" display="http://vuir.vu.edu.au/"/>
    <hyperlink ref="B43" r:id="rId152" display="http://roarmap.eprints.org/773/"/>
    <hyperlink ref="Z43" r:id="rId153" display="https://www.akbild.ac.at/"/>
    <hyperlink ref="AA43" r:id="rId154" display="https://www.akbild.ac.at/Portal/kunst-forschung/open-access"/>
    <hyperlink ref="B44" r:id="rId155" display="http://roarmap.eprints.org/76/"/>
    <hyperlink ref="Z44" r:id="rId156" display="http://www.oeaw.ac.at/english/home.html"/>
    <hyperlink ref="AA44" r:id="rId157" display="http://epub.oeaw.ac.at/oa/"/>
    <hyperlink ref="AB44" r:id="rId158" display="http://epub.oeaw.ac.at/"/>
    <hyperlink ref="B45" r:id="rId159" display="http://roarmap.eprints.org/77/"/>
    <hyperlink ref="Z45" r:id="rId160" display="http://www.fwf.ac.at/en/index.asp"/>
    <hyperlink ref="AA45" r:id="rId161" display="https://www.fwf.ac.at/en/research-funding/open-access-policy/"/>
    <hyperlink ref="AZ45" r:id="rId162" display="https://www.fwf.ac.at/en/research-funding/fwf-programmes/peer-reviewed-publications/"/>
    <hyperlink ref="B46" r:id="rId163" display="http://roarmap.eprints.org/78/"/>
    <hyperlink ref="Z46" r:id="rId164" display="http://ist.ac.at/"/>
    <hyperlink ref="AA46" r:id="rId165" display="http://ist.ac.at/open-access/open-access-policy/"/>
    <hyperlink ref="AB46" r:id="rId166" display="https://repository.ist.ac.at/"/>
    <hyperlink ref="AZ46" r:id="rId167" display="http://ist.ac.at/open-access/funding-agencies-on-oa/"/>
    <hyperlink ref="B47" r:id="rId168" display="http://roarmap.eprints.org/79/"/>
    <hyperlink ref="Z47" r:id="rId169" display="http://www.uni-graz.at/en/"/>
    <hyperlink ref="AA47" r:id="rId170" display="http://ub.uni-graz.at/de/dienstleistungen/open-access/die-uni-graz-und-open-access/open-access-policy/"/>
    <hyperlink ref="AB47" r:id="rId171" display="http://unipub.uni-graz.at/"/>
    <hyperlink ref="B48" r:id="rId172" display="http://roarmap.eprints.org/80/"/>
    <hyperlink ref="Z48" r:id="rId173" display="http://www.univie.ac.at/en/"/>
    <hyperlink ref="AA48" r:id="rId174" display="http://openaccess.univie.ac.at/policy/"/>
    <hyperlink ref="AB48" r:id="rId175" display="https://uscholar.univie.ac.at/"/>
    <hyperlink ref="AZ48" r:id="rId176" display="http://openaccess.univie.ac.at/foerderungen/zentraler-publikationsfonds/"/>
    <hyperlink ref="B49" r:id="rId177" display="http://roarmap.eprints.org/83/"/>
    <hyperlink ref="Z49" r:id="rId178" display="http://www.academielouvain.be/redirect.php3?id=410"/>
    <hyperlink ref="AA49" r:id="rId179" display="http://openaccess.eprints.org/index.php?/archives/71-guid.html"/>
    <hyperlink ref="AB49" r:id="rId180" display="http://dial.academielouvain.be/vital/access/manager/Index?site_name=BOREAL"/>
    <hyperlink ref="B50" r:id="rId181" display="http://roarmap.eprints.org/85/"/>
    <hyperlink ref="Z50" r:id="rId182" display="http://www.uclouvain.be/index.html"/>
    <hyperlink ref="AA50" r:id="rId183" location="q1-1" display="http://dial.academielouvain.be/vital/access/manager/FAQ - q1-1"/>
    <hyperlink ref="AB50" r:id="rId184" display="http://dial.academielouvain.be/vital/access/manager/Index?site_name=BOREAL"/>
    <hyperlink ref="B51" r:id="rId185" display="http://roarmap.eprints.org/680/"/>
    <hyperlink ref="Z51" r:id="rId186" display="http://ec.europa.eu/programmes/horizon2020/en"/>
    <hyperlink ref="AA51" r:id="rId187" display="http://ec.europa.eu/research/participants/data/ref/h2020/grants_manual/hi/oa_pilot/h2020-hi-oa-pilot-guide_en.pdf"/>
    <hyperlink ref="B52" r:id="rId188" display="http://roarmap.eprints.org/683/"/>
    <hyperlink ref="Z52" r:id="rId189" display="http://erc.europa.eu/"/>
    <hyperlink ref="AA52" r:id="rId190" display="http://erc.europa.eu/sites/default/files/document/file/ERC_Open_Access_Guidelines-revised_2014.pdf"/>
    <hyperlink ref="B53" r:id="rId191" display="http://roarmap.eprints.org/86/"/>
    <hyperlink ref="Z53" r:id="rId192" display="http://www.frs-fnrs.be/"/>
    <hyperlink ref="AA53" r:id="rId193" display="http://www.uclouvain.be/cps/ucl/doc/bspo/documents/FRS-FNRS_Reglement_OPEN_ACCESS.pdf"/>
    <hyperlink ref="AB53" r:id="rId194" display="http://www.frs-fnrs.be/uploaddocs/docs/SOUTENIR/FRS-FNRS_Reglement_OPEN_ACCESS.pdf"/>
    <hyperlink ref="B54" r:id="rId195" display="http://roarmap.eprints.org/87/"/>
    <hyperlink ref="Z54" r:id="rId196" display="http://www.vliz.be/"/>
    <hyperlink ref="AB54" r:id="rId197" display="http://www.vliz.be/en/open-marine-archive?page&amp;module=ref"/>
    <hyperlink ref="B55" r:id="rId198" display="http://roarmap.eprints.org/88/"/>
    <hyperlink ref="Z55" r:id="rId199" display="http://www.ugent.be/"/>
    <hyperlink ref="AA55" r:id="rId200" display="https://biblio.ugent.be/downloads/20121109-oa-mandaat-ugent-v2.pdf"/>
    <hyperlink ref="AB55" r:id="rId201" display="https://biblio.ugent.be/"/>
    <hyperlink ref="B56" r:id="rId202" display="http://roarmap.eprints.org/89/"/>
    <hyperlink ref="Z56" r:id="rId203" display="http://www.itg.be/itg"/>
    <hyperlink ref="AB56" r:id="rId204" display="http://dspace.itg.be/"/>
    <hyperlink ref="B57" r:id="rId205" display="http://roarmap.eprints.org/90/"/>
    <hyperlink ref="Z57" r:id="rId206" display="http://www.kuleuven.be/english/"/>
    <hyperlink ref="AA57" r:id="rId207" display="http://bib.kuleuven.be/english/ub/target-group-research/open-access/KULeuvenOA"/>
    <hyperlink ref="AB57" r:id="rId208" display="https://lirias.kuleuven.be/"/>
    <hyperlink ref="B58" r:id="rId209" display="http://roarmap.eprints.org/91/"/>
    <hyperlink ref="Z58" r:id="rId210" display="http://www.fwo.be/"/>
    <hyperlink ref="AA58" r:id="rId211" display="http://www.fwo.be/en/general-regulations/"/>
    <hyperlink ref="B59" r:id="rId212" display="http://roarmap.eprints.org/92/"/>
    <hyperlink ref="Z59" r:id="rId213" display="http://www.usaintlouis.be/"/>
    <hyperlink ref="AA59" r:id="rId214" display="http://roarmap.eprints.org/992/1/DIAL et OA CR.pdf"/>
    <hyperlink ref="AB59" r:id="rId215" display="http://dial.academielouvain.be/vital/access/manager/Index?site_name=BOREAL"/>
    <hyperlink ref="B60" r:id="rId216" display="http://roarmap.eprints.org/93/"/>
    <hyperlink ref="Z60" r:id="rId217" display="http://www.scienceeurope.org/"/>
    <hyperlink ref="AA60" r:id="rId218" display="http://roarmap.eprints.org/704/1/ESFmandateRec.pdf"/>
    <hyperlink ref="B61" r:id="rId219" display="http://roarmap.eprints.org/84/"/>
    <hyperlink ref="Z61" r:id="rId220" display="https://www.uantwerpen.be/en/library/services/publishing/open-access---reposi/"/>
    <hyperlink ref="AA61" r:id="rId221" display="https://www.uantwerpen.be/en/library/services/publishing/open-access---reposi/"/>
    <hyperlink ref="AB61" r:id="rId222" display="https://anet.ua.ac.be/desktop/irua/"/>
    <hyperlink ref="B62" r:id="rId223" display="http://roarmap.eprints.org/94/"/>
    <hyperlink ref="Z62" r:id="rId224" display="http://www.ulg.ac.be/cms/c_5000/en/home"/>
    <hyperlink ref="AA62" r:id="rId225" display="http://orbi.ulg.ac.be/files/extrait_moniteur_CA.pdf"/>
    <hyperlink ref="AB62" r:id="rId226" display="http://orbi.ulg.ac.be/"/>
    <hyperlink ref="B63" r:id="rId227" display="http://roarmap.eprints.org/96/"/>
    <hyperlink ref="Z63" r:id="rId228" display="http://www.umons.ac.be"/>
    <hyperlink ref="AB63" r:id="rId229" display="http://di.umons.ac.be/"/>
    <hyperlink ref="B64" r:id="rId230" display="http://roarmap.eprints.org/97/"/>
    <hyperlink ref="Z64" r:id="rId231" display="https://www.unamur.be/en"/>
    <hyperlink ref="AB64" r:id="rId232" display="https://pure.fundp.ac.be/admin/login.xhtml"/>
    <hyperlink ref="B65" r:id="rId233" display="http://roarmap.eprints.org/95/"/>
    <hyperlink ref="Z65" r:id="rId234" display="http://www.ulb.ac.be"/>
    <hyperlink ref="AA65" r:id="rId235" location="c12738" display="http://www.bib.ulb.ac.be/fr/bibliotheque-electronique/depot-institutionnel-di-fusion/contexte-et-objectifs/index.html - c12738"/>
    <hyperlink ref="AB65" r:id="rId236" display="http://difusion.ulb.ac.be"/>
    <hyperlink ref="B66" r:id="rId237" display="http://roarmap.eprints.org/606/"/>
    <hyperlink ref="Z66" r:id="rId238" display="http://www.postgradouagrm.net/"/>
    <hyperlink ref="B67" r:id="rId239" display="http://roarmap.eprints.org/607/"/>
    <hyperlink ref="Z67" r:id="rId240" display="http://www2.camara.leg.br/"/>
    <hyperlink ref="AA67" r:id="rId241" display="http://www.camara.gov.br/sileg/integras/461698.pdf"/>
    <hyperlink ref="B68" r:id="rId242" display="http://roarmap.eprints.org/608/"/>
    <hyperlink ref="Z68" r:id="rId243" display="http://www.ensp.fiocruz.br/"/>
    <hyperlink ref="AA68" r:id="rId244" display="http://roarmap.eprints.org/700/1/portaria_acesso.pdf"/>
    <hyperlink ref="AB68" r:id="rId245" display="http://www6.ensp.fiocruz.br/repositorio/"/>
    <hyperlink ref="B69" r:id="rId246" display="http://roarmap.eprints.org/618/"/>
    <hyperlink ref="Z69" r:id="rId247" display="http://www.fjp.mg.gov.br/"/>
    <hyperlink ref="AA69" r:id="rId248" display="http://www.repositorio.fjp.mg.gov.br/static/Politica_Repositorio.pdf"/>
    <hyperlink ref="AB69" r:id="rId249" display="http://www.repositorio.fjp.mg.gov.br/"/>
    <hyperlink ref="B70" r:id="rId250" display="http://roarmap.eprints.org/622/"/>
    <hyperlink ref="Z70" r:id="rId251" display="https://portal.fiocruz.br/pt-br"/>
    <hyperlink ref="AA70" r:id="rId252" display="https://portal.fiocruz.br/sites/portal.fiocruz.br/files/documentos/portaria_-_politica_de_acesso_aberto_ao_conhecimento_na_fiocruz.pdf"/>
    <hyperlink ref="AB70" r:id="rId253" display="http://www.arca.fiocruz.br/"/>
    <hyperlink ref="B71" r:id="rId254" display="http://roarmap.eprints.org/615/"/>
    <hyperlink ref="Z71" r:id="rId255" display="https://www.ufba.br/"/>
    <hyperlink ref="AA71" r:id="rId256" display="https://repositorio.ufba.br/ri/about/politica institucional.pdf"/>
    <hyperlink ref="AB71" r:id="rId257" display="https://repositorio.ufba.br/ri/"/>
    <hyperlink ref="B72" r:id="rId258" display="http://roarmap.eprints.org/609/"/>
    <hyperlink ref="Z72" r:id="rId259" display="http://www.ufla.br/"/>
    <hyperlink ref="AA72" r:id="rId260" display="http://www.ufla.br/documentos/arquivos/078_13112012.pdf"/>
    <hyperlink ref="AB72" r:id="rId261" display="http://repositorio.ufla.br/"/>
    <hyperlink ref="B73" r:id="rId262" display="http://roarmap.eprints.org/619/"/>
    <hyperlink ref="Z73" r:id="rId263" display="http://www.ufop.br/"/>
    <hyperlink ref="AA73" r:id="rId264" display="http://www.proad.ufop.br/cgp/arquivos/boletins/2013/Boletim_Administrativo_n_64_2013.pdf"/>
    <hyperlink ref="AB73" r:id="rId265" display="http://www.repositorio.ufop.br/"/>
    <hyperlink ref="B74" r:id="rId266" display="http://roarmap.eprints.org/610/"/>
    <hyperlink ref="Z74" r:id="rId267" display="http://www.ufs.br/"/>
    <hyperlink ref="AA74" r:id="rId268" display="https://ri.ufs.br/files/politica-ri-ufs.pdf"/>
    <hyperlink ref="AB74" r:id="rId269" display="https://ri.ufs.br/"/>
    <hyperlink ref="B75" r:id="rId270" display="http://roarmap.eprints.org/616/"/>
    <hyperlink ref="Z75" r:id="rId271" display="http://www.ufc.br/"/>
    <hyperlink ref="AA75" r:id="rId272" display="http://www.repositorio.ufc.br/ri/sobre/Resolucao02_Consuni_2011.pdf"/>
    <hyperlink ref="AB75" r:id="rId273" display="http://www.repositorio.ufc.br/"/>
    <hyperlink ref="B76" r:id="rId274" display="http://roarmap.eprints.org/621/"/>
    <hyperlink ref="Z76" r:id="rId275" display="http://www.ufrb.edu.br/portal/"/>
    <hyperlink ref="AA76" r:id="rId276" display="http://repositorio.ufrb.edu.br/arquivos/Portaria_771_2013.pdf"/>
    <hyperlink ref="AB76" r:id="rId277" display="http://www.repositorio.ufrb.edu.br/"/>
    <hyperlink ref="B77" r:id="rId278" display="http://roarmap.eprints.org/612/"/>
    <hyperlink ref="Z77" r:id="rId279" display="http://www.furg.br/"/>
    <hyperlink ref="AA77" r:id="rId280" display="http://roarmap.eprints.org/434/1/PII___FURG.pdf"/>
    <hyperlink ref="AB77" r:id="rId281" display="http://repositorio.furg.br/"/>
    <hyperlink ref="B78" r:id="rId282" display="http://roarmap.eprints.org/617/"/>
    <hyperlink ref="Z78" r:id="rId283" display="http://www.ufrn.br/"/>
    <hyperlink ref="AA78" r:id="rId284" display="http://repositorio.ufrn.br:8080/jspui/sobre/resolucao_592010_consepe_riufrn.pdf"/>
    <hyperlink ref="AB78" r:id="rId285" display="http://repositorio.ufrn.br:8080/jspui/"/>
    <hyperlink ref="B79" r:id="rId286" display="http://roarmap.eprints.org/611/"/>
    <hyperlink ref="Z79" r:id="rId287" display="http://www.ufrgs.br/"/>
    <hyperlink ref="AA79" r:id="rId288" display="http://roarmap.eprints.org/468/1/Portaria-5068.pdf"/>
    <hyperlink ref="AB79" r:id="rId289" display="http://www.lume.ufrgs.br/"/>
    <hyperlink ref="B80" r:id="rId290" display="http://roarmap.eprints.org/620/"/>
    <hyperlink ref="Z80" r:id="rId291" display="http://www.utfpr.edu.br/londrina"/>
    <hyperlink ref="AA80" r:id="rId292" display="http://repositorio.utfpr.edu.br/jspui/sobre/politica_repositorio_1.pdf"/>
    <hyperlink ref="AB80" r:id="rId293" display="http://repositorio.utfpr.edu.br/jspui/"/>
    <hyperlink ref="B81" r:id="rId294" display="http://roarmap.eprints.org/613/"/>
    <hyperlink ref="Z81" r:id="rId295" display="http://www.unb.br/"/>
    <hyperlink ref="AA81" r:id="rId296" display="http://repositorio.unb.br/termo/resolucao.pdf"/>
    <hyperlink ref="AB81" r:id="rId297" display="http://repositorio.unb.br/"/>
    <hyperlink ref="B82" r:id="rId298" display="http://roarmap.eprints.org/614/"/>
    <hyperlink ref="Z82" r:id="rId299" display="http://www5.usp.br/"/>
    <hyperlink ref="AA82" r:id="rId300" display="http://www.producao.usp.br/page/politicaAcessoEnUS"/>
    <hyperlink ref="AB82" r:id="rId301" display="http://www.producao.usp.br"/>
    <hyperlink ref="B83" r:id="rId302" display="http://roarmap.eprints.org/81/"/>
    <hyperlink ref="Z83" r:id="rId303" display="http://www.bntu.by/sclibrary.html"/>
    <hyperlink ref="AB83" r:id="rId304" display="http://rep.bntu.by/"/>
    <hyperlink ref="B84" r:id="rId305" display="http://roarmap.eprints.org/82/"/>
    <hyperlink ref="Z84" r:id="rId306" display="http://www.bsu.by/"/>
    <hyperlink ref="AA84" r:id="rId307" display="http://roarmap.eprints.org/1001/1/%D0%9F%D0%BE%D0%BB%D0%BE%D0%B6%D0%B5%D0%BD%D0%B8%D0%B5 %D0%BE%D0%B1 %D0%AD%D0%91 %D0%91%D0%93%D0%A3.pdf"/>
    <hyperlink ref="AB84" r:id="rId308" display="http://elib.bsu.by/"/>
    <hyperlink ref="B85" r:id="rId309" display="http://roarmap.eprints.org/414/"/>
    <hyperlink ref="Z85" r:id="rId310" display="http://www.athabascau.ca/"/>
    <hyperlink ref="AB85" r:id="rId311" display="http://auspace.athabascau.ca/"/>
    <hyperlink ref="B86" r:id="rId312" display="http://roarmap.eprints.org/415/"/>
    <hyperlink ref="Z86" r:id="rId313" display="http://www.brocku.ca/"/>
    <hyperlink ref="AA86" r:id="rId314" display="http://brocku.ca/graduate-studies/current-students/thesis/e-thesis-submission"/>
    <hyperlink ref="AB86" r:id="rId315" display="https://dr.library.brocku.ca/"/>
    <hyperlink ref="AZ86" r:id="rId316" display="http://www.brocku.ca/library/about-us-lib/openaccess/open-access-publishing-fund"/>
    <hyperlink ref="B87" r:id="rId317" display="http://roarmap.eprints.org/417/"/>
    <hyperlink ref="Z87" r:id="rId318" display="http://www.cancer.ca/"/>
    <hyperlink ref="AA87" r:id="rId319" display="http://www.cancer.ca/en/research/policies-and-administration/policies/open-access-policy/"/>
    <hyperlink ref="AB87" r:id="rId320" display="http://opendepot.org/"/>
    <hyperlink ref="B88" r:id="rId321" display="http://roarmap.eprints.org/418/"/>
    <hyperlink ref="Z88" r:id="rId322" display="http://www.cfhi-fcass.ca/"/>
    <hyperlink ref="AA88" r:id="rId323" display="http://www.cfhi-fcass.ca/Migrated/PDF/OpenAccesstoResearchOutputs.pdf"/>
    <hyperlink ref="AB88" r:id="rId324" display="http://opendepot.org/"/>
    <hyperlink ref="B89" r:id="rId325" display="http://roarmap.eprints.org/419/"/>
    <hyperlink ref="Z89" r:id="rId326" display="http://www.cihr-irsc.gc.ca/"/>
    <hyperlink ref="AA89" r:id="rId327" display="http://www.cihr-irsc.gc.ca/e/46068.html"/>
    <hyperlink ref="AB89" r:id="rId328" display="http://opendepot.org/"/>
    <hyperlink ref="B90" r:id="rId329" display="http://roarmap.eprints.org/420/"/>
    <hyperlink ref="Z90" r:id="rId330" display="http://www.concordia.ca/"/>
    <hyperlink ref="AA90" r:id="rId331" display="http://library.concordia.ca/research/openaccess/SenateResolutiononOpenAccess.pdf"/>
    <hyperlink ref="AB90" r:id="rId332" display="http://spectrum.library.concordia.ca/"/>
    <hyperlink ref="AZ90" r:id="rId333" display="http://library.concordia.ca/research/openaccess/OAauthorfund.php"/>
    <hyperlink ref="B91" r:id="rId334" display="http://roarmap.eprints.org/421/"/>
    <hyperlink ref="Z91" r:id="rId335" display="http://www.frqs.gouv.qc.ca/"/>
    <hyperlink ref="AA91" r:id="rId336" display="http://www.frsq.gouv.qc.ca/en/financement/politiques/libre_acces_resultats_recherche.shtml"/>
    <hyperlink ref="AB91" r:id="rId337" display="http://opendepot.org/"/>
    <hyperlink ref="B92" r:id="rId338" display="http://roarmap.eprints.org/422/"/>
    <hyperlink ref="Z92" r:id="rId339" display="http://www.genomecanada.ca/en/"/>
    <hyperlink ref="AA92" r:id="rId340" display="http://www.genomecanada.ca/medias/PDF/EN/AccessResearchPublicationsPolicy.pdf"/>
    <hyperlink ref="AB92" r:id="rId341" display="http://opendepot.org/"/>
    <hyperlink ref="B93" r:id="rId342" display="http://roarmap.eprints.org/423/"/>
    <hyperlink ref="Z93" r:id="rId343" display="http://www.heartandstroke.com/"/>
    <hyperlink ref="AA93" r:id="rId344" display="http://hsf.ca/research/en/hsf-open-access-research-outputs-policy-guidelines"/>
    <hyperlink ref="AB93" r:id="rId345" display="http://opendepot.org/"/>
    <hyperlink ref="B94" r:id="rId346" display="http://roarmap.eprints.org/424/"/>
    <hyperlink ref="Z94" r:id="rId347" display="http://www.idrc.ca/"/>
    <hyperlink ref="AB94" r:id="rId348" display="http://idl-bnc.idrc.ca/dspace/"/>
    <hyperlink ref="B95" r:id="rId349" display="http://roarmap.eprints.org/425/"/>
    <hyperlink ref="Z95" r:id="rId350" display="http://www.mcgill.ca/library/"/>
    <hyperlink ref="AA95" r:id="rId351" display="http://roarmap.eprints.org/806/1/McGillLibraryOAStatement.pdf"/>
    <hyperlink ref="AB95" r:id="rId352" display="http://digitool.library.mcgill.ca/R/"/>
    <hyperlink ref="B96" r:id="rId353" display="http://roarmap.eprints.org/426/"/>
    <hyperlink ref="Z96" r:id="rId354" display="http://www.msfhr.org/"/>
    <hyperlink ref="B97" r:id="rId355" display="http://roarmap.eprints.org/427/"/>
    <hyperlink ref="Z97" r:id="rId356" display="http://www.msvu.ca/"/>
    <hyperlink ref="AA97" r:id="rId357" display="http://dc.msvu.ca:8080/xmlui/themes/msvu_ir/static/MSVU-OA-policy.pdf"/>
    <hyperlink ref="AB97" r:id="rId358" display="http://ec.msvu.ca:8080/xmlui/"/>
    <hyperlink ref="B98" r:id="rId359" display="http://roarmap.eprints.org/428/"/>
    <hyperlink ref="Z98" r:id="rId360" display="http://www.nrc-cnrc.gc.ca/eng/"/>
    <hyperlink ref="AA98" r:id="rId361" display="http://cisti-icist.nrc-cnrc.gc.ca/obj/cisti-icist/doc/nparc/NPArC-Statement-of-Responsibilities_e.pdf"/>
    <hyperlink ref="AB98" r:id="rId362" display="http://nparc.cisti-icist.nrc-cnrc.gc.ca/npsi/ctrl"/>
    <hyperlink ref="B99" r:id="rId363" display="http://roarmap.eprints.org/429/"/>
    <hyperlink ref="Z99" r:id="rId364" display="http://www.nserc-crsng.gc.ca/"/>
    <hyperlink ref="AA99" r:id="rId365" display="http://www.science.gc.ca/default.asp?lang=En&amp;n=F6765465-1"/>
    <hyperlink ref="AB99" r:id="rId366" display="http://opendepot.org/"/>
    <hyperlink ref="B100" r:id="rId367" display="http://roarmap.eprints.org/430/"/>
    <hyperlink ref="Z100" r:id="rId368" display="http://oicr.on.ca/"/>
    <hyperlink ref="AA100" r:id="rId369" display="http://oicr.on.ca/files/public/november2009cancerresearchfundpolicies.pdf"/>
    <hyperlink ref="AB100" r:id="rId370" display="http://opendepot.org/"/>
    <hyperlink ref="B101" r:id="rId371" display="http://roarmap.eprints.org/431/"/>
    <hyperlink ref="Z101" r:id="rId372" display="http://library.queensu.ca/"/>
    <hyperlink ref="AA101" r:id="rId373" display="http://post.queensu.ca/~qula/documents/QULA-OpenAccessPolicy.docx"/>
    <hyperlink ref="AB101" r:id="rId374" display="https://qspace.library.queensu.ca/"/>
    <hyperlink ref="B102" r:id="rId375" display="http://roarmap.eprints.org/682/"/>
    <hyperlink ref="Z102" r:id="rId376" display="http://www.sshrc-crsh.gc.ca/"/>
    <hyperlink ref="AA102" r:id="rId377" display="http://www.science.gc.ca/default.asp?lang=En&amp;n=F6765465-1"/>
    <hyperlink ref="AB102" r:id="rId378" display="http://opendepot.org/"/>
    <hyperlink ref="B103" r:id="rId379" display="http://roarmap.eprints.org/432/"/>
    <hyperlink ref="Z103" r:id="rId380" display="http://www.teluq.ca/"/>
    <hyperlink ref="AA103" r:id="rId381" display="http://benhur.teluq.uquebec.ca/~mcouture/oa/accesLibreResol-UERST.htm"/>
    <hyperlink ref="B104" r:id="rId382" display="http://roarmap.eprints.org/433/"/>
    <hyperlink ref="Z104" r:id="rId383" display="http://lcr.ucalgary.ca/"/>
    <hyperlink ref="AA104" r:id="rId384" display="http://library.ucalgary.ca/oa-mandate"/>
    <hyperlink ref="AB104" r:id="rId385" display="http://dspace.ucalgary.ca/"/>
    <hyperlink ref="AZ104" r:id="rId386" display="http://library.ucalgary.ca/open-access-authors-fund"/>
    <hyperlink ref="B105" r:id="rId387" display="http://roarmap.eprints.org/434/"/>
    <hyperlink ref="Z105" r:id="rId388" display="http://www.uoguelph.ca/"/>
    <hyperlink ref="AB105" r:id="rId389" display="http://atrium.lib.uoguelph.ca/"/>
    <hyperlink ref="B106" r:id="rId390" display="http://roarmap.eprints.org/435/"/>
    <hyperlink ref="Z106" r:id="rId391" display="http://www.uoguelph.ca/ses/"/>
    <hyperlink ref="AA106" r:id="rId392" display="https://atrium.lib.uoguelph.ca/xmlui/handle/10214/1995"/>
    <hyperlink ref="AB106" r:id="rId393" display="http://atrium.lib.uoguelph.ca/"/>
    <hyperlink ref="B107" r:id="rId394" display="http://roarmap.eprints.org/436/"/>
    <hyperlink ref="Z107" r:id="rId395" display="http://www.uottawa.ca/en"/>
    <hyperlink ref="AA107" r:id="rId396" display="http://www.ruor.uottawa.ca/en/static/help-thesis-submission.htm"/>
    <hyperlink ref="AB107" r:id="rId397" display="http://www.ruor.uottawa.ca/en/"/>
    <hyperlink ref="AZ107" r:id="rId398" display="http://scholarlycommunication.uottawa.ca/uottawa-initiatives/author-fund"/>
    <hyperlink ref="B108" r:id="rId399" display="http://roarmap.eprints.org/437/"/>
    <hyperlink ref="Z108" r:id="rId400" display="http://www.utoronto.com/"/>
    <hyperlink ref="AA108" r:id="rId401" display="http://www.oise.utoronto.ca/research/UserFiles/File/OA_Policy.pdf"/>
    <hyperlink ref="AB108" r:id="rId402" display="https://tspace.library.utoronto.ca/"/>
    <hyperlink ref="AZ108" r:id="rId403" display="http://onesearch.library.utoronto.ca/university-toronto-libraries-open-access-author-fund"/>
    <hyperlink ref="B109" r:id="rId404" display="http://roarmap.eprints.org/438/"/>
    <hyperlink ref="Z109" r:id="rId405" display="http://www.library.yorku.ca"/>
    <hyperlink ref="AA109" r:id="rId406" display="http://www.library.yorku.ca/cms/open-access/"/>
    <hyperlink ref="AB109" r:id="rId407" display="http://yorkspace.library.yorku.ca/"/>
    <hyperlink ref="AZ109" r:id="rId408" display="http://researchguides.library.yorku.ca/content.php?pid=258206"/>
    <hyperlink ref="B110" r:id="rId409" display="http://roarmap.eprints.org/439/"/>
    <hyperlink ref="Z110" r:id="rId410" display="http://www.etsmtl.ca/"/>
    <hyperlink ref="AB110" r:id="rId411" display="http://espace.etsmtl.ca/"/>
    <hyperlink ref="B111" r:id="rId412" display="http://roarmap.eprints.org/13/"/>
    <hyperlink ref="Z111" r:id="rId413" display="http://english.cas.cn"/>
    <hyperlink ref="AA111" r:id="rId414" display="http://english.cas.cn/Ne/CASE/201405/t20140516_121037.shtml"/>
    <hyperlink ref="B112" r:id="rId415" display="http://roarmap.eprints.org/14/"/>
    <hyperlink ref="Z112" r:id="rId416" display="http://www.most.gov.cn/eng/"/>
    <hyperlink ref="AA112" r:id="rId417" display="http://www.codata.org/06conf/presentations/Keynotes/GuanhuaXU-OpenAccesstotheScientificData.pdf"/>
    <hyperlink ref="B113" r:id="rId418" display="http://roarmap.eprints.org/15/"/>
    <hyperlink ref="Z113" r:id="rId419" display="http://www.nsfc.gov.cn/publish/portal1/"/>
    <hyperlink ref="B114" r:id="rId420" display="http://roarmap.eprints.org/16/"/>
    <hyperlink ref="Z114" r:id="rId421" display="http://english.las.cas.cn/"/>
    <hyperlink ref="AA114" r:id="rId422" display="http://old.nlb.by/eifl/store/file/open_access_en/142-lin-en.pdf"/>
    <hyperlink ref="AB114" r:id="rId423" display="http://ir.las.ac.cn/"/>
    <hyperlink ref="B115" r:id="rId424" display="http://roarmap.eprints.org/624/"/>
    <hyperlink ref="Z115" r:id="rId425" display="http://www.icesi.edu.co/"/>
    <hyperlink ref="AB115" r:id="rId426" display="http://bibliotecadigital.icesi.edu.co/biblioteca_digital/"/>
    <hyperlink ref="B116" r:id="rId427" display="http://roarmap.eprints.org/625/"/>
    <hyperlink ref="Z116" r:id="rId428" display="http://unal.edu.co/"/>
    <hyperlink ref="AA116" r:id="rId429" display="http://roarmap.eprints.org/403/1/ResolucionTesis.pdf"/>
    <hyperlink ref="AB116" r:id="rId430" display="http://www.bdigital.unal.edu.co/"/>
    <hyperlink ref="B117" r:id="rId431" display="http://roarmap.eprints.org/626/"/>
    <hyperlink ref="Z117" r:id="rId432" display="http://www.urosario.edu.co/"/>
    <hyperlink ref="AB117" r:id="rId433" display="http://repository.urosario.edu.co/"/>
    <hyperlink ref="B118" r:id="rId434" display="http://roarmap.eprints.org/745/"/>
    <hyperlink ref="Z118" r:id="rId435" display="http://www.irb.hr/"/>
    <hyperlink ref="AA118" r:id="rId436" display="http://lib.irb.hr/web/hr/projekti/fulir/item/1897-rudjer_boskovic_institute-self_archiving_mandate.html"/>
    <hyperlink ref="AB118" r:id="rId437" display="http://fulir.irb.hr/"/>
    <hyperlink ref="B119" r:id="rId438" display="http://roarmap.eprints.org/98/"/>
    <hyperlink ref="Z119" r:id="rId439" display="http://www.fer.unizg.hr/en"/>
    <hyperlink ref="AA119" r:id="rId440" display="http://www.fer.unizg.hr/oa2012/declaration"/>
    <hyperlink ref="B120" r:id="rId441" display="http://roarmap.eprints.org/99/"/>
    <hyperlink ref="Z120" r:id="rId442" display="http://www.cas.cz/"/>
    <hyperlink ref="AA120" r:id="rId443" display="http://www.cas.cz/o_avcr/zakladni_informace/dokumenty/politika-otevreneho-pristupu.html"/>
    <hyperlink ref="AB120" r:id="rId444" display="http://www.cas.cz/veda_a_vyzkum/"/>
    <hyperlink ref="B121" r:id="rId445" display="http://roarmap.eprints.org/655/"/>
    <hyperlink ref="Z121" r:id="rId446" display="http://www.vutbr.cz/en/"/>
    <hyperlink ref="AA121" r:id="rId447" display="http://www.vutbr.cz/en/libraries/openaccess/rectors-degree-21-2013-pdf-p84774"/>
    <hyperlink ref="AB121" r:id="rId448" display="https://dspace.vutbr.cz/"/>
    <hyperlink ref="B122" r:id="rId449" display="http://roarmap.eprints.org/674/"/>
    <hyperlink ref="Z122" r:id="rId450" display="http://www.utb.cz/"/>
    <hyperlink ref="AA122" r:id="rId451" display="http://www.utb.cz/file/46119/"/>
    <hyperlink ref="AB122" r:id="rId452" display="http://publikace.k.utb.cz"/>
    <hyperlink ref="B123" r:id="rId453" display="http://roarmap.eprints.org/100/"/>
    <hyperlink ref="Z123" r:id="rId454" display="http://www.en.aau.dk/"/>
    <hyperlink ref="AB123" r:id="rId455" display="http://vbn.aau.dk/en/"/>
    <hyperlink ref="B124" r:id="rId456" display="http://roarmap.eprints.org/101/"/>
    <hyperlink ref="Z124" r:id="rId457" display="http://www.au.dk/en/"/>
    <hyperlink ref="AA124" r:id="rId458" display="http://www.au.dk/en/about/uni/rektorat/newsletter/2010/8/"/>
    <hyperlink ref="AB124" r:id="rId459" display="http://medarbejdere.au.dk/pure/"/>
    <hyperlink ref="B125" r:id="rId460" display="http://roarmap.eprints.org/102/"/>
    <hyperlink ref="Z125" r:id="rId461" display="http://www.cbs.dk/en"/>
    <hyperlink ref="AA125" r:id="rId462" display="http://www.cbs.dk/files/cbs.dk/call_to_action/open_access_politik_2009.pdf"/>
    <hyperlink ref="AB125" r:id="rId463" display="http://www.cbs.dk/en/research/cbs-publications"/>
    <hyperlink ref="B126" r:id="rId464" display="http://roarmap.eprints.org/103/"/>
    <hyperlink ref="Z126" r:id="rId465" display="http://ufm.dk/"/>
    <hyperlink ref="AA126" r:id="rId466" display="http://ufm.dk/en/research-and-innovation/cooperation-between-research-and-innovation/open-science/open-access-policy-for-public-research-councils-and-foundations?searchterm=open%0A               access"/>
    <hyperlink ref="B127" r:id="rId467" display="http://roarmap.eprints.org/104/"/>
    <hyperlink ref="Z127" r:id="rId468" display="http://ufm.dk/en/the-minister-and-the-ministry/organisation/the-danish-agency-for-science-technology-and-innovation"/>
    <hyperlink ref="AA127" r:id="rId469" display="http://ufm.dk/en/research-and-innovation/councils-and-commissions/the-danish-council-for-independent-research/open-access-policy"/>
    <hyperlink ref="B128" r:id="rId470" display="http://roarmap.eprints.org/105/"/>
    <hyperlink ref="Z128" r:id="rId471" display="http://www.norden.org/en"/>
    <hyperlink ref="AA128" r:id="rId472" display="http://www.norden.org/en/publications/open-access/open-access-mandate"/>
    <hyperlink ref="AB128" r:id="rId473" display="http://norden.diva-portal.org/smash/search.jsf"/>
    <hyperlink ref="B129" r:id="rId474" display="http://roarmap.eprints.org/106/"/>
    <hyperlink ref="Z129" r:id="rId475" display="http://www.ruc.dk/en/"/>
    <hyperlink ref="AA129" r:id="rId476" display="http://rudar.ruc.dk/bitstream/1800/5149/1/Digitaliserings_arkiveringspolitik.pdf"/>
    <hyperlink ref="AB129" r:id="rId477" display="http://rudar.ruc.dk/"/>
    <hyperlink ref="B130" r:id="rId478" display="http://roarmap.eprints.org/107/"/>
    <hyperlink ref="Z130" r:id="rId479" display="http://www.sdu.dk/en/"/>
    <hyperlink ref="AA130" r:id="rId480" display="http://www.sdu.dk/en/bibliotek/vejledning/open_access"/>
    <hyperlink ref="AB130" r:id="rId481" display="http://findresearcher.sdu.dk:8080/portal/da/publications/search.html"/>
    <hyperlink ref="B131" r:id="rId482" display="http://roarmap.eprints.org/177/"/>
    <hyperlink ref="Z131" r:id="rId483" display="http://www.etag.ee/en/estonian-research-council/"/>
    <hyperlink ref="AA131" r:id="rId484" display="http://www.etag.ee/rahastamine/personaalne-uurimistoetus/put-taotlusvoor-2013/"/>
    <hyperlink ref="AB131" r:id="rId485" display="https://www.etis.ee/portaal/tTpublikatsioonid.aspx?lang=en"/>
    <hyperlink ref="B132" r:id="rId486" display="http://roarmap.eprints.org/176/"/>
    <hyperlink ref="Z132" r:id="rId487" display="http://www.hm.ee/?1"/>
    <hyperlink ref="AA132" r:id="rId488" display="https://www.riigiteataja.ee/akt/119022014016"/>
    <hyperlink ref="AB132" r:id="rId489" display="http://www.etis.ee"/>
    <hyperlink ref="B133" r:id="rId490" display="http://roarmap.eprints.org/175/"/>
    <hyperlink ref="AA133" r:id="rId491" display="https://www.riigiteataja.ee/aktilisa/3290/1201/4002/strateegia.pdf"/>
    <hyperlink ref="B134" r:id="rId492" display="http://roarmap.eprints.org/678/"/>
    <hyperlink ref="Z134" r:id="rId493" display="http://www.aalto.fi/en/"/>
    <hyperlink ref="AA134" r:id="rId494" display="http://libguides.aalto.fi/content.php?pid=621981&amp;sid=5317221"/>
    <hyperlink ref="AB134" r:id="rId495" display="https://aaltodoc.aalto.fi/"/>
    <hyperlink ref="B135" r:id="rId496" display="http://roarmap.eprints.org/108/"/>
    <hyperlink ref="Z135" r:id="rId497" display="http://www.arcada.fi/en"/>
    <hyperlink ref="AA135" r:id="rId498" display="http://www.arene.fi/data/dokumentit/52bd599d-66f6-41a9-8cb7-6e151ec677d5_open access julkilausuma.pdf"/>
    <hyperlink ref="AB135" r:id="rId499" display="http://www.theseus.fi/"/>
    <hyperlink ref="B136" r:id="rId500" display="http://roarmap.eprints.org/109/"/>
    <hyperlink ref="Z136" r:id="rId501" display="http://web.centria.fi/Default.aspx"/>
    <hyperlink ref="AA136" r:id="rId502" display="http://www.arene.fi/data/dokumentit/52bd599d-66f6-41a9-8cb7-6e151ec677d5_open access julkilausuma.pdf"/>
    <hyperlink ref="AB136" r:id="rId503" display="http://www.theseus.fi/"/>
    <hyperlink ref="B137" r:id="rId504" display="http://roarmap.eprints.org/110/"/>
    <hyperlink ref="Z137" r:id="rId505" display="http://www.diak.fi/Sivut/default.aspx"/>
    <hyperlink ref="AA137" r:id="rId506" display="http://www.arene.fi/data/dokumentit/52bd599d-66f6-41a9-8cb7-6e151ec677d5_open access julkilausuma.pdf"/>
    <hyperlink ref="AB137" r:id="rId507" display="http://www.theseus.fi/"/>
    <hyperlink ref="B138" r:id="rId508" display="http://roarmap.eprints.org/111/"/>
    <hyperlink ref="Z138" r:id="rId509" display="http://www.haaga-helia.fi/en/frontpage"/>
    <hyperlink ref="AA138" r:id="rId510" display="http://www.arene.fi/data/dokumentit/52bd599d-66f6-41a9-8cb7-6e151ec677d5_open access julkilausuma.pdf"/>
    <hyperlink ref="AB138" r:id="rId511" display="http://www.theseus.fi/"/>
    <hyperlink ref="B139" r:id="rId512" display="http://roarmap.eprints.org/112/"/>
    <hyperlink ref="Z139" r:id="rId513" display="http://portal.hamk.fi/portal/page/portal/HAMK/In_English"/>
    <hyperlink ref="AA139" r:id="rId514" display="http://www.arene.fi/data/dokumentit/52bd599d-66f6-41a9-8cb7-6e151ec677d5_open access julkilausuma.pdf"/>
    <hyperlink ref="AB139" r:id="rId515" display="http://www.theseus.fi/"/>
    <hyperlink ref="B140" r:id="rId516" display="http://roarmap.eprints.org/113/"/>
    <hyperlink ref="Z140" r:id="rId517" display="http://www.humak.fi/en"/>
    <hyperlink ref="AA140" r:id="rId518" display="http://www.arene.fi/data/dokumentit/52bd599d-66f6-41a9-8cb7-6e151ec677d5_open access julkilausuma.pdf"/>
    <hyperlink ref="AB140" r:id="rId519" display="http://theseus.fi/"/>
    <hyperlink ref="B141" r:id="rId520" display="http://roarmap.eprints.org/114/"/>
    <hyperlink ref="Z141" r:id="rId521" display="http://www.metropolia.fi/en/"/>
    <hyperlink ref="AA141" r:id="rId522" display="http://www.arene.fi/data/dokumentit/52bd599d-66f6-41a9-8cb7-6e151ec677d5_open access julkilausuma.pdf"/>
    <hyperlink ref="AB141" r:id="rId523" display="http://www.theseus.fi/"/>
    <hyperlink ref="B142" r:id="rId524" display="http://roarmap.eprints.org/115/"/>
    <hyperlink ref="Z142" r:id="rId525" display="https://www.jamk.fi/en/Home/"/>
    <hyperlink ref="AA142" r:id="rId526" display="http://www.arene.fi/data/dokumentit/52bd599d-66f6-41a9-8cb7-6e151ec677d5_open access julkilausuma.pdf"/>
    <hyperlink ref="AB142" r:id="rId527" display="http://theseus.fi/"/>
    <hyperlink ref="B143" r:id="rId528" display="http://roarmap.eprints.org/116/"/>
    <hyperlink ref="Z143" r:id="rId529" display="http://www.kamk.fi/en"/>
    <hyperlink ref="AA143" r:id="rId530" display="http://www.arene.fi/data/dokumentit/52bd599d-66f6-41a9-8cb7-6e151ec677d5_open access julkilausuma.pdf"/>
    <hyperlink ref="AB143" r:id="rId531" display="http://theseus.fi/"/>
    <hyperlink ref="B144" r:id="rId532" display="http://roarmap.eprints.org/117/"/>
    <hyperlink ref="Z144" r:id="rId533" display="http://www.lapinamk.fi/en"/>
    <hyperlink ref="AA144" r:id="rId534" display="http://www.arene.fi/data/dokumentit/52bd599d-66f6-41a9-8cb7-6e151ec677d5_open access julkilausuma.pdf"/>
    <hyperlink ref="AB144" r:id="rId535" display="http://theseus.fi/"/>
    <hyperlink ref="B145" r:id="rId536" display="http://roarmap.eprints.org/118/"/>
    <hyperlink ref="Z145" r:id="rId537" display="http://www.kyamk.fi/Frontpage"/>
    <hyperlink ref="AA145" r:id="rId538" display="http://www.arene.fi/data/dokumentit/52bd599d-66f6-41a9-8cb7-6e151ec677d5_open access julkilausuma.pdf"/>
    <hyperlink ref="AB145" r:id="rId539" display="http://theseus.fi/"/>
    <hyperlink ref="B146" r:id="rId540" display="http://roarmap.eprints.org/119/"/>
    <hyperlink ref="Z146" r:id="rId541" display="http://www.lamk.fi/english/Sivut/default.aspx"/>
    <hyperlink ref="AA146" r:id="rId542" display="http://www.arene.fi/data/dokumentit/52bd599d-66f6-41a9-8cb7-6e151ec677d5_open access julkilausuma.pdf"/>
    <hyperlink ref="AB146" r:id="rId543" display="http://theseus.fi/"/>
    <hyperlink ref="B147" r:id="rId544" display="http://roarmap.eprints.org/126/"/>
    <hyperlink ref="Z147" r:id="rId545" display="http://www.lapinamk.fi/en"/>
    <hyperlink ref="AA147" r:id="rId546" display="http://www.finnoa.fi/?page_id=14"/>
    <hyperlink ref="AB147" r:id="rId547" display="https://www.theseus.fi/"/>
    <hyperlink ref="B148" r:id="rId548" display="http://roarmap.eprints.org/120/"/>
    <hyperlink ref="Z148" r:id="rId549" display="http://www.laurea.fi/en/pages/default.aspx"/>
    <hyperlink ref="AA148" r:id="rId550" display="http://www.arene.fi/data/dokumentit/52bd599d-66f6-41a9-8cb7-6e151ec677d5_open access julkilausuma.pdf"/>
    <hyperlink ref="AB148" r:id="rId551" display="http://theseus.fi/"/>
    <hyperlink ref="B149" r:id="rId552" display="http://roarmap.eprints.org/121/"/>
    <hyperlink ref="Z149" r:id="rId553" display="http://www.mamk.fi/front_page"/>
    <hyperlink ref="AA149" r:id="rId554" display="http://www.arene.fi/data/dokumentit/52bd599d-66f6-41a9-8cb7-6e151ec677d5_open access julkilausuma.pdf"/>
    <hyperlink ref="AB149" r:id="rId555" display="http://theseus.fi/"/>
    <hyperlink ref="B150" r:id="rId556" display="http://roarmap.eprints.org/122/"/>
    <hyperlink ref="Z150" r:id="rId557" display="http://www.karelia.fi/en/"/>
    <hyperlink ref="AA150" r:id="rId558" display="http://www.arene.fi/data/dokumentit/52bd599d-66f6-41a9-8cb7-6e151ec677d5_open access julkilausuma.pdf"/>
    <hyperlink ref="AB150" r:id="rId559" display="http://theseus.fi/"/>
    <hyperlink ref="B151" r:id="rId560" display="http://roarmap.eprints.org/123/"/>
    <hyperlink ref="Z151" r:id="rId561" display="http://www.novia.fi/"/>
    <hyperlink ref="AA151" r:id="rId562" display="http://www.arene.fi/data/dokumentit/52bd599d-66f6-41a9-8cb7-6e151ec677d5_open access julkilausuma.pdf"/>
    <hyperlink ref="AB151" r:id="rId563" display="http://theseus.fi/"/>
    <hyperlink ref="B152" r:id="rId564" display="http://roarmap.eprints.org/124/"/>
    <hyperlink ref="Z152" r:id="rId565" display="http://www.oamk.fi/english/"/>
    <hyperlink ref="AA152" r:id="rId566" display="http://www.arene.fi/data/dokumentit/52bd599d-66f6-41a9-8cb7-6e151ec677d5_open access julkilausuma.pdf"/>
    <hyperlink ref="AB152" r:id="rId567" display="http://theseus.fi/"/>
    <hyperlink ref="B153" r:id="rId568" display="http://roarmap.eprints.org/127/"/>
    <hyperlink ref="Z153" r:id="rId569" display="http://www.saimia.fi/en-FI/general-information"/>
    <hyperlink ref="AA153" r:id="rId570" display="http://www.arene.fi/data/dokumentit/52bd599d-66f6-41a9-8cb7-6e151ec677d5_open access julkilausuma.pdf"/>
    <hyperlink ref="AB153" r:id="rId571" display="http://theseus.fi/"/>
    <hyperlink ref="B154" r:id="rId572" display="http://roarmap.eprints.org/128/"/>
    <hyperlink ref="Z154" r:id="rId573" display="http://www.samk.fi/"/>
    <hyperlink ref="AA154" r:id="rId574" display="http://www.arene.fi/data/dokumentit/52bd599d-66f6-41a9-8cb7-6e151ec677d5_open access julkilausuma.pdf"/>
    <hyperlink ref="AB154" r:id="rId575" display="http://theseus.fi/"/>
    <hyperlink ref="B155" r:id="rId576" display="http://roarmap.eprints.org/129/"/>
    <hyperlink ref="Z155" r:id="rId577" display="http://portal.savonia.fi/amk/en/"/>
    <hyperlink ref="AA155" r:id="rId578" display="http://www.arene.fi/data/dokumentit/52bd599d-66f6-41a9-8cb7-6e151ec677d5_open access julkilausuma.pdf"/>
    <hyperlink ref="AB155" r:id="rId579" display="http://theseus.fi/"/>
    <hyperlink ref="B156" r:id="rId580" display="http://roarmap.eprints.org/130/"/>
    <hyperlink ref="Z156" r:id="rId581" display="http://www.seamk.fi/en"/>
    <hyperlink ref="AA156" r:id="rId582" display="http://www.arene.fi/data/dokumentit/52bd599d-66f6-41a9-8cb7-6e151ec677d5_open access julkilausuma.pdf"/>
    <hyperlink ref="AB156" r:id="rId583" display="http://www.theseus.fi/"/>
    <hyperlink ref="B157" r:id="rId584" display="http://roarmap.eprints.org/131/"/>
    <hyperlink ref="Z157" r:id="rId585" display="http://www.tamk.fi/cms/tamken.nsf"/>
    <hyperlink ref="AA157" r:id="rId586" display="http://www.arene.fi/data/dokumentit/52bd599d-66f6-41a9-8cb7-6e151ec677d5_open access julkilausuma.pdf"/>
    <hyperlink ref="AB157" r:id="rId587" display="http://theseus.fi/"/>
    <hyperlink ref="B158" r:id="rId588" display="http://roarmap.eprints.org/132/"/>
    <hyperlink ref="Z158" r:id="rId589" display="http://www.tuas.fi/en/"/>
    <hyperlink ref="AA158" r:id="rId590" display="http://www.arene.fi/data/dokumentit/52bd599d-66f6-41a9-8cb7-6e151ec677d5_open access julkilausuma.pdf"/>
    <hyperlink ref="AB158" r:id="rId591" display="http://theseus.fi/"/>
    <hyperlink ref="B159" r:id="rId592" display="http://roarmap.eprints.org/133/"/>
    <hyperlink ref="Z159" r:id="rId593" display="http://www.helsinki.fi/university/index.html"/>
    <hyperlink ref="AA159" r:id="rId594" display="http://www.helsinki.fi/openaccess/open access/english/decision260508_eng.pdf"/>
    <hyperlink ref="AB159" r:id="rId595" display="https://helda.helsinki.fi/"/>
    <hyperlink ref="B160" r:id="rId596" display="http://roarmap.eprints.org/134/"/>
    <hyperlink ref="Z160" r:id="rId597" display="http://www.uta.fi/english/"/>
    <hyperlink ref="AA160" r:id="rId598" display="http://www.uta.fi/english/research/OA/self-archiving/decision_OA.pdf"/>
    <hyperlink ref="AB160" r:id="rId599" display="http://tampub.uta.fi/english/index.php"/>
    <hyperlink ref="B161" r:id="rId600" display="http://roarmap.eprints.org/135/"/>
    <hyperlink ref="Z161" r:id="rId601" display="http://www.puv.fi/en/"/>
    <hyperlink ref="AA161" r:id="rId602" display="http://www.arene.fi/data/dokumentit/52bd599d-66f6-41a9-8cb7-6e151ec677d5_open access julkilausuma.pdf"/>
    <hyperlink ref="AB161" r:id="rId603" display="http://theseus.fi/"/>
    <hyperlink ref="B162" r:id="rId604" display="http://roarmap.eprints.org/136/"/>
    <hyperlink ref="Z162" r:id="rId605" display="http://www.agence-nationale-recherche.fr/"/>
    <hyperlink ref="AA162" r:id="rId606" display="http://www.agence-nationale-recherche.fr/informations/actualites/detail/?tx_ttnews%5btt_news%5d=159"/>
    <hyperlink ref="AB162" r:id="rId607" display="http://hal.archives-ouvertes.fr/"/>
    <hyperlink ref="B163" r:id="rId608" display="http://roarmap.eprints.org/137/"/>
    <hyperlink ref="Z163" r:id="rId609" display="http://www.agence-nationale-recherche.fr/suivi-bilan/sciences-humaines-et-sociales/"/>
    <hyperlink ref="AB163" r:id="rId610" display="http://halshs.archives-ouvertes.fr/"/>
    <hyperlink ref="B164" r:id="rId611" display="http://roarmap.eprints.org/741/"/>
    <hyperlink ref="Z164" r:id="rId612" display="http://www.ensam.eu/"/>
    <hyperlink ref="AB164" r:id="rId613" display="http://sam.ensam.eu"/>
    <hyperlink ref="B165" r:id="rId614" display="http://roarmap.eprints.org/138/"/>
    <hyperlink ref="Z165" r:id="rId615" display="http://adbu.fr/"/>
    <hyperlink ref="AA165" r:id="rId616" display="http://adbu.fr/wp-content/uploads/2012/10/2012-10_communique-libre-acces.pdf"/>
    <hyperlink ref="B166" r:id="rId617" display="http://roarmap.eprints.org/139/"/>
    <hyperlink ref="Z166" r:id="rId618" display="http://www.cnrs.fr/index.php"/>
    <hyperlink ref="AA166" r:id="rId619" display="http://www.ccsd.cnrs.fr/support/content/PDF/DGauxDU_060621.pdf"/>
    <hyperlink ref="AB166" r:id="rId620" display="http://hal.archives-ouvertes.fr/index.php?langue=en&amp;halsid=214iku2pn9ft27fcl6rrct4jb5"/>
    <hyperlink ref="B167" r:id="rId621" display="http://roarmap.eprints.org/634/"/>
    <hyperlink ref="Z167" r:id="rId622" display="http://www.eur-oceans.eu/"/>
    <hyperlink ref="AA167" r:id="rId623" display="http://www.eur-oceans.eu/LogosPolicies"/>
    <hyperlink ref="AB167" r:id="rId624" display="https://www.openaire.eu/"/>
    <hyperlink ref="B168" r:id="rId625" display="http://roarmap.eprints.org/140/"/>
    <hyperlink ref="Z168" r:id="rId626" display="http://institut.inra.fr/en"/>
    <hyperlink ref="AB168" r:id="rId627" display="http://prodinra.inra.fr/?locale=en"/>
    <hyperlink ref="B169" r:id="rId628" display="http://roarmap.eprints.org/141/"/>
    <hyperlink ref="Z169" r:id="rId629" display="http://www.inra.fr/"/>
    <hyperlink ref="AA169" r:id="rId630" display="http://roarmap.eprints.org/6/"/>
    <hyperlink ref="B170" r:id="rId631" display="http://roarmap.eprints.org/142/"/>
    <hyperlink ref="Z170" r:id="rId632" display="http://www.inria.fr/en/"/>
    <hyperlink ref="AA170" r:id="rId633" display="http://seism.inria.fr/hal/aide/spip.php?article328&amp;lang=en"/>
    <hyperlink ref="AB170" r:id="rId634" display="http://hal.inria.fr/"/>
    <hyperlink ref="B171" r:id="rId635" display="http://roarmap.eprints.org/143/"/>
    <hyperlink ref="Z171" r:id="rId636" display="http://english.inserm.fr/"/>
    <hyperlink ref="AB171" r:id="rId637" display="http://www.hal.inserm.fr/"/>
    <hyperlink ref="B172" r:id="rId638" display="http://roarmap.eprints.org/144/"/>
    <hyperlink ref="Z172" r:id="rId639" display="http://www.ifsttar.fr/"/>
    <hyperlink ref="AB172" r:id="rId640" display="http://hal.archives-ouvertes.fr/IFSTTAR"/>
    <hyperlink ref="B173" r:id="rId641" display="http://roarmap.eprints.org/145/"/>
    <hyperlink ref="Z173" r:id="rId642" display="http://www.institutnicod.org/"/>
    <hyperlink ref="AA173" r:id="rId643" display="http://www.eprints.org/openaccess/policysignup/fullinfo.php?inst=Institut Jean Nicod"/>
    <hyperlink ref="AB173" r:id="rId644" display="http://jeannicod.ccsd.cnrs.fr/"/>
    <hyperlink ref="B174" r:id="rId645" display="http://roarmap.eprints.org/146/"/>
    <hyperlink ref="Z174" r:id="rId646" display="http://wwz.ifremer.fr/institut"/>
    <hyperlink ref="AA174" r:id="rId647" display="http://archimer.ifremer.fr/depot.htm"/>
    <hyperlink ref="AB174" r:id="rId648" display="http://archimer.ifremer.fr/default.jsp?la=en"/>
    <hyperlink ref="B175" r:id="rId649" display="http://roarmap.eprints.org/147/"/>
    <hyperlink ref="Z175" r:id="rId650" display="http://www.psychologie.parisdescartes.fr/"/>
    <hyperlink ref="AB175" r:id="rId651" display="http://hal-descartes.archives-ouvertes.fr/"/>
    <hyperlink ref="B176" r:id="rId652" display="http://roarmap.eprints.org/636/"/>
    <hyperlink ref="Z176" r:id="rId653" display="http://en.unesco.org/"/>
    <hyperlink ref="AA176" r:id="rId654" display="http://www.unesco.org/new/fileadmin/MULTIMEDIA/HQ/ERI/pdf/oa_policy_rev2.pdf"/>
    <hyperlink ref="AB176" r:id="rId655" display="http://en.unesco.org/open-access/"/>
    <hyperlink ref="B177" r:id="rId656" display="http://roarmap.eprints.org/148/"/>
    <hyperlink ref="Z177" r:id="rId657" display="http://www.univ-lyon2.fr/"/>
    <hyperlink ref="AB177" r:id="rId658" display="http://halshs.archives-ouvertes.fr/UNIV-LYON2/fr/"/>
    <hyperlink ref="B178" r:id="rId659" display="http://roarmap.eprints.org/149/"/>
    <hyperlink ref="Z178" r:id="rId660" display="http://www.univ-angers.fr/en/index.html"/>
    <hyperlink ref="AB178" r:id="rId661" display="http://hal.archives-ouvertes.fr/"/>
    <hyperlink ref="B179" r:id="rId662" display="http://roarmap.eprints.org/150/"/>
    <hyperlink ref="Z179" r:id="rId663" display="http://www.univ-lorraine.fr/"/>
    <hyperlink ref="AA179" r:id="rId664" display="http://bu.univ-lorraine.fr/ressources/theses-et-memoires/procedure-de-depot-final-de-votre-these-de-doctorat"/>
    <hyperlink ref="B180" r:id="rId665" display="http://roarmap.eprints.org/151/"/>
    <hyperlink ref="Z180" r:id="rId666" display="https://www.uni-bielefeld.de/(en)/"/>
    <hyperlink ref="AA180" r:id="rId667" display="http://oa.uni-bielefeld.de/"/>
    <hyperlink ref="AB180" r:id="rId668" display="http://pub.uni-bielefeld.de/"/>
    <hyperlink ref="AZ180" r:id="rId669" display="http://oa.uni-bielefeld.de/publikationsfonds.html"/>
    <hyperlink ref="B181" r:id="rId670" display="http://roarmap.eprints.org/152/"/>
    <hyperlink ref="Z181" r:id="rId671" display="http://www.dfg.de/en/"/>
    <hyperlink ref="B182" r:id="rId672" display="http://roarmap.eprints.org/153/"/>
    <hyperlink ref="Z182" r:id="rId673" display="http://www.fraunhofer.de/"/>
    <hyperlink ref="AA182" r:id="rId674" display="http://www.fraunhofer.de/content/dam/zv/en/documents/OpenAccessPolicy_tcm63-828.pdf"/>
    <hyperlink ref="AB182" r:id="rId675" display="http://publica.fraunhofer.de/starweb/ep08/en/index.htm"/>
    <hyperlink ref="B183" r:id="rId676" display="http://roarmap.eprints.org/155/"/>
    <hyperlink ref="Z183" r:id="rId677" display="http://www.uni-freiburg.de/"/>
    <hyperlink ref="AA183" r:id="rId678" display="http://www.ub.uni-freiburg.de/index.php?id=3651"/>
    <hyperlink ref="AB183" r:id="rId679" display="https://www.freidok.uni-freiburg.de/"/>
    <hyperlink ref="AZ183" r:id="rId680" display="http://www.ub.uni-freiburg.de/index.php?id=oapf"/>
    <hyperlink ref="B184" r:id="rId681" display="http://roarmap.eprints.org/154/"/>
    <hyperlink ref="Z184" r:id="rId682" display="http://www.fu-berlin.de/en"/>
    <hyperlink ref="AA184" r:id="rId683" display="http://www.fu-berlin.de/sites/open_access/"/>
    <hyperlink ref="AB184" r:id="rId684" display="http://edocs.fu-berlin.de/docs/content/below/index.xml"/>
    <hyperlink ref="AZ184" r:id="rId685" display="http://www.fu-berlin.de/sites/open_access/dienstleistungen/publikationsfonds/"/>
    <hyperlink ref="B185" r:id="rId686" display="http://roarmap.eprints.org/156/"/>
    <hyperlink ref="Z185" r:id="rId687" display="http://www.uni-goettingen.de/"/>
    <hyperlink ref="AA185" r:id="rId688" display="http://www.sub.uni-goettingen.de/en/electronic-publishing/open-access/"/>
    <hyperlink ref="AB185" r:id="rId689" display="http://www.univerlag.uni-goettingen.de/"/>
    <hyperlink ref="AZ185" r:id="rId690" display="http://www.sub.uni-goettingen.de/fileadmin/media/texte/informationsversorgung_z/epu/oa-policy_goettingen-edu_de_110211.pdf"/>
    <hyperlink ref="B186" r:id="rId691" display="http://roarmap.eprints.org/157/"/>
    <hyperlink ref="Z186" r:id="rId692" display="http://www.tib-hannover.de/en/"/>
    <hyperlink ref="AA186" r:id="rId693" display="http://www.tib-hannover.de/fileadmin/dokumentlieferung/openaccess/TIB-OA-Policy-EN.pdf"/>
    <hyperlink ref="AB186" r:id="rId694" display="http://www.leibnizopen.de/en/home/"/>
    <hyperlink ref="B187" r:id="rId695" display="http://roarmap.eprints.org/158/"/>
    <hyperlink ref="Z187" r:id="rId696" display="http://www.helmholtz.de/en/home/"/>
    <hyperlink ref="AA187" r:id="rId697" display="http://www.helmholtz.de/fileadmin/user_upload/01_forschung/2013-10-14_oa-policy-ivf_e.pdf"/>
    <hyperlink ref="AB187" r:id="rId698" display="http://oa.helmholtz.de/open-science-in-der-helmholtz-gemeinschaft/open-access-der-gruene-weg.html"/>
    <hyperlink ref="AZ187" r:id="rId699" display="http://oa.helmholtz.de/open-science-in-der-helmholtz-gemeinschaft/open-access-der-goldene-weg.html"/>
    <hyperlink ref="B188" r:id="rId700" display="http://roarmap.eprints.org/159/"/>
    <hyperlink ref="Z188" r:id="rId701" display="http://www.hu-berlin.de/"/>
    <hyperlink ref="AA188" r:id="rId702" display="http://edoc.hu-berlin.de/e_info_en/oa-declaration.php"/>
    <hyperlink ref="AB188" r:id="rId703" display="http://edoc.hu-berlin.de/"/>
    <hyperlink ref="B189" r:id="rId704" display="http://roarmap.eprints.org/160/"/>
    <hyperlink ref="Z189" r:id="rId705" display="http://www.isn-oldenburg.de/en/"/>
    <hyperlink ref="AA189" r:id="rId706" display="http://www.isn-oldenburg.de/uploads/publications/2013/oa-doc-and-content.pdf"/>
    <hyperlink ref="B190" r:id="rId707" display="http://roarmap.eprints.org/161/"/>
    <hyperlink ref="Z190" r:id="rId708" display="http://www.uni-giessen.de/"/>
    <hyperlink ref="B191" r:id="rId709" display="http://roarmap.eprints.org/162/"/>
    <hyperlink ref="Z191" r:id="rId710" display="http://www.kit.edu/"/>
    <hyperlink ref="AA191" r:id="rId711" display="http://www.bibliothek.kit.edu/cms/english/open-access.php"/>
    <hyperlink ref="AB191" r:id="rId712" display="http://www.bibliothek.kit.edu/cms/english/kit-publications.php"/>
    <hyperlink ref="AZ191" r:id="rId713" display="http://www.bibliothek.kit.edu/cms/english/kit-publication-fund.php"/>
    <hyperlink ref="B192" r:id="rId714" display="http://roarmap.eprints.org/163/"/>
    <hyperlink ref="Z192" r:id="rId715" display="http://www.uni-kassel.de/"/>
    <hyperlink ref="AA192" r:id="rId716" display="http://www.uni-kassel.de/ub/publizieren/open-access/policy-der-universitaet-kassel.html"/>
    <hyperlink ref="AB192" r:id="rId717" display="https://kobra.bibliothek.uni-kassel.de/"/>
    <hyperlink ref="AZ192" r:id="rId718" display="http://www.uni-kassel.de/ub/publizieren/open-access/publikationsfonds.html"/>
    <hyperlink ref="B193" r:id="rId719" display="http://roarmap.eprints.org/164/"/>
    <hyperlink ref="Z193" r:id="rId720" display="http://www.leibniz-gemeinschaft.de/en/home/"/>
    <hyperlink ref="AA193" r:id="rId721" display="http://www.leibniz-gemeinschaft.de/fileadmin/user_upload/downloads/Infrastruktur/Leibniz_OpenAccess-Leitlinie_-_ENGLISH.pdf"/>
    <hyperlink ref="AB193" r:id="rId722" display="http://www.leibnizopen.de/en/home/"/>
    <hyperlink ref="B194" r:id="rId723" display="http://roarmap.eprints.org/165/"/>
    <hyperlink ref="Z194" r:id="rId724" display="http://www.mpg.de/en"/>
    <hyperlink ref="AA194" r:id="rId725" display="http://openaccess.mpg.de/1085472/Mission-Statement-final-en.pdf"/>
    <hyperlink ref="AB194" r:id="rId726" display="http://pubman.mpdl.mpg.de"/>
    <hyperlink ref="AZ194" r:id="rId727" display="http://www.mpdl.mpg.de/services/oa_policy_de.htm"/>
    <hyperlink ref="B195" r:id="rId728" display="http://roarmap.eprints.org/166/"/>
    <hyperlink ref="Z195" r:id="rId729" display="http://www.maxweberstiftung.de/en/startseite.html"/>
    <hyperlink ref="AA195" r:id="rId730" display="http://www.maxweberstiftung.de/en/ueber-uns.html"/>
    <hyperlink ref="AB195" r:id="rId731" display="http://www.perspectivia.net/"/>
    <hyperlink ref="B196" r:id="rId732" display="http://roarmap.eprints.org/167/"/>
    <hyperlink ref="Z196" r:id="rId733" display="http://www.uni-potsdam.de/"/>
    <hyperlink ref="AA196" r:id="rId734" display="http://opus.kobv.de/ubp/doku/openacc.php"/>
    <hyperlink ref="AB196" r:id="rId735" display="http://opus.kobv.de/ubp/"/>
    <hyperlink ref="B197" r:id="rId736" display="http://roarmap.eprints.org/168/"/>
    <hyperlink ref="Z197" r:id="rId737" display="https://www.uni-tuebingen.de"/>
    <hyperlink ref="AA197" r:id="rId738" display="http://www.uni-tuebingen.de/en/facilities/university-library/students-lecturers-researchers/open-access-policy.html"/>
    <hyperlink ref="AB197" r:id="rId739" display="http://www.clarin.eu/"/>
    <hyperlink ref="AZ197" r:id="rId740" display="http://www.uni-tuebingen.de/en/facilities/university-library/students-lecturers-researchers/open-access-publikationsfonds.html"/>
    <hyperlink ref="B198" r:id="rId741" display="http://roarmap.eprints.org/169/"/>
    <hyperlink ref="Z198" r:id="rId742" display="http://www.uni-bremen.de"/>
    <hyperlink ref="AA198" r:id="rId743" display="http://www.uni-bremen.de/aktuelle-meldungen/einzelanzeige/article/universitaet-foerdert-open-access-publikationen.html?cHash=ef1c94248d51c169573e86edf3b1c4ef&amp;sword_list%5b%5d=open&amp;sword_list%5b%5d=access&amp;no_cache=1"/>
    <hyperlink ref="AB198" r:id="rId744" display="http://elib.suub.uni-bremen.de/"/>
    <hyperlink ref="B199" r:id="rId745" display="http://roarmap.eprints.org/170/"/>
    <hyperlink ref="Z199" r:id="rId746" display="http://www.uni-hamburg.de/"/>
    <hyperlink ref="B200" r:id="rId747" display="http://roarmap.eprints.org/171/"/>
    <hyperlink ref="Z200" r:id="rId748" display="http://www.uni-heidelberg.de/"/>
    <hyperlink ref="AA200" r:id="rId749" display="http://www.uni-heidelberg.de/university/profile/openaccess/index.html"/>
    <hyperlink ref="AB200" r:id="rId750" display="http://archiv.ub.uni-heidelberg.de/volltextserver/"/>
    <hyperlink ref="AZ200" r:id="rId751" display="http://www.ub.uni-heidelberg.de/Englisch/service/openaccess/publikationsfonds.html"/>
    <hyperlink ref="B201" r:id="rId752" display="http://roarmap.eprints.org/172/"/>
    <hyperlink ref="Z201" r:id="rId753" display="http://www.uni-regensburg.de/"/>
    <hyperlink ref="AA201" r:id="rId754" display="http://www.uni-regensburg.de/publikationen/medien/open-access-policy.pdf"/>
    <hyperlink ref="AB201" r:id="rId755" display="http://epub.uni-regensburg.de/"/>
    <hyperlink ref="B202" r:id="rId756" display="http://roarmap.eprints.org/1/"/>
    <hyperlink ref="Z202" r:id="rId757" display="http://www.knust.edu.gh"/>
    <hyperlink ref="AA202" r:id="rId758" display="http://roarmap.eprints.org/484/1/KNUSTSpace_Policy_Document.pdf"/>
    <hyperlink ref="B203" r:id="rId759" display="http://roarmap.eprints.org/173/"/>
    <hyperlink ref="Z203" r:id="rId760" display="http://www.acmac.uoc.gr/index.php"/>
    <hyperlink ref="AB203" r:id="rId761" display="http://preprints.acmac.uoc.gr/"/>
    <hyperlink ref="B204" r:id="rId762" display="http://roarmap.eprints.org/174/"/>
    <hyperlink ref="Z204" r:id="rId763" display="http://www.panteion.gr/"/>
    <hyperlink ref="B205" r:id="rId764" display="http://roarmap.eprints.org/17/"/>
    <hyperlink ref="Z205" r:id="rId765" display="http://www.polyu.edu.hk/cpa/polyu/index.php"/>
    <hyperlink ref="AA205" r:id="rId766" display="http://www.polyu.edu.hk/ro/newRO415.html"/>
    <hyperlink ref="AB205" r:id="rId767" display="http://repository.lib.polyu.edu.hk/jspui/"/>
    <hyperlink ref="B206" r:id="rId768" display="http://roarmap.eprints.org/18/"/>
    <hyperlink ref="Z206" r:id="rId769" display="http://www.hku.hk/"/>
    <hyperlink ref="AA206" r:id="rId770" display="http://www.eprints.org/openaccess/policysignup/fullinfo.php?inst=The University of Hong Kong"/>
    <hyperlink ref="AB206" r:id="rId771" display="http://hub.hku.hk/"/>
    <hyperlink ref="AZ206" r:id="rId772" display="http://hub.hku.hk/local/oaPub.jsp"/>
    <hyperlink ref="B207" r:id="rId773" display="http://roarmap.eprints.org/19/"/>
    <hyperlink ref="Z207" r:id="rId774" display="http://lib.hku.hk/"/>
    <hyperlink ref="AA207" r:id="rId775" display="http://hub.hku.hk/local/oaPolicy.jsp"/>
    <hyperlink ref="AB207" r:id="rId776" display="http://hub.hku.hk/"/>
    <hyperlink ref="B208" r:id="rId777" display="http://roarmap.eprints.org/178/"/>
    <hyperlink ref="Z208" r:id="rId778" display="http://www.kormany.hu/en"/>
    <hyperlink ref="B209" r:id="rId779" display="http://roarmap.eprints.org/179/"/>
    <hyperlink ref="Z209" r:id="rId780" display="http://www.otka.hu"/>
    <hyperlink ref="AA209" r:id="rId781" display="http://www.otka.hu/open-access"/>
    <hyperlink ref="AB209" r:id="rId782" display="http://real.mtak.hu"/>
    <hyperlink ref="B210" r:id="rId783" display="http://roarmap.eprints.org/180/"/>
    <hyperlink ref="Z210" r:id="rId784" display="http://mta.hu/english/"/>
    <hyperlink ref="AA210" r:id="rId785" display="http://real.mtak.hu/eprints/mandate.html"/>
    <hyperlink ref="AB210" r:id="rId786" display="http://real.mtak.hu"/>
    <hyperlink ref="B211" r:id="rId787" display="http://roarmap.eprints.org/181/"/>
    <hyperlink ref="Z211" r:id="rId788" display="http://www.bifrost.is/"/>
    <hyperlink ref="AA211" r:id="rId789" display="http://roarmap.eprints.org/606/1/bifrostmand.pdf"/>
    <hyperlink ref="AB211" r:id="rId790" display="http://skemman.is/en/"/>
    <hyperlink ref="B212" r:id="rId791" display="http://roarmap.eprints.org/182/"/>
    <hyperlink ref="Z212" r:id="rId792" display="http://www.rannis.is/"/>
    <hyperlink ref="AA212" r:id="rId793" display="http://www.rannis.is/starfsemi/opinn-adgangur/"/>
    <hyperlink ref="AB212" r:id="rId794" display="http://www.rannis.is/sjodir/opinn-adgangur/"/>
    <hyperlink ref="B213" r:id="rId795" display="http://roarmap.eprints.org/774/"/>
    <hyperlink ref="Z213" r:id="rId796" display="http://www.ru.is"/>
    <hyperlink ref="AA213" r:id="rId797" display="http://en.ru.is/media/hr/skjol/RU-OA-Policy---Approved-by-RU-Executive-Committee-November-13-2014.pdf"/>
    <hyperlink ref="AB213" r:id="rId798" display="http://skemman.is/en/"/>
    <hyperlink ref="B214" r:id="rId799" display="http://roarmap.eprints.org/758/"/>
    <hyperlink ref="Z214" r:id="rId800" display="http://www.hi.is"/>
    <hyperlink ref="AA214" r:id="rId801" display="http://www.hi.is/adalvefur/stefna_um_opinn_adgang"/>
    <hyperlink ref="AB214" r:id="rId802" display="http://www.skemman.is"/>
    <hyperlink ref="B215" r:id="rId803" display="http://roarmap.eprints.org/20/"/>
    <hyperlink ref="Z215" r:id="rId804" display="http://www.bdu.ac.in/"/>
    <hyperlink ref="AB215" r:id="rId805" display="http://www.bdu.ac.in/about-ckr/"/>
    <hyperlink ref="B216" r:id="rId806" display="http://roarmap.eprints.org/21/"/>
    <hyperlink ref="Z216" r:id="rId807" display="http://www.cgiar.org/"/>
    <hyperlink ref="AA216" r:id="rId808" display="http://www.cgiar.org/resources/open/"/>
    <hyperlink ref="B217" r:id="rId809" display="http://roarmap.eprints.org/22/"/>
    <hyperlink ref="Z217" r:id="rId810" display="http://rdpp.csir.res.in/csir_acsir/Home.aspx"/>
    <hyperlink ref="AA217" r:id="rId811" display="http://www.csircentral.net/mandate.pdf"/>
    <hyperlink ref="AB217" r:id="rId812" display="http://opendepot.org/"/>
    <hyperlink ref="B218" r:id="rId813" display="http://roarmap.eprints.org/651/"/>
    <hyperlink ref="Z218" r:id="rId814" display="http://dst.gov.in/"/>
    <hyperlink ref="AA218" r:id="rId815" display="http://dst.gov.in/whats_new/whats_new14/APPROVED OPEN ACCESS POLICY-DBT&amp;DST(12.12.2014).pdf"/>
    <hyperlink ref="B219" r:id="rId816" display="http://roarmap.eprints.org/635/"/>
    <hyperlink ref="Z219" r:id="rId817" display="http://www.icrisat.org/"/>
    <hyperlink ref="AA219" r:id="rId818" display="http://openaccess.eprints.org/index.php?/archives/579-Indias-3rd-Green-Open-Access-Self-Archiving-Mandate-Planets-82nd.html"/>
    <hyperlink ref="AB219" r:id="rId819" display="http://openaccess.icrisat.org/"/>
    <hyperlink ref="B220" r:id="rId820" display="http://roarmap.eprints.org/739/"/>
    <hyperlink ref="Z220" r:id="rId821" display="http://iith.ac.in/"/>
    <hyperlink ref="AA220" r:id="rId822" display="http://raiith.iith.ac.in/policies.html"/>
    <hyperlink ref="AB220" r:id="rId823" display="http://raiith.iith.ac.in/"/>
    <hyperlink ref="B221" r:id="rId824" display="http://roarmap.eprints.org/23/"/>
    <hyperlink ref="Z221" r:id="rId825" display="http://www.icar.org.in/"/>
    <hyperlink ref="AA221" r:id="rId826" display="http://icar.org.in/en/node/6609"/>
    <hyperlink ref="B222" r:id="rId827" display="http://roarmap.eprints.org/24/"/>
    <hyperlink ref="Z222" r:id="rId828" display="http://www.iihr.ernet.in/"/>
    <hyperlink ref="AA222" r:id="rId829" display="http://erepo.iihr.ernet.in/"/>
    <hyperlink ref="AB222" r:id="rId830" display="http://www.erepo.iihr.ernet.in/"/>
    <hyperlink ref="B223" r:id="rId831" display="http://roarmap.eprints.org/26/"/>
    <hyperlink ref="Z223" r:id="rId832" display="http://msubaroda.ac.in/"/>
    <hyperlink ref="AB223" r:id="rId833" display="http://14.139.121.106:8080/jspui/"/>
    <hyperlink ref="B224" r:id="rId834" display="http://roarmap.eprints.org/27/"/>
    <hyperlink ref="Z224" r:id="rId835" display="http://mkuniversity.org/main/"/>
    <hyperlink ref="B225" r:id="rId836" display="http://roarmap.eprints.org/28/"/>
    <hyperlink ref="Z225" r:id="rId837" display="http://www.mguniversity.edu/"/>
    <hyperlink ref="AB225" r:id="rId838" display="http://mgutheses.in/"/>
    <hyperlink ref="B226" r:id="rId839" display="http://roarmap.eprints.org/29/"/>
    <hyperlink ref="Z226" r:id="rId840" display="http://www.nio.org/"/>
    <hyperlink ref="AB226" r:id="rId841" display="http://drs.nio.org/drs/index.jsp"/>
    <hyperlink ref="B227" r:id="rId842" display="http://roarmap.eprints.org/30/"/>
    <hyperlink ref="Z227" r:id="rId843" display="http://www.nitrkl.ac.in/"/>
    <hyperlink ref="AB227" r:id="rId844" display="http://dspace.nitrkl.ac.in/dspace/"/>
    <hyperlink ref="B228" r:id="rId845" display="http://roarmap.eprints.org/25/"/>
    <hyperlink ref="Z228" r:id="rId846" display="http://knowledgecommission.gov.in/"/>
    <hyperlink ref="B229" r:id="rId847" display="http://roarmap.eprints.org/31/"/>
    <hyperlink ref="Z229" r:id="rId848" display="http://www.ipb.ac.id/"/>
    <hyperlink ref="AB229" r:id="rId849" display="http://repository.ipb.ac.id/"/>
    <hyperlink ref="B230" r:id="rId850" display="http://roarmap.eprints.org/38/"/>
    <hyperlink ref="Z230" r:id="rId851" display="http://undip.ac.id/"/>
    <hyperlink ref="AB230" r:id="rId852" display="http://eprints.undip.ac.id/"/>
    <hyperlink ref="B231" r:id="rId853" display="http://roarmap.eprints.org/32/"/>
    <hyperlink ref="Z231" r:id="rId854" display="http://www.its.ac.id/"/>
    <hyperlink ref="AB231" r:id="rId855" display="http://digilib.its.ac.id/"/>
    <hyperlink ref="B232" r:id="rId856" display="http://roarmap.eprints.org/33/"/>
    <hyperlink ref="Z232" r:id="rId857" display="http://www.mdp.ac.id/en"/>
    <hyperlink ref="AB232" r:id="rId858" display="http://eprints.mdp.ac.id/"/>
    <hyperlink ref="B233" r:id="rId859" display="http://roarmap.eprints.org/34/"/>
    <hyperlink ref="Z233" r:id="rId860" display="http://www.unsri.ac.id/"/>
    <hyperlink ref="AA233" r:id="rId861" display="http://roarmap.eprints.org/592/1/policies.html"/>
    <hyperlink ref="AB233" r:id="rId862" display="http://eprints.unsri.ac.id/"/>
    <hyperlink ref="B234" r:id="rId863" display="http://roarmap.eprints.org/35/"/>
    <hyperlink ref="Z234" r:id="rId864" display="http://www.umm.ac.id/"/>
    <hyperlink ref="AA234" r:id="rId865" display="http://eprints.umm.ac.id/policies.html"/>
    <hyperlink ref="AB234" r:id="rId866" display="http://eprints.umm.ac.id/"/>
    <hyperlink ref="B235" r:id="rId867" display="http://roarmap.eprints.org/36/"/>
    <hyperlink ref="Z235" r:id="rId868" display="http://usu.ac.id/en/"/>
    <hyperlink ref="AA235" r:id="rId869" display="http://repository.usu.ac.id/bitstream/123456789/606/2/license.txt"/>
    <hyperlink ref="AB235" r:id="rId870" display="http://repository.usu.ac.id/"/>
    <hyperlink ref="B236" r:id="rId871" display="http://roarmap.eprints.org/37/"/>
    <hyperlink ref="Z236" r:id="rId872" display="http://www.ubaya.ac.id/"/>
    <hyperlink ref="AA236" r:id="rId873" display="http://elib.ubaya.ac.id/index.php/repository"/>
    <hyperlink ref="AB236" r:id="rId874" display="http://repository.ubaya.ac.id/"/>
    <hyperlink ref="B237" r:id="rId875" display="http://roarmap.eprints.org/183/"/>
    <hyperlink ref="Z237" r:id="rId876" display="http://www.tcd.ie/"/>
    <hyperlink ref="AA237" r:id="rId877" display="http://arrow.dit.ie/National_Principles_on_Open_Access_Policy_Statement.pdf"/>
    <hyperlink ref="AB237" r:id="rId878" display="http://www.tara.tcd.ie/"/>
    <hyperlink ref="B238" r:id="rId879" display="http://roarmap.eprints.org/184/"/>
    <hyperlink ref="Z238" r:id="rId880" display="http://www.dit.ie"/>
    <hyperlink ref="AA238" r:id="rId881" display="http://arrow.dit.ie/mandate.html"/>
    <hyperlink ref="AB238" r:id="rId882" display="http://arrow.dit.ie/"/>
    <hyperlink ref="B239" r:id="rId883" display="http://roarmap.eprints.org/185/"/>
    <hyperlink ref="Z239" r:id="rId884" display="http://www.hrb.ie/research-strategy-funding/policies-and-guidelines/policies/open-access/"/>
    <hyperlink ref="AA239" r:id="rId885" display="http://www.hrb.ie/uploads/media/HRB_Policy_on_Open_Access__1_May_2014__01.pdf"/>
    <hyperlink ref="B240" r:id="rId886" display="http://roarmap.eprints.org/186/"/>
    <hyperlink ref="Z240" r:id="rId887" display="http://www.hea.ie/"/>
    <hyperlink ref="AA240" r:id="rId888" display="http://www.hea.ie/sites/default/files/national_principles_on_open_access_policy_statement_final_23_oct_2012_v1_3_0.pdf"/>
    <hyperlink ref="B241" r:id="rId889" display="http://roarmap.eprints.org/187/"/>
    <hyperlink ref="Z241" r:id="rId890" display="http://research.ie/"/>
    <hyperlink ref="AA241" r:id="rId891" display="http://research.ie/sites/default/files/irc_open_access_policy_final.doc"/>
    <hyperlink ref="AB241" r:id="rId892" display="http://rian.ie/"/>
    <hyperlink ref="B242" r:id="rId893" display="http://roarmap.eprints.org/188/"/>
    <hyperlink ref="Z242" r:id="rId894" display="http://library.nuim.ie/"/>
    <hyperlink ref="AA242" r:id="rId895" display="http://library.nuim.ie/sites/library.nuim.ie/files/editors/PDF/ePrints - NUIM Mandate_0.pdf"/>
    <hyperlink ref="AB242" r:id="rId896" display="http://eprints.nuim.ie/"/>
    <hyperlink ref="B243" r:id="rId897" display="http://roarmap.eprints.org/189/"/>
    <hyperlink ref="Z243" r:id="rId898" display="http://www.sfi.ie/"/>
    <hyperlink ref="AA243" r:id="rId899" display="http://www.sfi.ie/assets/files/downloads/Funding/grant_policies/open access dec 10.pdf"/>
    <hyperlink ref="B244" r:id="rId900" display="http://roarmap.eprints.org/190/"/>
    <hyperlink ref="Z244" r:id="rId901" display="http://www.tcd.ie/"/>
    <hyperlink ref="AA244" r:id="rId902" display="https://www.tcd.ie/research_innovation/assets/TCD Open Access Policy.pdf"/>
    <hyperlink ref="AB244" r:id="rId903" display="http://www.tara.tcd.ie/"/>
    <hyperlink ref="B245" r:id="rId904" display="http://roarmap.eprints.org/191/"/>
    <hyperlink ref="Z245" r:id="rId905" display="http://www.crui.it/english/"/>
    <hyperlink ref="AA245" r:id="rId906" display="http://roarmap.eprints.org/830/1/Position_paper_en.pdf"/>
    <hyperlink ref="B246" r:id="rId907" display="http://roarmap.eprints.org/192/"/>
    <hyperlink ref="Z246" r:id="rId908" display="http://www.eui.eu/Home.aspx"/>
    <hyperlink ref="AA246" r:id="rId909" display="http://roarmap.eprints.org/496/4/EUIPolicyonOpenAccess2013.pdf"/>
    <hyperlink ref="AB246" r:id="rId910" display="http://cadmus.eui.eu/"/>
    <hyperlink ref="B247" r:id="rId911" display="http://roarmap.eprints.org/193/"/>
    <hyperlink ref="Z247" r:id="rId912" display="http://www.iss.it/"/>
    <hyperlink ref="AA247" r:id="rId913" display="http://dspace.iss.it/dspace/bitstream/2198/352/1/Policy_ISS_IT.pdf"/>
    <hyperlink ref="AB247" r:id="rId914" display="http://dspace.iss.it/dspace/"/>
    <hyperlink ref="B248" r:id="rId915" display="http://roarmap.eprints.org/194/"/>
    <hyperlink ref="Z248" r:id="rId916" display="http://attiministeriali.miur.it/"/>
    <hyperlink ref="AA248" r:id="rId917" display="http://roarmap.eprints.org/1000/1/dd-23012014.aspx"/>
    <hyperlink ref="B249" r:id="rId918" display="http://roarmap.eprints.org/641/"/>
    <hyperlink ref="Z249" r:id="rId919" display="http://www.ircres.cnr.it/index.php/it/"/>
    <hyperlink ref="AA249" r:id="rId920" display="http://www.digibess.it/node/34"/>
    <hyperlink ref="AB249" r:id="rId921" display="http://www.digibess.it"/>
    <hyperlink ref="B250" r:id="rId922" display="http://roarmap.eprints.org/195/"/>
    <hyperlink ref="Z250" r:id="rId923" display="http://web.uniroma2.it/home.php?sr=1024"/>
    <hyperlink ref="AA250" r:id="rId924" display="http://roarmap.eprints.org/253/"/>
    <hyperlink ref="AB250" r:id="rId925" display="http://dspace.uniroma2.it/dspace/index.jsp"/>
    <hyperlink ref="B251" r:id="rId926" display="http://roarmap.eprints.org/196/"/>
    <hyperlink ref="Z251" r:id="rId927" display="http://www.luiss.it/"/>
    <hyperlink ref="AB251" r:id="rId928" display="http://eprints.luiss.it/"/>
    <hyperlink ref="B252" r:id="rId929" display="http://roarmap.eprints.org/197/"/>
    <hyperlink ref="Z252" r:id="rId930" display="http://www.poliba.it"/>
    <hyperlink ref="B253" r:id="rId931" display="http://roarmap.eprints.org/198/"/>
    <hyperlink ref="Z253" r:id="rId932" display="http://www.polito.it"/>
    <hyperlink ref="AB253" r:id="rId933" display="http://porto.polito.it/"/>
    <hyperlink ref="B254" r:id="rId934" display="http://roarmap.eprints.org/199/"/>
    <hyperlink ref="Z254" r:id="rId935" display="http://www.imtlucca.it"/>
    <hyperlink ref="AA254" r:id="rId936" display="http://e-theses.imtlucca.it/images/FullDepositGuide.pdf"/>
    <hyperlink ref="AB254" r:id="rId937" display="http://e-theses.imtlucca.it/"/>
    <hyperlink ref="B255" r:id="rId938" display="http://roarmap.eprints.org/200/"/>
    <hyperlink ref="Z255" r:id="rId939" display="http://www.sissa.it/"/>
    <hyperlink ref="AB255" r:id="rId940" display="http://digitallibrary.sissa.it/handle/1963/3"/>
    <hyperlink ref="B256" r:id="rId941" display="http://roarmap.eprints.org/202/"/>
    <hyperlink ref="Z256" r:id="rId942" display="http://www.telethon.it/english/default.aspx"/>
    <hyperlink ref="AB256" r:id="rId943" display="http://europepmc.org/"/>
    <hyperlink ref="B257" r:id="rId944" display="http://roarmap.eprints.org/205/"/>
    <hyperlink ref="Z257" r:id="rId945" display="http://www.uniroma3.it/"/>
    <hyperlink ref="AB257" r:id="rId946" display="http://dspace-roma3.caspur.it/?locale=en"/>
    <hyperlink ref="B258" r:id="rId947" display="http://roarmap.eprints.org/231/"/>
    <hyperlink ref="Z258" r:id="rId948" display="http://www.unich.it/"/>
    <hyperlink ref="AA258" r:id="rId949" display="http://www.unich.it/unichieti/ShowBinary/BEA Repository/Area_Ateneo/Statuto e Regolamenti/Statuto/Statuto/file"/>
    <hyperlink ref="B259" r:id="rId950" display="http://roarmap.eprints.org/204/"/>
    <hyperlink ref="Z259" r:id="rId951" display="http://www.units.it/"/>
    <hyperlink ref="AA259" r:id="rId952" display="http://hdl.handle.net/10077/8791"/>
    <hyperlink ref="AB259" r:id="rId953" display="http://www.openstarts.units.it"/>
    <hyperlink ref="B260" r:id="rId954" display="http://roarmap.eprints.org/229/"/>
    <hyperlink ref="Z260" r:id="rId955" display="http://www.unipi.it/"/>
    <hyperlink ref="AA260" r:id="rId956" display="http://www.unipi.it/index.php/phoca-ateneo/category/6-area-didattica-e-studenti?download=29%3Aregolamento-per-il-deposito-elettronico-degli-elaborati-finali-e-delle-tesi"/>
    <hyperlink ref="AB260" r:id="rId957" display="http://etd.adm.unipi.it/"/>
    <hyperlink ref="B261" r:id="rId958" display="http://roarmap.eprints.org/206/"/>
    <hyperlink ref="Z261" r:id="rId959" display="http://www.unibg.it/en_index.asp"/>
    <hyperlink ref="AB261" r:id="rId960" display="http://aisberg.unibg.it/"/>
    <hyperlink ref="B262" r:id="rId961" display="http://roarmap.eprints.org/207/"/>
    <hyperlink ref="Z262" r:id="rId962" display="http://www.unibo.it/en"/>
    <hyperlink ref="AB262" r:id="rId963" display="http://amsdottorato.cib.unibo.it/"/>
    <hyperlink ref="B263" r:id="rId964" display="http://roarmap.eprints.org/208/"/>
    <hyperlink ref="Z263" r:id="rId965" display="http://www.unife.it/"/>
    <hyperlink ref="AA263" r:id="rId966" display="http://www.unife.it/progetto/equality-and-diversity/comunicazioni/Lettera Ricerca di genere.pdf"/>
    <hyperlink ref="AB263" r:id="rId967" display="http://eprints.unife.it/"/>
    <hyperlink ref="B264" r:id="rId968" display="http://roarmap.eprints.org/209/"/>
    <hyperlink ref="Z264" r:id="rId969" display="http://www.unifi.it/"/>
    <hyperlink ref="AA264" r:id="rId970" display="http://www.unifi.it/notiziario/upload/sub/2012_2/policy_open_access.pdf"/>
    <hyperlink ref="AB264" r:id="rId971" display="http://sol.unifi.it/flore/consulta"/>
    <hyperlink ref="B265" r:id="rId972" display="http://roarmap.eprints.org/210/"/>
    <hyperlink ref="Z265" r:id="rId973" display="http://www.unimib.it/go/102/Home/English"/>
    <hyperlink ref="AB265" r:id="rId974" display="http://boa.unimib.it/"/>
    <hyperlink ref="B266" r:id="rId975" display="http://roarmap.eprints.org/211/"/>
    <hyperlink ref="Z266" r:id="rId976" display="http://www.unina.it/index.jsp"/>
    <hyperlink ref="AB266" r:id="rId977" display="http://www.fedoa.unina.it/"/>
    <hyperlink ref="B267" r:id="rId978" display="http://roarmap.eprints.org/212/"/>
    <hyperlink ref="Z267" r:id="rId979" display="http://www.unipd.it/"/>
    <hyperlink ref="AB267" r:id="rId980" display="http://paduaresearch.cab.unipd.it/"/>
    <hyperlink ref="B268" r:id="rId981" display="http://roarmap.eprints.org/213/"/>
    <hyperlink ref="Z268" r:id="rId982" display="http://www.uniss.it/php/home.php"/>
    <hyperlink ref="AB268" r:id="rId983" display="http://eprints.uniss.it/"/>
    <hyperlink ref="B269" r:id="rId984" display="http://roarmap.eprints.org/214/"/>
    <hyperlink ref="Z269" r:id="rId985" display="http://www.unitn.it/"/>
    <hyperlink ref="AA269" r:id="rId986" display="http://roarmap.eprints.org/1004/1/policy-ateneo-open-access-2912014.pdf"/>
    <hyperlink ref="AB269" r:id="rId987" display="http://eprints.biblio.unitn.it/"/>
    <hyperlink ref="B270" r:id="rId988" display="http://roarmap.eprints.org/216/"/>
    <hyperlink ref="Z270" r:id="rId989" display="http://www.dss.unito.it/dcps/"/>
    <hyperlink ref="AB270" r:id="rId990" display="http://aperto.unito.it/"/>
    <hyperlink ref="B271" r:id="rId991" display="http://roarmap.eprints.org/217/"/>
    <hyperlink ref="Z271" r:id="rId992" display="http://www3.unitus.it/"/>
    <hyperlink ref="AB271" r:id="rId993" display="http://dspace.unitus.it/handle/2067/14"/>
    <hyperlink ref="B272" r:id="rId994" display="http://roarmap.eprints.org/218/"/>
    <hyperlink ref="Z272" r:id="rId995" display="http://www.unive.it"/>
    <hyperlink ref="AB272" r:id="rId996" display="http://dspace.unive.it/"/>
    <hyperlink ref="B273" r:id="rId997" display="http://roarmap.eprints.org/203/"/>
    <hyperlink ref="Z273" r:id="rId998" display="http://www.unicattolica.it/"/>
    <hyperlink ref="AA273" r:id="rId999" display="http://www.unicatt.it/libraries/sbda-archivi-istituzionali-docta-tesi-di-dottorato"/>
    <hyperlink ref="AB273" r:id="rId1000" display="http://tesionline.unicatt.it/"/>
    <hyperlink ref="B274" r:id="rId1001" display="http://roarmap.eprints.org/642/"/>
    <hyperlink ref="Z274" r:id="rId1002" display="http://www.unicattolica.it/"/>
    <hyperlink ref="AA274" r:id="rId1003" display="http://publicatt.unicatt.it/cms/Policy.htm"/>
    <hyperlink ref="AB274" r:id="rId1004" display="http://publicatt.unicatt.it/"/>
    <hyperlink ref="B275" r:id="rId1005" display="http://roarmap.eprints.org/638/"/>
    <hyperlink ref="Z275" r:id="rId1006" display="http://www.univpm.it/"/>
    <hyperlink ref="AA275" r:id="rId1007" display="http://openarchive.univpm.it/jspui/"/>
    <hyperlink ref="AB275" r:id="rId1008" display="http://openarchive.univpm.it/jspui/"/>
    <hyperlink ref="B276" r:id="rId1009" display="http://roarmap.eprints.org/224/"/>
    <hyperlink ref="Z276" r:id="rId1010" display="http://www.unipmn.it/"/>
    <hyperlink ref="B277" r:id="rId1011" display="http://roarmap.eprints.org/227/"/>
    <hyperlink ref="Z277" r:id="rId1012" display="http://www4.uninsubria.it/on-line/home.html"/>
    <hyperlink ref="AA277" r:id="rId1013" display="http://www.unipi.it/index.php/phoca-ateneo/category/6-area-didattica-e-studenti?download=29%3Aregolamento-per-il-deposito-elettronico-degli-elaborati-finali-e-delle-tesi"/>
    <hyperlink ref="B278" r:id="rId1014" display="http://roarmap.eprints.org/219/"/>
    <hyperlink ref="Z278" r:id="rId1015" display="http://www.unica.it"/>
    <hyperlink ref="AB278" r:id="rId1016" display="http://veprints.unica.it/"/>
    <hyperlink ref="B279" r:id="rId1017" display="http://roarmap.eprints.org/220/"/>
    <hyperlink ref="Z279" r:id="rId1018" display="http://www.unime.it"/>
    <hyperlink ref="AB279" r:id="rId1019" display="http://cab.unime.it/mus/"/>
    <hyperlink ref="B280" r:id="rId1020" display="http://roarmap.eprints.org/221/"/>
    <hyperlink ref="Z280" r:id="rId1021" display="http://www.unimi.it/"/>
    <hyperlink ref="AA280" r:id="rId1022" display="http://www.unimi.it/ricerca/air/76762.htm"/>
    <hyperlink ref="AB280" r:id="rId1023" display="http://air.unimi.it/"/>
    <hyperlink ref="B281" r:id="rId1024" display="http://roarmap.eprints.org/222/"/>
    <hyperlink ref="Z281" r:id="rId1025" display="http://www.unimo.it"/>
    <hyperlink ref="AA281" r:id="rId1026" display="https://morethesis.unimore.it/RegolamentoDeposito.pdf"/>
    <hyperlink ref="AB281" r:id="rId1027" display="https://morethesis.unimore.it/"/>
    <hyperlink ref="B282" r:id="rId1028" display="http://roarmap.eprints.org/228/"/>
    <hyperlink ref="Z282" r:id="rId1029" display="http://www.uniparthenope.it/"/>
    <hyperlink ref="AA282" r:id="rId1030" display="http://www.unipi.it/index.php/phoca-ateneo/category/6-area-didattica-e-studenti?download=29%3Aregolamento-per-il-deposito-elettronico-degli-elaborati-finali-e-delle-tesi"/>
    <hyperlink ref="B283" r:id="rId1031" display="http://roarmap.eprints.org/225/"/>
    <hyperlink ref="Z283" r:id="rId1032" display="http://www.unisa.it/"/>
    <hyperlink ref="AB283" r:id="rId1033" display="http://elea.unisa.it:8080/jspui/"/>
    <hyperlink ref="B284" r:id="rId1034" display="http://roarmap.eprints.org/230/"/>
    <hyperlink ref="Z284" r:id="rId1035" display="http://www.uniud.it/"/>
    <hyperlink ref="AB284" r:id="rId1036" display="https://dspace-uniud.cilea.it/"/>
    <hyperlink ref="B285" r:id="rId1037" display="http://roarmap.eprints.org/226/"/>
    <hyperlink ref="Z285" r:id="rId1038" display="http://www.univr.it/jsp/index.jsp"/>
    <hyperlink ref="AA285" r:id="rId1039" display="http://www.eprints.org/openaccess/policysignup/fullinfo.php?inst=Universit%C3%A0 degli Studi di Verona"/>
    <hyperlink ref="AB285" r:id="rId1040" display="http://www.univr.it/main?ent=catalogoaol&amp;page=pubblicazioni&amp;lang=it"/>
    <hyperlink ref="B286" r:id="rId1041" display="http://roarmap.eprints.org/215/"/>
    <hyperlink ref="Z286" r:id="rId1042" display="http://www.unito.it/"/>
    <hyperlink ref="AA286" r:id="rId1043" display="http://www.unito.it/unitoWAR/ShowBinary/FSRepo/Area_Portale_Pubblico/Documenti/R/regolamento_accesso_aperto.PDF"/>
    <hyperlink ref="AB286" r:id="rId1044" display="http://aperto.unito.it/"/>
    <hyperlink ref="B287" r:id="rId1045" display="http://roarmap.eprints.org/223/"/>
    <hyperlink ref="Z287" r:id="rId1046" display="http://www.unipa.it/"/>
    <hyperlink ref="AA287" r:id="rId1047" display="http://portale.unipa.it/dipartimenti/beniculturalistudiculturali/dottorati/studiculturalieuropei/.content/documenti/regolamento_dottorato_studi_europei.pdf"/>
    <hyperlink ref="AB287" r:id="rId1048" display="http://surplus.unipa.it/oa/"/>
    <hyperlink ref="B288" r:id="rId1049" display="http://roarmap.eprints.org/640/"/>
    <hyperlink ref="Z288" r:id="rId1050" display="http://www.unipr.it/"/>
    <hyperlink ref="AB288" r:id="rId1051" display="http://dspace-unipr.cineca.it/"/>
    <hyperlink ref="B289" r:id="rId1052" display="http://roarmap.eprints.org/769/"/>
    <hyperlink ref="Z289" r:id="rId1053" display="http://www.fondazionecariplo.it/it/index.html"/>
    <hyperlink ref="AA289" r:id="rId1054" display="http://www.fondazionecariplo.it/static/upload/pol/policy_open_access_en.pdf"/>
    <hyperlink ref="B290" r:id="rId1055" display="http://roarmap.eprints.org/39/"/>
    <hyperlink ref="Z290" r:id="rId1056" display="http://www.oia.hokudai.ac.jp/"/>
    <hyperlink ref="AA290" r:id="rId1057" display="http://eprints.lib.hokudai.ac.jp/dspace/staff/policy_en.jsp"/>
    <hyperlink ref="AB290" r:id="rId1058" display="http://eprints.lib.hokudai.ac.jp/dspace/"/>
    <hyperlink ref="AZ290" r:id="rId1059" display="http://www.oia.hokudai.ac.jp/blog/2014/04/25/scholarly_publication_support_2014/"/>
    <hyperlink ref="B291" r:id="rId1060" display="http://roarmap.eprints.org/40/"/>
    <hyperlink ref="Z291" r:id="rId1061" display="http://www.mext.go.jp/"/>
    <hyperlink ref="AA291" r:id="rId1062" display="http://www.mext.go.jp/component/b_menu/shingi/toushin/__icsFiles/afieldfile/2012/10/25/1323890_3_1.pdf"/>
    <hyperlink ref="AZ291" r:id="rId1063" display="https://www.jsps.go.jp/english/e-grants/data/kakenhi_pamph_e.pdf"/>
    <hyperlink ref="B292" r:id="rId1064" display="http://roarmap.eprints.org/41/"/>
    <hyperlink ref="Z292" r:id="rId1065" display="http://www.mext.go.jp/english/"/>
    <hyperlink ref="AA292" r:id="rId1066" display="http://drf.lib.hokudai.ac.jp/drf/index.php?plugin=attach&amp;refer=ETD2013&amp;openfile=notice_en.pdf"/>
    <hyperlink ref="B293" r:id="rId1067" display="http://roarmap.eprints.org/762/"/>
    <hyperlink ref="Z293" r:id="rId1068" display="http://www.kyoto-u.ac.jp/en"/>
    <hyperlink ref="AA293" r:id="rId1069" display="http://www.kulib.kyoto-u.ac.jp/modules/content0/index.php?content_id=92&amp;ml_lang=en"/>
    <hyperlink ref="AB293" r:id="rId1070" display="http://repository.kulib.kyoto-u.ac.jp/dspace/?locale=en"/>
    <hyperlink ref="B294" r:id="rId1071" display="http://roarmap.eprints.org/42/"/>
    <hyperlink ref="Z294" r:id="rId1072" display="http://www.nitech.ac.jp/eng/"/>
    <hyperlink ref="AA294" r:id="rId1073" display="http://drf.lib.hokudai.ac.jp/drf/index.php?plugin=attach&amp;refer=DRF-Fukushima&amp;openfile=hayashi.pdf"/>
    <hyperlink ref="AB294" r:id="rId1074" display="http://repo.lib.nitech.ac.jp/?lang=en"/>
    <hyperlink ref="B295" r:id="rId1075" display="http://roarmap.eprints.org/2/"/>
    <hyperlink ref="Z295" r:id="rId1076" display="http://www.jkuat.ac.ke"/>
    <hyperlink ref="AA295" r:id="rId1077" display="http://www.jkuat.ac.ke/?wpdmact=process&amp;did=NjguaG90bGluaw=="/>
    <hyperlink ref="AB295" r:id="rId1078" display="http://41.204.187.24:8080/jspui/"/>
    <hyperlink ref="B296" r:id="rId1079" display="http://roarmap.eprints.org/3/"/>
    <hyperlink ref="Z296" r:id="rId1080" display="http://www.ku.ac.ke"/>
    <hyperlink ref="AA296" r:id="rId1081" display="http://library.ku.ac.ke/wp-content/uploads/2013/01/Library-IR-Policy.pdf"/>
    <hyperlink ref="AB296" r:id="rId1082" display="http://ir-library.ku.ac.ke/"/>
    <hyperlink ref="B297" r:id="rId1083" display="http://roarmap.eprints.org/656/"/>
    <hyperlink ref="Z297" r:id="rId1084" display="http://pu.ac.ke/"/>
    <hyperlink ref="AB297" r:id="rId1085" display="http://elibrary.pu.ac.ke/ir/"/>
    <hyperlink ref="B298" r:id="rId1086" display="http://roarmap.eprints.org/4/"/>
    <hyperlink ref="Z298" r:id="rId1087" display="http://www.strathmore.edu/"/>
    <hyperlink ref="AA298" r:id="rId1088" display="http://www.eifl.net/news/strathmore-university-open-access-policy-keny"/>
    <hyperlink ref="AB298" r:id="rId1089" display="http://ir.library.strathmore.edu/"/>
    <hyperlink ref="B299" r:id="rId1090" display="http://roarmap.eprints.org/5/"/>
    <hyperlink ref="Z299" r:id="rId1091" display="http://www.uonbi.ac.ke"/>
    <hyperlink ref="AA299" r:id="rId1092" display="http://erepository.uonbi.ac.ke:8080/xmlui/handle/11295/7447?show=full"/>
    <hyperlink ref="AB299" r:id="rId1093" display="http://erepository.uonbi.ac.ke"/>
    <hyperlink ref="B300" r:id="rId1094" display="http://roarmap.eprints.org/232/"/>
    <hyperlink ref="Z300" r:id="rId1095" display="http://www.lu.lv/eng/"/>
    <hyperlink ref="AB300" r:id="rId1096" display="https://dspace.lu.lv/dspace/"/>
    <hyperlink ref="B301" r:id="rId1097" display="http://roarmap.eprints.org/233/"/>
    <hyperlink ref="Z301" r:id="rId1098" display="http://www.lsmuni.lt/"/>
    <hyperlink ref="AA301" r:id="rId1099" display="http://roarmap.eprints.org/704/1/ESFmandateRec.pdf"/>
    <hyperlink ref="AB301" r:id="rId1100" display="http://eknygos.lsmuni.lt/etalpykla/index.html"/>
    <hyperlink ref="B302" r:id="rId1101" display="http://roarmap.eprints.org/234/"/>
    <hyperlink ref="Z302" r:id="rId1102" display="http://www.mruni.eu/en/"/>
    <hyperlink ref="AA302" r:id="rId1103" display="http://www.eifl.net/news/mykolas-romeris-university-adopts-open-access"/>
    <hyperlink ref="AB302" r:id="rId1104" display="https://repository.mruni.eu/"/>
    <hyperlink ref="B303" r:id="rId1105" display="http://roarmap.eprints.org/235/"/>
    <hyperlink ref="Z303" r:id="rId1106" display="http://lmt.lt"/>
    <hyperlink ref="AB303" r:id="rId1107" display="http://lituanistika.library.lt"/>
    <hyperlink ref="B304" r:id="rId1108" display="http://roarmap.eprints.org/238/"/>
    <hyperlink ref="Z304" r:id="rId1109" display="http://lmt.lt"/>
    <hyperlink ref="B305" r:id="rId1110" display="http://roarmap.eprints.org/237/"/>
    <hyperlink ref="Z305" r:id="rId1111" display="http://www.lrs.lt/"/>
    <hyperlink ref="AA305" r:id="rId1112" display="http://www3.lrs.lt/pls/inter3/dokpaieska.showdoc_l?p_id=438419"/>
    <hyperlink ref="B306" r:id="rId1113" display="http://roarmap.eprints.org/236/"/>
    <hyperlink ref="Z306" r:id="rId1114" display="http://www.vdu.lt/en/"/>
    <hyperlink ref="AA306" r:id="rId1115" display="http://erepository.vdu.lt/objectives.htm"/>
    <hyperlink ref="AB306" r:id="rId1116" display="http://erepository.vdu.lt/"/>
    <hyperlink ref="B307" r:id="rId1117" display="http://roarmap.eprints.org/239/"/>
    <hyperlink ref="Z307" r:id="rId1118" display="http://www.uni.lu"/>
    <hyperlink ref="AA307" r:id="rId1119" display="http://roarmap.eprints.org/825/1/Mandate-ORBilu.pdf"/>
    <hyperlink ref="AB307" r:id="rId1120" display="http://orbilu.uni.lu"/>
    <hyperlink ref="B308" r:id="rId1121" display="http://roarmap.eprints.org/443/"/>
    <hyperlink ref="Z308" r:id="rId1122" display="http://portal.te.gob.mx/en"/>
    <hyperlink ref="AA308" r:id="rId1123" display="https://docs.google.com/file/d/0B9F59A2246PoaV9UMjU5S1hFekRZenJQMFMySUhadThyZFpj/preview?pli=1"/>
    <hyperlink ref="B309" r:id="rId1124" display="http://roarmap.eprints.org/441/"/>
    <hyperlink ref="Z309" r:id="rId1125" display="http://www.uanl.mx/en"/>
    <hyperlink ref="AB309" r:id="rId1126" display="http://eprints.uanl.mx/"/>
    <hyperlink ref="B310" r:id="rId1127" display="http://roarmap.eprints.org/442/"/>
    <hyperlink ref="Z310" r:id="rId1128" display="http://www.uaemex.mx/"/>
    <hyperlink ref="AA310" r:id="rId1129" display="http://www.uaemex.mx/abogado/doc/Open_Access.pdf"/>
    <hyperlink ref="B311" r:id="rId1130" display="http://roarmap.eprints.org/240/"/>
    <hyperlink ref="Z311" r:id="rId1131" display="http://www.surf.nl/en"/>
    <hyperlink ref="B312" r:id="rId1132" display="http://roarmap.eprints.org/242/"/>
    <hyperlink ref="Z312" r:id="rId1133" display="http://w3.tue.nl/en/"/>
    <hyperlink ref="AA312" r:id="rId1134" display="http://w3.tue.nl/en/services/library/about/openaccesscoach/oa_and_tue/tue_policy/"/>
    <hyperlink ref="AB312" r:id="rId1135" display="http://repository.tue.nl/"/>
    <hyperlink ref="AZ312" r:id="rId1136" display="http://www.nwo.nl/en/funding/our-funding-instruments/nwo/incentive-fund-open-access/incentive-fund-open-access---publications/incentive-fund-open-access---publications.html"/>
    <hyperlink ref="B313" r:id="rId1137" display="http://roarmap.eprints.org/243/"/>
    <hyperlink ref="Z313" r:id="rId1138" display="http://www.eur.nl/english/"/>
    <hyperlink ref="AA313" r:id="rId1139" display="http://www.eur.nl/researchmatters/open_access/eur_policy/"/>
    <hyperlink ref="AB313" r:id="rId1140" display="http://repub.eur.nl/"/>
    <hyperlink ref="B314" r:id="rId1141" display="http://roarmap.eprints.org/241/"/>
    <hyperlink ref="Z314" r:id="rId1142" display="http://www.nwo.nl/"/>
    <hyperlink ref="AA314" r:id="rId1143" display="http://www.nwo.nl/en/news-and-events/dossiers/open+access"/>
    <hyperlink ref="B315" r:id="rId1144" display="http://roarmap.eprints.org/244/"/>
    <hyperlink ref="Z315" r:id="rId1145" display="https://www.knaw.nl/en"/>
    <hyperlink ref="AA315" r:id="rId1146" display="https://www.knaw.nl/en/openaccess"/>
    <hyperlink ref="AB315" r:id="rId1147" display="https://pure.knaw.nl"/>
    <hyperlink ref="B316" r:id="rId1148" display="http://roarmap.eprints.org/245/"/>
    <hyperlink ref="Z316" r:id="rId1149" display="http://www.uu.nl/EN/Pages/default.aspx"/>
    <hyperlink ref="AA316" r:id="rId1150" display="http://libguides.library.uu.nl/openaccess_en"/>
    <hyperlink ref="AB316" r:id="rId1151" display="http://igitur-archive.library.uu.nl/search/search.php?m=simple&amp;language=en&amp;p=1"/>
    <hyperlink ref="AZ316" r:id="rId1152" display="http://www.eur.nl/fileadmin/ASSETS/ub-instructie/Research_Matters/oa_eng.pdf"/>
    <hyperlink ref="B317" r:id="rId1153" display="http://roarmap.eprints.org/246/"/>
    <hyperlink ref="Z317" r:id="rId1154" display="http://vu.nl/en/index.asp"/>
    <hyperlink ref="AA317" r:id="rId1155" display="http://ub.vu.nl/nl/hulp-advies/themasite-open-access/index.asp"/>
    <hyperlink ref="AB317" r:id="rId1156" display="http://dare.ubvu.vu.nl/"/>
    <hyperlink ref="B318" r:id="rId1157" display="http://roarmap.eprints.org/247/"/>
    <hyperlink ref="Z318" r:id="rId1158" display="http://www.wageningenur.nl/en.htm"/>
    <hyperlink ref="AA318" r:id="rId1159" display="http://www.wageningenur.nl/en/Expertise-Services/Facilities/Library/Expertise/Write-cite/Open-Access/policy.htm"/>
    <hyperlink ref="AB318" r:id="rId1160" display="http://www.wageningenur.nl/en/Expertise-Services/Facilities/Library/Expertise/Find-discover/Wageningen-Yield.htm"/>
    <hyperlink ref="B319" r:id="rId1161" display="http://roarmap.eprints.org/596/"/>
    <hyperlink ref="Z319" r:id="rId1162" display="http://www.lincoln.ac.nz/"/>
    <hyperlink ref="AA319" r:id="rId1163" display="http://library.lincoln.ac.nz/Global/Library/OpenAccessPolicy.pdf"/>
    <hyperlink ref="AB319" r:id="rId1164" display="http://researcharchive.lincoln.ac.nz/"/>
    <hyperlink ref="B320" r:id="rId1165" display="http://roarmap.eprints.org/597/"/>
    <hyperlink ref="Z320" r:id="rId1166" display="https://www.auckland.ac.nz/en.html"/>
    <hyperlink ref="AA320" r:id="rId1167" display="http://www.calendar.auckland.ac.nz/regulations/doctoral/PhD.html"/>
    <hyperlink ref="AB320" r:id="rId1168" display="https://researchspace.auckland.ac.nz/"/>
    <hyperlink ref="B321" r:id="rId1169" display="http://roarmap.eprints.org/598/"/>
    <hyperlink ref="Z321" r:id="rId1170" display="http://www.canterbury.ac.nz/"/>
    <hyperlink ref="AA321" r:id="rId1171" display="http://www.canterbury.ac.nz/ucpolicy/GetPolicy.aspx?file=Thesis-Availability-Policy.pdf"/>
    <hyperlink ref="AB321" r:id="rId1172" display="http://ir.canterbury.ac.nz/"/>
    <hyperlink ref="B322" r:id="rId1173" display="http://roarmap.eprints.org/599/"/>
    <hyperlink ref="Z322" r:id="rId1174" display="http://www.otago.ac.nz/"/>
    <hyperlink ref="AA322" r:id="rId1175" display="http://www.otago.ac.nz/administration/policies/otago014455.html"/>
    <hyperlink ref="AB322" r:id="rId1176" display="http://otago.ourarchive.ac.nz/"/>
    <hyperlink ref="B323" r:id="rId1177" display="http://roarmap.eprints.org/600/"/>
    <hyperlink ref="Z323" r:id="rId1178" display="http://www.waikato.ac.nz/"/>
    <hyperlink ref="AA323" r:id="rId1179" display="http://www.waikato.ac.nz/__data/assets/pdf_file/0007/186586/open-access-guidlines.pdf"/>
    <hyperlink ref="AB323" r:id="rId1180" display="http://researchcommons.waikato.ac.nz/"/>
    <hyperlink ref="B324" r:id="rId1181" display="http://roarmap.eprints.org/601/"/>
    <hyperlink ref="Z324" r:id="rId1182" display="http://www.victoria.ac.nz/home/"/>
    <hyperlink ref="AA324" r:id="rId1183" display="http://www.victoria.ac.nz/documents/policy/library-and-information-systems/library-statute.pdf"/>
    <hyperlink ref="AB324" r:id="rId1184" display="http://researcharchive.vuw.ac.nz/"/>
    <hyperlink ref="B325" r:id="rId1185" display="http://roarmap.eprints.org/6/"/>
    <hyperlink ref="Z325" r:id="rId1186" display="http://covenantuniversity.edu.ng/"/>
    <hyperlink ref="AA325" r:id="rId1187" location=".U31IKq1dWwE" display="http://eprints.covenantuniversity.edu.ng/policies.html - .U31IKq1dWwE"/>
    <hyperlink ref="AB325" r:id="rId1188" display="http://eprints.covenantuniversity.edu.ng/"/>
    <hyperlink ref="B326" r:id="rId1189" display="http://roarmap.eprints.org/248/"/>
    <hyperlink ref="Z326" r:id="rId1190" display="http://www.kunnskapssenteret.no/"/>
    <hyperlink ref="AA326" r:id="rId1191" display="http://hera.openrepository.com/hera/bitstream/10143/41633/7/OApolicy_NOKC_251108.pdf"/>
    <hyperlink ref="AB326" r:id="rId1192" display="http://hera.helsebiblioteket.no/"/>
    <hyperlink ref="B327" r:id="rId1193" display="http://roarmap.eprints.org/249/"/>
    <hyperlink ref="Z327" r:id="rId1194" display="http://www.regjeringen.no/nb.html?id=4"/>
    <hyperlink ref="AA327" r:id="rId1195" display="http://www.uhr.no/documents/fra_KD_om_OA.pdf"/>
    <hyperlink ref="AB327" r:id="rId1196" display="http://utdanning.no/"/>
    <hyperlink ref="B328" r:id="rId1197" display="http://roarmap.eprints.org/250/"/>
    <hyperlink ref="Z328" r:id="rId1198" display="http://www.forskningsradet.no/no/Forsiden/1173185591033"/>
    <hyperlink ref="AA328" r:id="rId1199" display="http://www.forskningsradet.no/en/Article/The_Research_Councils_Principles_for_Open_Access_to_Scientific_Publications/1240958527698?lang=en"/>
    <hyperlink ref="AB328" r:id="rId1200" display="http://opendepot.org"/>
    <hyperlink ref="B329" r:id="rId1201" display="http://roarmap.eprints.org/251/"/>
    <hyperlink ref="Z329" r:id="rId1202" display="http://www.hioa.no/eng/"/>
    <hyperlink ref="AA329" r:id="rId1203" display="http://www.hioa.no/LSB/Synliggjoer-din-forskning/Open-Access/Open-Access-Policy-ved-HiOA"/>
    <hyperlink ref="AB329" r:id="rId1204" display="https://oda.hio.no/jspui/"/>
    <hyperlink ref="B330" r:id="rId1205" display="http://roarmap.eprints.org/731/"/>
    <hyperlink ref="Z330" r:id="rId1206" display="http://www.uia.no/en"/>
    <hyperlink ref="AA330" r:id="rId1207" display="http://old.uia.no/no/content/download/51170/722280/file/SFU0608-vedlegg1-ferdig.pdf"/>
    <hyperlink ref="AB330" r:id="rId1208" display="http://www.uia.no/aura"/>
    <hyperlink ref="AZ330" r:id="rId1209" display="http://www.uia.no/en/library/lenkeblokksamling/forskning-og-publisering/open-access-publishing"/>
    <hyperlink ref="B331" r:id="rId1210" display="http://roarmap.eprints.org/253/"/>
    <hyperlink ref="Z331" r:id="rId1211" display="http://www.uib.no/en"/>
    <hyperlink ref="AA331" r:id="rId1212" display="http://www.uib.no/filearchive/2012-088.pdf"/>
    <hyperlink ref="AB331" r:id="rId1213" display="https://bora.uib.no/"/>
    <hyperlink ref="AZ331" r:id="rId1214" display="http://www.uib.no/en/ub/79537/budget-posting-open-publication-university-bergen"/>
    <hyperlink ref="B332" r:id="rId1215" display="http://roarmap.eprints.org/254/"/>
    <hyperlink ref="Z332" r:id="rId1216" display="http://www.uio.no/english/"/>
    <hyperlink ref="AA332" r:id="rId1217" display="http://roarmap.eprints.org/574/1/5334-15147-1-SM.pdf"/>
    <hyperlink ref="AZ332" r:id="rId1218" display="http://www.ub.uio.no/publisere/forskere/publiseringsfond/index.html"/>
    <hyperlink ref="B333" r:id="rId1219" display="http://roarmap.eprints.org/255/"/>
    <hyperlink ref="Z333" r:id="rId1220" display="http://www.uis.no/frontpage/"/>
    <hyperlink ref="AA333" r:id="rId1221" display="https://www.uis.no/bibliotek/forskningshjelp/open-access/hva-er-open-access/?s=11383"/>
    <hyperlink ref="AB333" r:id="rId1222" display="http://brage.bibsys.no/xmlui/handle/11250/92958"/>
    <hyperlink ref="B334" r:id="rId1223" display="http://roarmap.eprints.org/252/"/>
    <hyperlink ref="Z334" r:id="rId1224" display="http://en.uit.no/inenglish"/>
    <hyperlink ref="AA334" r:id="rId1225" display="http://uit.no/Content/375533/OA policy UiT 141010.pdf"/>
    <hyperlink ref="AB334" r:id="rId1226" display="http://munin.uit.no/"/>
    <hyperlink ref="AZ334" r:id="rId1227" display="http://uit.no/ub/publisering/art?p_document_id=225287"/>
    <hyperlink ref="B335" r:id="rId1228" display="http://roarmap.eprints.org/710/"/>
    <hyperlink ref="Z335" r:id="rId1229" display="http://genesandcells.com/"/>
    <hyperlink ref="AA335" r:id="rId1230" display="http://genesandcells.com/"/>
    <hyperlink ref="AB335" r:id="rId1231" display="http://genesandcells.com/index.php/gnc/oai"/>
    <hyperlink ref="B336" r:id="rId1232" display="http://roarmap.eprints.org/627/"/>
    <hyperlink ref="Z336" r:id="rId1233" display="http://www.congreso.gob.pe/"/>
    <hyperlink ref="AA336" r:id="rId1234" display="http://roarmap.eprints.org/984/1/1188_Sustitutoria_27MAR2013.pdf"/>
    <hyperlink ref="B337" r:id="rId1235" display="http://roarmap.eprints.org/628/"/>
    <hyperlink ref="Z337" r:id="rId1236" display="http://www.minam.gob.pe/"/>
    <hyperlink ref="AB337" r:id="rId1237" display="http://cdam.minam.gob.pe/index.php?lang=en"/>
    <hyperlink ref="B338" r:id="rId1238" display="http://roarmap.eprints.org/629/"/>
    <hyperlink ref="Z338" r:id="rId1239" display="http://www.pucp.edu.pe/"/>
    <hyperlink ref="AB338" r:id="rId1240" display="http://tesis.pucp.edu.pe/repositorio/"/>
    <hyperlink ref="B339" r:id="rId1241" display="http://roarmap.eprints.org/630/"/>
    <hyperlink ref="Z339" r:id="rId1242" display="http://www.unmsm.edu.pe/"/>
    <hyperlink ref="AB339" r:id="rId1243" display="http://ateneo.unmsm.edu.pe/ateneo/index.jsp"/>
    <hyperlink ref="B340" r:id="rId1244" display="http://roarmap.eprints.org/734/"/>
    <hyperlink ref="Z340" r:id="rId1245" display="http://www.upc.edu.pe"/>
    <hyperlink ref="AA340" r:id="rId1246" display="http://repositorioacademico.upc.edu.pe/upc/PoliticaRAUPC.pdf"/>
    <hyperlink ref="AB340" r:id="rId1247" display="http://repositorioacademico.upc.edu.pe"/>
    <hyperlink ref="B341" r:id="rId1248" display="http://roarmap.eprints.org/675/"/>
    <hyperlink ref="Z341" r:id="rId1249" display="http://udep.edu.pe"/>
    <hyperlink ref="AB341" r:id="rId1250" display="http://pirhua.udep.edu.pe/"/>
    <hyperlink ref="B342" r:id="rId1251" display="http://roarmap.eprints.org/256/"/>
    <hyperlink ref="Z342" r:id="rId1252" display="http://amu.edu.pl/"/>
    <hyperlink ref="AB342" r:id="rId1253" display="http://repozytorium.amu.edu.pl"/>
    <hyperlink ref="B343" r:id="rId1254" display="http://roarmap.eprints.org/257/"/>
    <hyperlink ref="Z343" r:id="rId1255" display="http://www.ibb.waw.pl"/>
    <hyperlink ref="B344" r:id="rId1256" display="http://roarmap.eprints.org/258/"/>
    <hyperlink ref="Z344" r:id="rId1257" display="http://www.chlc.min-saude.pt/homepage.aspx?menuid=1"/>
    <hyperlink ref="AA344" r:id="rId1258" display="http://repositorio.chlc.min-saude.pt/resources/politica_repositorio_chlc.pdf"/>
    <hyperlink ref="AB344" r:id="rId1259" display="http://repositorio.chlc.min-saude.pt/"/>
    <hyperlink ref="B345" r:id="rId1260" display="http://roarmap.eprints.org/259/"/>
    <hyperlink ref="Z345" r:id="rId1261" display="http://www.esepf.pt/"/>
    <hyperlink ref="AB345" r:id="rId1262" display="http://repositorio.esepf.pt/"/>
    <hyperlink ref="B346" r:id="rId1263" display="http://roarmap.eprints.org/260/"/>
    <hyperlink ref="Z346" r:id="rId1264" display="http://www.fct.pt/"/>
    <hyperlink ref="B347" r:id="rId1265" display="http://roarmap.eprints.org/262/"/>
    <hyperlink ref="Z347" r:id="rId1266" display="http://www.hff.min-saude.pt/"/>
    <hyperlink ref="AA347" r:id="rId1267" display="http://www.chuc.min-saude.pt/media/Deliberacao_CA-CHUC_nordm_25-2013.pdf"/>
    <hyperlink ref="AB347" r:id="rId1268" display="http://rihuc.huc.min-saude.pt/"/>
    <hyperlink ref="B348" r:id="rId1269" display="http://roarmap.eprints.org/261/"/>
    <hyperlink ref="Z348" r:id="rId1270" display="http://www.hff.min-saude.pt/"/>
    <hyperlink ref="AA348" r:id="rId1271" display="http://www.hff.min-saude.pt/media/content/DA_0281_T_CA_v01_-_Politica_de_Acesso_Aberto_do_Hospital_Prof_Dr_Fernando_Fonseca_EPE.pdf"/>
    <hyperlink ref="AB348" r:id="rId1272" display="http://repositorio.hff.min-saude.pt/"/>
    <hyperlink ref="B349" r:id="rId1273" display="http://roarmap.eprints.org/263/"/>
    <hyperlink ref="Z349" r:id="rId1274" display="http://www.iscte-iul.pt/home.aspx"/>
    <hyperlink ref="AB349" r:id="rId1275" display="https://repositorio.iscte-iul.pt/"/>
    <hyperlink ref="B350" r:id="rId1276" display="http://roarmap.eprints.org/278/"/>
    <hyperlink ref="Z350" r:id="rId1277" display="http://www.ispa.pt/"/>
    <hyperlink ref="AA350" r:id="rId1278" display="http://cd.ispa.pt/pagina/politica-de-deposito"/>
    <hyperlink ref="AB350" r:id="rId1279" display="http://cd.ispa.pt/pagina/http/repositorio.ispa.pt"/>
    <hyperlink ref="B351" r:id="rId1280" display="http://roarmap.eprints.org/265/"/>
    <hyperlink ref="Z351" r:id="rId1281" display="http://www.ipcb.pt/"/>
    <hyperlink ref="AA351" r:id="rId1282" display="http://roarmap.eprints.org/598/3/POLITICA_MANDATORIA_FINAL.pdf"/>
    <hyperlink ref="AB351" r:id="rId1283" display="http://repositorio.ipcb.pt/?locale=en"/>
    <hyperlink ref="B352" r:id="rId1284" display="http://roarmap.eprints.org/266/"/>
    <hyperlink ref="Z352" r:id="rId1285" display="http://www.ipv.pt/"/>
    <hyperlink ref="AA352" r:id="rId1286" display="http://bibliotecas.esev.ipv.pt/opac-tmpl/prog/Books/despacho_6_2012.pdf"/>
    <hyperlink ref="AB352" r:id="rId1287" display="http://repositorio.ipv.pt/"/>
    <hyperlink ref="B353" r:id="rId1288" display="http://roarmap.eprints.org/264/"/>
    <hyperlink ref="Z353" r:id="rId1289" display="http://portal3.ipb.pt/index.php/pt/ipb"/>
    <hyperlink ref="AA353" r:id="rId1290" display="http://www.ipb.pt/go/e852"/>
    <hyperlink ref="AB353" r:id="rId1291" display="https://bibliotecadigital.ipb.pt/"/>
    <hyperlink ref="B354" r:id="rId1292" display="http://roarmap.eprints.org/267/"/>
    <hyperlink ref="Z354" r:id="rId1293" display="http://www.fct.unl.pt/"/>
    <hyperlink ref="B355" r:id="rId1294" display="http://roarmap.eprints.org/268/"/>
    <hyperlink ref="Z355" r:id="rId1295" display="http://www.ipleiria.pt/Paginas/default.aspx"/>
    <hyperlink ref="AA355" r:id="rId1296" display="http://roarmap.eprints.org/436/1/Despacho_n%C2%BA_26-2011.pdf"/>
    <hyperlink ref="AB355" r:id="rId1297" display="http://repositorio.ipl.pt/"/>
    <hyperlink ref="B356" r:id="rId1298" display="http://roarmap.eprints.org/269/"/>
    <hyperlink ref="Z356" r:id="rId1299" display="http://www.uab.pt/web/guest/home;jsessionid=69C4C7F7E49101DE4F8E65AA3CD165D6"/>
    <hyperlink ref="AB356" r:id="rId1300" display="https://repositorioaberto.uab.pt/"/>
    <hyperlink ref="B357" r:id="rId1301" display="http://roarmap.eprints.org/270/"/>
    <hyperlink ref="Z357" r:id="rId1302" display="http://www.universidade-autonoma.pt/"/>
    <hyperlink ref="AA357" r:id="rId1303" display="http://repositorio.ual.pt/Pol%C3%ADtica de Dep%C3%B3sito de Publica%C3%A7%C3%B5es.pdf"/>
    <hyperlink ref="AB357" r:id="rId1304" display="http://repositorio.ual.pt/?locale=en"/>
    <hyperlink ref="B358" r:id="rId1305" display="http://roarmap.eprints.org/277/"/>
    <hyperlink ref="Z358" r:id="rId1306" display="http://www.ufp.pt/"/>
    <hyperlink ref="AA358" r:id="rId1307" display="http://homepage.ufp.pt/biblioteca/politicadepositoobrigatorio.pdf"/>
    <hyperlink ref="AB358" r:id="rId1308" display="http://bdigital.ufp.pt/"/>
    <hyperlink ref="B359" r:id="rId1309" display="http://roarmap.eprints.org/271/"/>
    <hyperlink ref="Z359" r:id="rId1310" display="http://www.ulisboa.pt/"/>
    <hyperlink ref="AB359" r:id="rId1311" display="http://repositorio.ul.pt/"/>
    <hyperlink ref="B360" r:id="rId1312" display="http://roarmap.eprints.org/272/"/>
    <hyperlink ref="Z360" r:id="rId1313" display="http://www.utad.pt"/>
    <hyperlink ref="AA360" r:id="rId1314" display="http://roarmap.eprints.org/690/1/POLITICA_DE_ACESSO_LIVRE_DR_UTAD.pdf"/>
    <hyperlink ref="AB360" r:id="rId1315" display="http://repositorio.utad.pt/"/>
    <hyperlink ref="B361" r:id="rId1316" display="http://roarmap.eprints.org/273/"/>
    <hyperlink ref="Z361" r:id="rId1317" display="http://www.ualg.pt/home/pt"/>
    <hyperlink ref="AA361" r:id="rId1318" display="http://roarmap.eprints.org/608/2/index.php_option%3Dcom_docman%26task%3Ddoc_download%26gid%3D6231%26lang%3Dpt"/>
    <hyperlink ref="AB361" r:id="rId1319" display="https://sapientia.ualg.pt/"/>
    <hyperlink ref="B362" r:id="rId1320" display="http://roarmap.eprints.org/274/"/>
    <hyperlink ref="Z362" r:id="rId1321" display="http://www.uminho.pt/"/>
    <hyperlink ref="AA362" r:id="rId1322" display="https://repositorium.sdum.uminho.pt/about/docs/Despacho_RT-98_2010.pdf"/>
    <hyperlink ref="AB362" r:id="rId1323" display="https://repositorium.sdum.uminho.pt"/>
    <hyperlink ref="B363" r:id="rId1324" display="http://roarmap.eprints.org/275/"/>
    <hyperlink ref="Z363" r:id="rId1325" display="http://www.uc.pt/"/>
    <hyperlink ref="AA363" r:id="rId1326" display="http://roarmap.eprints.org/681/1/mandatoUC.pdf"/>
    <hyperlink ref="AB363" r:id="rId1327" display="https://estudogeral.sib.uc.pt/"/>
    <hyperlink ref="B364" r:id="rId1328" display="http://roarmap.eprints.org/276/"/>
    <hyperlink ref="Z364" r:id="rId1329" display="http://sigarra.up.pt/up/pt/web_page.inicial"/>
    <hyperlink ref="AA364" r:id="rId1330" display="http://repositorio.up.pt/files/Regulamentos_Open_Access.pdf"/>
    <hyperlink ref="B365" r:id="rId1331" display="http://roarmap.eprints.org/279/"/>
    <hyperlink ref="Z365" r:id="rId1332" display="http://www.bsu.edu.ru/"/>
    <hyperlink ref="AA365" r:id="rId1333" display="http://roarmap.eprints.org/877/1/%D0%BF%D1%80%D0%B8%D0%BA%D0%B0%D0%B7 %D0%BE%D0%B1 %D1%83%D0%BD%D0%B8%D0%B2%D0%B5%D1%80 %D0%BC%D0%B0%D0%BD%D0%B4%D0%B0%D1%82%D0%B5.pdf"/>
    <hyperlink ref="B366" r:id="rId1334" display="http://roarmap.eprints.org/280/"/>
    <hyperlink ref="Z366" r:id="rId1335" display="http://www.cemi.rssi.ru/"/>
    <hyperlink ref="AB366" r:id="rId1336" display="http://socionet.ru/"/>
    <hyperlink ref="B367" r:id="rId1337" display="http://roarmap.eprints.org/281/"/>
    <hyperlink ref="Z367" r:id="rId1338" display="http://keldysh.ru/"/>
    <hyperlink ref="AB367" r:id="rId1339" display="http://socionet.ru/"/>
    <hyperlink ref="B368" r:id="rId1340" display="http://roarmap.eprints.org/282/"/>
    <hyperlink ref="Z368" r:id="rId1341" display="http://www.vscc.ac.ru/"/>
    <hyperlink ref="AB368" r:id="rId1342" display="http://socionet.ru/"/>
    <hyperlink ref="B369" r:id="rId1343" display="http://roarmap.eprints.org/43/"/>
    <hyperlink ref="Z369" r:id="rId1344" display="http://www.kaust.edu.sa/"/>
    <hyperlink ref="AA369" r:id="rId1345" display="http://libguides.kaust.edu.sa/OpenAccessPolicy"/>
    <hyperlink ref="AB369" r:id="rId1346" display="http://repository.kaust.edu.sa/kaust/"/>
    <hyperlink ref="B370" r:id="rId1347" display="http://roarmap.eprints.org/44/"/>
    <hyperlink ref="Z370" r:id="rId1348" display="http://www.a-star.edu.sg/"/>
    <hyperlink ref="AA370" r:id="rId1349" display="http://roarmap.eprints.org/933/1/FAQ_OAR.pdf"/>
    <hyperlink ref="AB370" r:id="rId1350" display="http://oar.a-star.edu.sg/jspui/"/>
    <hyperlink ref="B371" r:id="rId1351" display="http://roarmap.eprints.org/45/"/>
    <hyperlink ref="Z371" r:id="rId1352" display="http://www.ntu.edu.sg/Pages/index.aspx"/>
    <hyperlink ref="AA371" r:id="rId1353" display="https://www.ntu.edu.sg/library/scholarlycomm/OAmandates/Pages/NTU-OAmandate.aspx"/>
    <hyperlink ref="AB371" r:id="rId1354" display="http://dr.ntu.edu.sg/"/>
    <hyperlink ref="B372" r:id="rId1355" display="http://roarmap.eprints.org/46/"/>
    <hyperlink ref="Z372" r:id="rId1356" display="http://www.smu.edu.sg/"/>
    <hyperlink ref="AA372" r:id="rId1357" display="http://library.smu.edu.sg/sites/default/files/library/pdf/smuopenaccesspolicy_24102013.pdf"/>
    <hyperlink ref="AB372" r:id="rId1358" display="http://ink.library.smu.edu.sg/"/>
    <hyperlink ref="B373" r:id="rId1359" display="http://roarmap.eprints.org/284/"/>
    <hyperlink ref="Z373" r:id="rId1360" display="http://www.cvtisr.sk/"/>
    <hyperlink ref="AB373" r:id="rId1361" display="http://www.crzp.sk/crzpopacxe"/>
    <hyperlink ref="B374" r:id="rId1362" display="http://roarmap.eprints.org/75/"/>
    <hyperlink ref="Z374" r:id="rId1363" display="http://rifee.vn/"/>
    <hyperlink ref="AB374" r:id="rId1364" display="http://rifee.vn/posts/an-pham-khoa-hoc-12"/>
    <hyperlink ref="B375" r:id="rId1365" display="http://roarmap.eprints.org/285/"/>
    <hyperlink ref="Z375" r:id="rId1366" display="http://www.uni-lj.si/"/>
    <hyperlink ref="AA375" r:id="rId1367" location="!/Dopolnitev-Statuta-Univerze-v-Ljubljani" display="http://www.uradni-list.si/1/content?id=114726 - !/Dopolnitev-Statuta-Univerze-v-Ljubljani"/>
    <hyperlink ref="AB375" r:id="rId1368" display="https://repozitorij.uni-lj.si"/>
    <hyperlink ref="B376" r:id="rId1369" display="http://roarmap.eprints.org/286/"/>
    <hyperlink ref="Z376" r:id="rId1370" display="http://www3.fgg.uni-lj.si/"/>
    <hyperlink ref="AB376" r:id="rId1371" display="http://drugg.fgg.uni-lj.si/"/>
    <hyperlink ref="B377" r:id="rId1372" display="http://roarmap.eprints.org/287/"/>
    <hyperlink ref="Z377" r:id="rId1373" display="http://www.pef.uni-lj.si/"/>
    <hyperlink ref="AB377" r:id="rId1374" display="http://pefprints.pef.uni-lj.si/"/>
    <hyperlink ref="B378" r:id="rId1375" display="http://roarmap.eprints.org/687/"/>
    <hyperlink ref="Z378" r:id="rId1376" display="http://www.nrf.ac.za"/>
    <hyperlink ref="AA378" r:id="rId1377" display="http://hdl.handle.net/10907/103"/>
    <hyperlink ref="AB378" r:id="rId1378" display="http://ir.nrf.ac.za/"/>
    <hyperlink ref="B379" r:id="rId1379" display="http://roarmap.eprints.org/11/"/>
    <hyperlink ref="Z379" r:id="rId1380" display="http://www.sun.ac.za/english"/>
    <hyperlink ref="AB379" r:id="rId1381" display="http://scholar.sun.ac.za/"/>
    <hyperlink ref="AZ379" r:id="rId1382" display="http://library.sun.ac.za/English/services/oa/Pages/su-oafund.aspx"/>
    <hyperlink ref="B380" r:id="rId1383" display="http://roarmap.eprints.org/7/"/>
    <hyperlink ref="Z380" r:id="rId1384" display="http://twas.assaf.org.za/"/>
    <hyperlink ref="AB380" r:id="rId1385" display="http://twas.assaf.org.za/"/>
    <hyperlink ref="B381" r:id="rId1386" display="http://roarmap.eprints.org/660/"/>
    <hyperlink ref="Z381" r:id="rId1387" display="https://www.uct.ac.za/"/>
    <hyperlink ref="AA381" r:id="rId1388" display="https://www.uct.ac.za/downloads/uct.ac.za/about/policies/UCTOpenAccessPolicy.pdf"/>
    <hyperlink ref="AB381" r:id="rId1389" display="https://open.uct.ac.za/"/>
    <hyperlink ref="B382" r:id="rId1390" display="http://roarmap.eprints.org/8/"/>
    <hyperlink ref="Z382" r:id="rId1391" display="http://www.uj.ac.za"/>
    <hyperlink ref="AA382" r:id="rId1392" display="http://roarmap.eprints.org/670/1/University of Johannesburg Open Access mandate.pdf"/>
    <hyperlink ref="AB382" r:id="rId1393" display="https://ujdigispace.uj.ac.za/"/>
    <hyperlink ref="B383" r:id="rId1394" display="http://roarmap.eprints.org/9/"/>
    <hyperlink ref="Z383" r:id="rId1395" display="http://www.up.ac.za/"/>
    <hyperlink ref="AA383" r:id="rId1396" display="http://www.library.up.ac.za/openup/policies.htm"/>
    <hyperlink ref="AB383" r:id="rId1397" display="http://repository.up.ac.za/"/>
    <hyperlink ref="B384" r:id="rId1398" display="http://roarmap.eprints.org/10/"/>
    <hyperlink ref="Z384" r:id="rId1399" display="http://www.unisa.ac.za/"/>
    <hyperlink ref="AA384" r:id="rId1400" display="http://www.scribd.com/doc/59922824/UNISA-Draft-IP-Policy-Version-1"/>
    <hyperlink ref="AB384" r:id="rId1401" display="http://uir.unisa.ac.za/"/>
    <hyperlink ref="B385" r:id="rId1402" display="http://roarmap.eprints.org/658/"/>
    <hyperlink ref="Z385" r:id="rId1403" display="http://www.buse.ac.zw/"/>
    <hyperlink ref="AB385" r:id="rId1404" display="http://digilib.buse.ac.zw:8090/xmlui/"/>
    <hyperlink ref="B386" r:id="rId1405" display="http://roarmap.eprints.org/659/"/>
    <hyperlink ref="Z386" r:id="rId1406" display="http://www.msu.ac.zw/"/>
    <hyperlink ref="AB386" r:id="rId1407" display="http://ir.msu.ac.zw:8080/jspui/"/>
    <hyperlink ref="B387" r:id="rId1408" display="http://roarmap.eprints.org/288/"/>
    <hyperlink ref="Z387" r:id="rId1409" display="http://www.uchceu.es/en/"/>
    <hyperlink ref="AA387" r:id="rId1410" display="http://roarmap.eprints.org/1016/1/politica-acceso-abierto.pdf"/>
    <hyperlink ref="AB387" r:id="rId1411" display="http://dspace.ceu.es/"/>
    <hyperlink ref="B388" r:id="rId1412" display="http://roarmap.eprints.org/289/"/>
    <hyperlink ref="Z388" r:id="rId1413" display="https://sede.asturias.es/portal/site/Asturias/menuitem.dd936699a8bc2e7af18e90dbbb30a0a0/?vgnextoid=f8a6242274c5e010VgnVCM1000000100007fRCRD&amp;i18n.http.lang=en"/>
    <hyperlink ref="AA388" r:id="rId1414" display="http://www.accesoabierto.net/node/17"/>
    <hyperlink ref="AB388" r:id="rId1415" display="http://ria.asturias.es/RIA/index.jsp"/>
    <hyperlink ref="B389" r:id="rId1416" display="http://roarmap.eprints.org/290/"/>
    <hyperlink ref="O389" r:id="rId1417" display="http://www.consorciomadrono.es/docs/declaracion_acceso_abierto.pdf"/>
    <hyperlink ref="Z389" r:id="rId1418" display="http://www.madrid.org/cs/Satellite?pagename=ComunidadMadrid/Home"/>
    <hyperlink ref="AA389" r:id="rId1419" display="http://www.madrimasd.org/informacionidi/convocatorias/2009/documentos/Orden_679-2009_19-02-09_Convocatoria_Ayuda_Programas_Actividades_Tecnonologia.pdf"/>
    <hyperlink ref="B390" r:id="rId1420" display="http://roarmap.eprints.org/291/"/>
    <hyperlink ref="Z390" r:id="rId1421" display="http://www.mpt.gob.es/enlaces/administracion_general_del_estado"/>
    <hyperlink ref="AA390" r:id="rId1422" display="http://www.mpt.gob.es/enlaces/administracion_general_del_estado"/>
    <hyperlink ref="AB390" r:id="rId1423" display="http://opendepot.org/"/>
    <hyperlink ref="B391" r:id="rId1424" display="http://roarmap.eprints.org/293/"/>
    <hyperlink ref="Z391" r:id="rId1425" display="http://www.uc3m.es/Home"/>
    <hyperlink ref="AA391" r:id="rId1426" display="http://hdl.handle.net/10016/17691"/>
    <hyperlink ref="AB391" r:id="rId1427" display="http://e-archivo.uc3m.es"/>
    <hyperlink ref="B392" r:id="rId1428" display="http://roarmap.eprints.org/673/"/>
    <hyperlink ref="Z392" r:id="rId1429" display="http://www.ucm.es/"/>
    <hyperlink ref="AA392" r:id="rId1430" display="http://biblioteca.ucm.es/data/cont/docs/politica_acceso_abierto_20140527.pdf"/>
    <hyperlink ref="AB392" r:id="rId1431" display="http://eprints.ucm.es/"/>
    <hyperlink ref="B393" r:id="rId1432" display="http://roarmap.eprints.org/298/"/>
    <hyperlink ref="Z393" r:id="rId1433" display="http://www.upct.es/"/>
    <hyperlink ref="AA393" r:id="rId1434" display="http://repositorio.bib.upct.es/dspace/ayuda/institucional.pdf"/>
    <hyperlink ref="AB393" r:id="rId1435" display="http://repositorio.bib.upct.es/dspace"/>
    <hyperlink ref="B394" r:id="rId1436" display="http://roarmap.eprints.org/299/"/>
    <hyperlink ref="Z394" r:id="rId1437" display="http://www.upm.es/institucional"/>
    <hyperlink ref="AB394" r:id="rId1438" display="http://oa.upm.es/"/>
    <hyperlink ref="B395" r:id="rId1439" display="http://roarmap.eprints.org/300/"/>
    <hyperlink ref="Z395" r:id="rId1440" display="http://www.urjc.es/"/>
    <hyperlink ref="AA395" r:id="rId1441" display="http://roarmap.eprints.org/704/1/ESFmandateRec.pdf"/>
    <hyperlink ref="AB395" r:id="rId1442" display="http://eciencia.urjc.es/dspace/"/>
    <hyperlink ref="B396" r:id="rId1443" display="http://roarmap.eprints.org/292/"/>
    <hyperlink ref="Z396" r:id="rId1444" display="http://www.uah.es"/>
    <hyperlink ref="AA396" r:id="rId1445" display="http://www.uah.es/biblioteca/documentos/Politica_institucional_acceso_abierto_UAH.pdf"/>
    <hyperlink ref="AB396" r:id="rId1446" display="http://dspace.uah.es/dspace"/>
    <hyperlink ref="B397" r:id="rId1447" display="http://roarmap.eprints.org/294/"/>
    <hyperlink ref="Z397" r:id="rId1448" display="http://www.unican.es"/>
    <hyperlink ref="AA397" r:id="rId1449" display="http://repositorio.unican.es/xmlui/themes/unican/lib/Politica_Repositorio_Ucrea.pdf"/>
    <hyperlink ref="AB397" r:id="rId1450" display="http://repositorio.unican.es"/>
    <hyperlink ref="B398" r:id="rId1451" display="http://roarmap.eprints.org/295/"/>
    <hyperlink ref="Z398" r:id="rId1452" display="http://www.unex.es"/>
    <hyperlink ref="AA398" r:id="rId1453" display="http://dehesa.unex.es:8080/static/ourcontent/repositorio_uex.pdf"/>
    <hyperlink ref="AB398" r:id="rId1454" display="http://dehesa.unex.es"/>
    <hyperlink ref="B399" r:id="rId1455" display="http://roarmap.eprints.org/686/"/>
    <hyperlink ref="Z399" r:id="rId1456" display="http://www.uhu.es/index.php"/>
    <hyperlink ref="AA399" r:id="rId1457" display="http://hdl.handle.net/10272/10023"/>
    <hyperlink ref="AB399" r:id="rId1458" display="http://rabida.uhu.es/dspace/"/>
    <hyperlink ref="B400" r:id="rId1459" display="http://roarmap.eprints.org/296/"/>
    <hyperlink ref="Z400" r:id="rId1460" display="http://www.unileon.es"/>
    <hyperlink ref="AA400" r:id="rId1461" display="https://buleria.unileon.es/handle/10612/1850"/>
    <hyperlink ref="AB400" r:id="rId1462" display="https://buleria.unileon.es/"/>
    <hyperlink ref="B401" r:id="rId1463" display="http://roarmap.eprints.org/302/"/>
    <hyperlink ref="Z401" r:id="rId1464" display="http://www.uma.es/"/>
    <hyperlink ref="AA401" r:id="rId1465" display="http://www.uma.es/publicadores/biblioteca/wwwuma/PoliticaAccesoAbiertoUMA.pdf"/>
    <hyperlink ref="AB401" r:id="rId1466" display="http://riuma.uma.es/xmlui"/>
    <hyperlink ref="B402" r:id="rId1467" display="http://roarmap.eprints.org/301/"/>
    <hyperlink ref="Z402" r:id="rId1468" display="http://www.usal.es"/>
    <hyperlink ref="AA402" r:id="rId1469" display="http://www.agenciasinc.es/Noticias/Tesis-Proyectos-Fin-de-Masters-y-Proyectos-de-Investigacion-en-Open-Access"/>
    <hyperlink ref="AB402" r:id="rId1470" display="http://gredos.usal.es"/>
    <hyperlink ref="B403" r:id="rId1471" display="http://roarmap.eprints.org/750/"/>
    <hyperlink ref="Z403" r:id="rId1472" display="http://www.us.es/"/>
    <hyperlink ref="AA403" r:id="rId1473" display="http://bous.us.es/2014/BOUS-04-2014/numero 4/10"/>
    <hyperlink ref="AB403" r:id="rId1474" display="https://idus.us.es/xmlui/"/>
    <hyperlink ref="B404" r:id="rId1475" display="http://roarmap.eprints.org/310/"/>
    <hyperlink ref="Z404" r:id="rId1476" display="http://www.uva.es"/>
    <hyperlink ref="AA404" r:id="rId1477" display="http://bocyl.jcyl.es/boletines/2012/12/19/pdf/BOCYL-D-19122012-18.pdf"/>
    <hyperlink ref="AB404" r:id="rId1478" display="http://uvadoc.uva.es"/>
    <hyperlink ref="B405" r:id="rId1479" display="http://roarmap.eprints.org/303/"/>
    <hyperlink ref="Z405" r:id="rId1480" display="http://www.uab.cat/"/>
    <hyperlink ref="AA405" r:id="rId1481" display="http://ddd.uab.cat/record/89641"/>
    <hyperlink ref="AB405" r:id="rId1482" display="http://ddd.uab.cat"/>
    <hyperlink ref="B406" r:id="rId1483" display="http://roarmap.eprints.org/304/"/>
    <hyperlink ref="Z406" r:id="rId1484" display="http://www.uoc.edu/portal/en/index.html"/>
    <hyperlink ref="AA406" r:id="rId1485" display="http://openaccess.uoc.edu/webapps/o2/bitstream/10609/4966/8/InstitucionalMandateUOC_eng.pdf"/>
    <hyperlink ref="AB406" r:id="rId1486" display="http://openaccess.uoc.edu/webapps/o2/"/>
    <hyperlink ref="B407" r:id="rId1487" display="http://roarmap.eprints.org/306/"/>
    <hyperlink ref="Z407" r:id="rId1488" display="http://www.upc.edu/"/>
    <hyperlink ref="AA407" r:id="rId1489" display="http://bibliotecnica.upc.edu/sites/bibliotecnica.upc.edu/files/arxius_site/file/open_acces/mandateng.pdf"/>
    <hyperlink ref="AB407" r:id="rId1490" display="http://upcommons.upc.edu/"/>
    <hyperlink ref="B408" r:id="rId1491" display="http://roarmap.eprints.org/305/"/>
    <hyperlink ref="Z408" r:id="rId1492" display="http://www.upv.es/"/>
    <hyperlink ref="AA408" r:id="rId1493" display="http://riunet.upv.es/bitstream/handle/10251/11342/Politica acceso abierto_UPV.pdf?sequence=1"/>
    <hyperlink ref="AB408" r:id="rId1494" display="http://riunet.upv.es/"/>
    <hyperlink ref="B409" r:id="rId1495" display="http://roarmap.eprints.org/308/"/>
    <hyperlink ref="Z409" r:id="rId1496" display="http://www.upf.edu/"/>
    <hyperlink ref="AA409" r:id="rId1497" display="http://roarmap.eprints.org/428/1/politica_AO_UPF.pdf"/>
    <hyperlink ref="AB409" r:id="rId1498" display="http://repositori.upf.edu/"/>
    <hyperlink ref="B410" r:id="rId1499" display="http://roarmap.eprints.org/307/"/>
    <hyperlink ref="Z410" r:id="rId1500" display="http://www.ub.edu/web/ub/ca/"/>
    <hyperlink ref="AA410" r:id="rId1501" display="http://roarmap.eprints.org/475/1/2011_06_Politica_acces_obert_UB.pdf"/>
    <hyperlink ref="AB410" r:id="rId1502" display="http://diposit.ub.edu/dspace/"/>
    <hyperlink ref="B411" r:id="rId1503" display="http://roarmap.eprints.org/309/"/>
    <hyperlink ref="Z411" r:id="rId1504" display="http://www.udg.edu/"/>
    <hyperlink ref="AA411" r:id="rId1505" display="http://dugi-doc.udg.edu/bitstream/handle/10256/3894/UdG-politica-acces-obert.pdf?sequence=1"/>
    <hyperlink ref="AB411" r:id="rId1506" display="http://dugi.udg.edu/"/>
    <hyperlink ref="B412" r:id="rId1507" display="http://roarmap.eprints.org/297/"/>
    <hyperlink ref="Z412" r:id="rId1508" display="http://www.udl.es"/>
    <hyperlink ref="AA412" r:id="rId1509" display="http://repositori.udl.cat/handle/10459.1/45590"/>
    <hyperlink ref="AB412" r:id="rId1510" display="http://repositori.udl.cat"/>
    <hyperlink ref="B413" r:id="rId1511" display="http://roarmap.eprints.org/311/"/>
    <hyperlink ref="Z413" r:id="rId1512" display="http://www.uvic.es"/>
    <hyperlink ref="AA413" r:id="rId1513" display="http://repositori.uvic.cat/handle/10854/1934"/>
    <hyperlink ref="AB413" r:id="rId1514" display="http://repositori.uvic.cat"/>
    <hyperlink ref="B414" r:id="rId1515" display="http://roarmap.eprints.org/312/"/>
    <hyperlink ref="Z414" r:id="rId1516" display="http://www.bth.se/eng"/>
    <hyperlink ref="AA414" r:id="rId1517" display="http://www.bth.se/fou/forskinfo.nsf/textpages/bth-oa-policy"/>
    <hyperlink ref="AB414" r:id="rId1518" display="http://www.bth.se/fou"/>
    <hyperlink ref="B415" r:id="rId1519" display="http://roarmap.eprints.org/313/"/>
    <hyperlink ref="Z415" r:id="rId1520" display="http://www.chalmers.se/en/Pages/default.aspx"/>
    <hyperlink ref="AA415" r:id="rId1521" display="http://www.chalmers.se/en/about-chalmers/policies-and-rules/Pages/open-access-policy.aspx"/>
    <hyperlink ref="AB415" r:id="rId1522" display="http://publications.lib.chalmers.se/"/>
    <hyperlink ref="B416" r:id="rId1523" display="http://roarmap.eprints.org/314/"/>
    <hyperlink ref="Z416" r:id="rId1524" display="http://ki.se/start"/>
    <hyperlink ref="AA416" r:id="rId1525" display="http://roarmap.eprints.org/467/1/OpenAccessPolicy_KI.pdf"/>
    <hyperlink ref="AB416" r:id="rId1526" display="http://publications.ki.se/xmlui/"/>
    <hyperlink ref="B417" r:id="rId1527" display="http://roarmap.eprints.org/315/"/>
    <hyperlink ref="Z417" r:id="rId1528" display="http://www.lub.lu.se/"/>
    <hyperlink ref="AA417" r:id="rId1529" display="http://www.med.lu.se/intramed/nyhetsarkiv/131203_open_access"/>
    <hyperlink ref="AB417" r:id="rId1530" display="http://www.lunduniversity.lu.se/research-and-innovation/find-publications"/>
    <hyperlink ref="B418" r:id="rId1531" display="http://roarmap.eprints.org/316/"/>
    <hyperlink ref="Z418" r:id="rId1532" display="http://www.mah.se/english"/>
    <hyperlink ref="AA418" r:id="rId1533" display="http://www.mah.se/bit/press/openaccess_eng"/>
    <hyperlink ref="AB418" r:id="rId1534" display="http://dspace.mah.se/"/>
    <hyperlink ref="B419" r:id="rId1535" display="http://roarmap.eprints.org/317/"/>
    <hyperlink ref="Z419" r:id="rId1536" display="http://www.su.se/"/>
    <hyperlink ref="AA419" r:id="rId1537" display="http://www.sub.su.se/home/publish/open-access.aspx"/>
    <hyperlink ref="AB419" r:id="rId1538" display="http://su.diva-portal.org/smash/search.jsf"/>
    <hyperlink ref="B420" r:id="rId1539" display="http://roarmap.eprints.org/318/"/>
    <hyperlink ref="Z420" r:id="rId1540" display="http://www.kb.se/hjalp/english/"/>
    <hyperlink ref="AA420" r:id="rId1541" display="http://www.kb.se/OpenAccess_english/OA-News/Open-Access-policy-for-the-National-Library-of-Sweden/"/>
    <hyperlink ref="AB420" r:id="rId1542" display="http://www.kb.se/"/>
    <hyperlink ref="B421" r:id="rId1543" display="http://roarmap.eprints.org/319/"/>
    <hyperlink ref="Z421" r:id="rId1544" display="http://www.formas.se/en/"/>
    <hyperlink ref="AA421" r:id="rId1545" display="http://www.formas.se/Global/Handbook english/140306_Formas_Handbook_2014.pdf"/>
    <hyperlink ref="AB421" r:id="rId1546" display="http://www.formas.se/en/"/>
    <hyperlink ref="B422" r:id="rId1547" display="http://roarmap.eprints.org/320/"/>
    <hyperlink ref="Z422" r:id="rId1548" display="http://www.vr.se/"/>
    <hyperlink ref="AA422" r:id="rId1549" display="http://bit.ly/cbc8r6"/>
    <hyperlink ref="B423" r:id="rId1550" display="http://roarmap.eprints.org/321/"/>
    <hyperlink ref="Z423" r:id="rId1551" display="http://www.umu.se/"/>
    <hyperlink ref="AA423" r:id="rId1552" display="http://www.ub.umu.se/en/about/news/open-access-policy-umea-university"/>
    <hyperlink ref="AB423" r:id="rId1553" display="http://umu.diva-portal.org/smash/search.jsf"/>
    <hyperlink ref="B424" r:id="rId1554" display="http://roarmap.eprints.org/322/"/>
    <hyperlink ref="Z424" r:id="rId1555" display="http://www.hb.se/en/"/>
    <hyperlink ref="AA424" r:id="rId1556" display="http://www.hb.se/en/Library/Research-support/Publish/Rectors-resolution-on-publishing/"/>
    <hyperlink ref="AB424" r:id="rId1557" display="http://bada.hb.se/"/>
    <hyperlink ref="B425" r:id="rId1558" display="http://roarmap.eprints.org/633/"/>
    <hyperlink ref="Z425" r:id="rId1559" display="http://home.web.cern.ch/"/>
    <hyperlink ref="AA425" r:id="rId1560" display="http://cdsweb.cern.ch/search.py?sc=1&amp;ln=en&amp;p=cern-open-2005-006&amp;f=reportnumber"/>
    <hyperlink ref="AB425" r:id="rId1561" display="http://cds.cern.ch/"/>
    <hyperlink ref="B426" r:id="rId1562" display="http://roarmap.eprints.org/323/"/>
    <hyperlink ref="Z426" r:id="rId1563" display="https://www.ethz.ch/de.html"/>
    <hyperlink ref="AA426" r:id="rId1564" display="http://www.open-access.ethz.ch/oazurich/policy_EN"/>
    <hyperlink ref="AB426" r:id="rId1565" display="http://e-collection.library.ethz.ch/"/>
    <hyperlink ref="B427" r:id="rId1566" display="http://roarmap.eprints.org/324/"/>
    <hyperlink ref="Z427" r:id="rId1567" display="http://www.snf.ch/en/Pages/default.aspx"/>
    <hyperlink ref="AA427" r:id="rId1568" display="http://www.snf.ch/SiteCollectionDocuments/Dossiers/dos_OA_regelung_auf_einen_blick_e.pdf"/>
    <hyperlink ref="AB427" r:id="rId1569" display="http://www.snf.ch/en/Search/Pages/default.aspx?k=repository"/>
    <hyperlink ref="B428" r:id="rId1570" display="http://roarmap.eprints.org/325/"/>
    <hyperlink ref="Z428" r:id="rId1571" display="http://www.unibas.ch/"/>
    <hyperlink ref="AA428" r:id="rId1572" display="http://www.ub.unibas.ch/en/ub-hauptbibliothek/dienstleistungen/publizieren/open-access/open-access-policy/"/>
    <hyperlink ref="AB428" r:id="rId1573" display="http://edoc.unibas.ch/"/>
    <hyperlink ref="B429" r:id="rId1574" display="http://roarmap.eprints.org/326/"/>
    <hyperlink ref="Z429" r:id="rId1575" display="http://www.unibe.ch/"/>
    <hyperlink ref="AB429" r:id="rId1576" display="http://boris.unibe.ch/"/>
    <hyperlink ref="B430" r:id="rId1577" display="http://roarmap.eprints.org/327/"/>
    <hyperlink ref="Z430" r:id="rId1578" display="http://www.unige.ch/"/>
    <hyperlink ref="AA430" r:id="rId1579" display="http://archive-ouverte.unige.ch/pages/copyright_open_access"/>
    <hyperlink ref="AB430" r:id="rId1580" display="http://archive-ouverte.unige.ch/"/>
    <hyperlink ref="B431" r:id="rId1581" display="http://roarmap.eprints.org/328/"/>
    <hyperlink ref="Z431" r:id="rId1582" display="http://www.unisg.ch/"/>
    <hyperlink ref="AA431" r:id="rId1583" display="https://www.alexandria.unisg.ch/Open-Access-at-the-University-of-St-Gallen"/>
    <hyperlink ref="AB431" r:id="rId1584" display="http://www.unisg.ch/en/forschung/forschungsplattformalexandria"/>
    <hyperlink ref="B432" r:id="rId1585" display="http://roarmap.eprints.org/329/"/>
    <hyperlink ref="Z432" r:id="rId1586" display="http://www.uzh.ch/index.html"/>
    <hyperlink ref="AA432" r:id="rId1587" display="http://www.oai.uzh.ch/en/working-with-zora/regulations/guidelines"/>
    <hyperlink ref="AB432" r:id="rId1588" display="http://www.zora.unizh.ch/"/>
    <hyperlink ref="AZ432" r:id="rId1589" display="http://www.oai.uzh.ch/en/at-the-uzh/funding"/>
    <hyperlink ref="B433" r:id="rId1590" display="http://roarmap.eprints.org/64/"/>
    <hyperlink ref="Z433" r:id="rId1591" display="http://www.ibu.edu.tr/index.php/en/"/>
    <hyperlink ref="B434" r:id="rId1592" display="http://roarmap.eprints.org/63/"/>
    <hyperlink ref="Z434" r:id="rId1593" display="http://en.bingol.edu.tr/"/>
    <hyperlink ref="AA434" r:id="rId1594" display="http://www.bingol.edu.tr/media/163822/BiNGoL-uNiVERSiTESi-AciK-ERisiM-POLiTiKASi.pdf"/>
    <hyperlink ref="AB434" r:id="rId1595" display="http://acikerisim.bingol.edu.tr:8080/xmlui"/>
    <hyperlink ref="B435" r:id="rId1596" display="http://roarmap.eprints.org/73/"/>
    <hyperlink ref="Z435" r:id="rId1597" display="http://www.cbu.edu.tr/eng/"/>
    <hyperlink ref="B436" r:id="rId1598" display="http://roarmap.eprints.org/51/"/>
    <hyperlink ref="Z436" r:id="rId1599" display="http://www.dogus.edu.tr/en/"/>
    <hyperlink ref="AA436" r:id="rId1600" display="http://openaccess.dogus.edu.tr:8080/dokumanlar/oa_politika.html"/>
    <hyperlink ref="AB436" r:id="rId1601" display="http://openaccess.dogus.edu.tr:8080/xmlui/"/>
    <hyperlink ref="B437" r:id="rId1602" display="http://roarmap.eprints.org/62/"/>
    <hyperlink ref="Z437" r:id="rId1603" display="http://www.eng.duzce.edu.tr/"/>
    <hyperlink ref="B438" r:id="rId1604" display="http://roarmap.eprints.org/59/"/>
    <hyperlink ref="Z438" r:id="rId1605" display="http://www.ege.edu.tr/index.php?lid=2"/>
    <hyperlink ref="AB438" r:id="rId1606" display="http://acikerisim.ege.edu.tr:8081/xmlui/?locale-attribute=en"/>
    <hyperlink ref="B439" r:id="rId1607" display="http://roarmap.eprints.org/72/"/>
    <hyperlink ref="Z439" r:id="rId1608" display="http://www.gantep.edu.tr/en/"/>
    <hyperlink ref="B440" r:id="rId1609" display="http://roarmap.eprints.org/66/"/>
    <hyperlink ref="Z440" r:id="rId1610" display="http://www.gop.edu.tr/eng/"/>
    <hyperlink ref="AB440" r:id="rId1611" display="http://earsiv.gop.edu.tr/xmlui/?locale-attribute=en"/>
    <hyperlink ref="B441" r:id="rId1612" display="http://roarmap.eprints.org/48/"/>
    <hyperlink ref="Z441" r:id="rId1613" display="http://www.bby.hacettepe.edu.tr/english/"/>
    <hyperlink ref="AB441" r:id="rId1614" display="http://bbyeprints.hacettepe.edu.tr/"/>
    <hyperlink ref="B442" r:id="rId1615" display="http://roarmap.eprints.org/60/"/>
    <hyperlink ref="Z442" r:id="rId1616" display="http://www.hitit.edu.tr/eng/index.php"/>
    <hyperlink ref="AB442" r:id="rId1617" display="http://earsiv.hitit.edu.tr:8080/jspui/?locale=en"/>
    <hyperlink ref="B443" r:id="rId1618" display="http://roarmap.eprints.org/67/"/>
    <hyperlink ref="Z443" r:id="rId1619" display="http://www.igdir.edu.tr/en/default.aspx"/>
    <hyperlink ref="B444" r:id="rId1620" display="http://roarmap.eprints.org/71/"/>
    <hyperlink ref="Z444" r:id="rId1621" display="http://www.istanbulbilim.edu.tr/?sc=d&amp;W=1366"/>
    <hyperlink ref="B445" r:id="rId1622" display="http://roarmap.eprints.org/771/"/>
    <hyperlink ref="Z445" r:id="rId1623" display="http://sehir.edu.tr/Pages/anasayfa.aspx"/>
    <hyperlink ref="AA445" r:id="rId1624" display="http://www.sehir.edu.tr/en/Pages/Library/Sehir_Repository_Policy.aspx"/>
    <hyperlink ref="AB445" r:id="rId1625" display="http://earsiv.sehir.edu.tr:8080/xmlui/"/>
    <hyperlink ref="B446" r:id="rId1626" display="http://roarmap.eprints.org/49/"/>
    <hyperlink ref="Z446" r:id="rId1627" display="http://www.iyte.edu.tr/"/>
    <hyperlink ref="AA446" r:id="rId1628" display="http://library.iyte.edu.tr/dosya/AcikErisim.pdf"/>
    <hyperlink ref="AB446" r:id="rId1629" display="http://openaccess.iyte.edu.tr:8080/xmlui/"/>
    <hyperlink ref="B447" r:id="rId1630" display="http://roarmap.eprints.org/54/"/>
    <hyperlink ref="Z447" r:id="rId1631" display="http://ikc.edu.tr/en/"/>
    <hyperlink ref="AA447" r:id="rId1632" display="http://lib.ikc.edu.tr/sayfa/acik-erisim-ve-kurumsal-arsiv-politikasi"/>
    <hyperlink ref="B448" r:id="rId1633" display="http://roarmap.eprints.org/68/"/>
    <hyperlink ref="Z448" r:id="rId1634" display="http://www.karatay.edu.tr/"/>
    <hyperlink ref="AB448" r:id="rId1635" display="http://acikerisim.karatay.edu.tr/xmlui/?locale-attribute=en"/>
    <hyperlink ref="B449" r:id="rId1636" display="http://roarmap.eprints.org/50/"/>
    <hyperlink ref="Z449" r:id="rId1637" display="http://www.metu.edu.tr/"/>
    <hyperlink ref="AB449" r:id="rId1638" display="http://etd.lib.metu.edu.tr/oai"/>
    <hyperlink ref="B450" r:id="rId1639" display="http://roarmap.eprints.org/61/"/>
    <hyperlink ref="Z450" r:id="rId1640" display="http://www.pirireis.edu.tr/en/"/>
    <hyperlink ref="B451" r:id="rId1641" display="http://roarmap.eprints.org/65/"/>
    <hyperlink ref="Z451" r:id="rId1642" display="http://www.sinop.edu.tr/"/>
    <hyperlink ref="B452" r:id="rId1643" display="http://roarmap.eprints.org/57/"/>
    <hyperlink ref="Z452" r:id="rId1644" display="http://www.sirnak.edu.tr/yeni/index_eng.php"/>
    <hyperlink ref="B453" r:id="rId1645" display="http://roarmap.eprints.org/53/"/>
    <hyperlink ref="Z453" r:id="rId1646" display="http://www.tedankara.k12.tr/public/english/"/>
    <hyperlink ref="AA453" r:id="rId1647" display="http://tedprints.tedankara.k12.tr/policies.html"/>
    <hyperlink ref="AB453" r:id="rId1648" display="http://tedprints.tedankara.k12.tr/"/>
    <hyperlink ref="B454" r:id="rId1649" display="http://roarmap.eprints.org/56/"/>
    <hyperlink ref="Z454" r:id="rId1650" display="http://www-en.trakya.edu.tr/"/>
    <hyperlink ref="AA454" r:id="rId1651" display="http://193.255.140.18/yordamaays/Kapsam.htm"/>
    <hyperlink ref="AB454" r:id="rId1652" display="http://193.255.140.18/YordamAAYS/Yordam.htm"/>
    <hyperlink ref="B455" r:id="rId1653" display="http://roarmap.eprints.org/52/"/>
    <hyperlink ref="Z455" r:id="rId1654" display="http://www.bby.hacettepe.edu.tr/"/>
    <hyperlink ref="AB455" r:id="rId1655" display="http://bbytezarsivi.hacettepe.edu.tr:8080/jspui/"/>
    <hyperlink ref="B456" r:id="rId1656" display="http://roarmap.eprints.org/748/"/>
    <hyperlink ref="Z456" r:id="rId1657" display="http://kutuphane.tbmm.gov.tr"/>
    <hyperlink ref="AA456" r:id="rId1658" display="http://acikerisim.tbmm.gov.tr:8080/dokumanlar/politika.htm"/>
    <hyperlink ref="AB456" r:id="rId1659" display="http://acikerisim.tbmm.gov.tr:8080/xmlui/"/>
    <hyperlink ref="B457" r:id="rId1660" display="http://roarmap.eprints.org/55/"/>
    <hyperlink ref="Z457" r:id="rId1661" display="http://www.yalova.edu.tr/"/>
    <hyperlink ref="AA457" r:id="rId1662" display="http://dspace.yalova.edu.tr/bitstream/handle/123456789/8/acikerisim.pdf?sequence=1"/>
    <hyperlink ref="AB457" r:id="rId1663" display="http://dspace.yalova.edu.tr/"/>
    <hyperlink ref="B458" r:id="rId1664" display="http://roarmap.eprints.org/74/"/>
    <hyperlink ref="Z458" r:id="rId1665" display="http://www.yasar.edu.tr/en/"/>
    <hyperlink ref="B459" r:id="rId1666" display="http://roarmap.eprints.org/69/"/>
    <hyperlink ref="Z459" r:id="rId1667" display="http://www.ybu.edu.tr/"/>
    <hyperlink ref="AA459" r:id="rId1668" display="http://www.ybu.edu.tr/kutuphane/custom_page-346-ybu-acik-erisim-politikasi.html"/>
    <hyperlink ref="AB459" r:id="rId1669" display="http://acikerisim.ybu.edu.tr:8080/xmlui/"/>
    <hyperlink ref="B460" r:id="rId1670" display="http://roarmap.eprints.org/58/"/>
    <hyperlink ref="Z460" r:id="rId1671" display="http://www.zirve.edu.tr/en/"/>
    <hyperlink ref="B461" r:id="rId1672" display="http://roarmap.eprints.org/70/"/>
    <hyperlink ref="Z461" r:id="rId1673" display="http://www.ozyegin.edu.tr/Anasayfa?lang=en-US"/>
    <hyperlink ref="AB461" r:id="rId1674" display="https://eresearch.ozyegin.edu.tr/xmlui/"/>
    <hyperlink ref="B462" r:id="rId1675" display="http://roarmap.eprints.org/643/"/>
    <hyperlink ref="Z462" r:id="rId1676" display="http://www.gelisim.edu.tr/"/>
    <hyperlink ref="AB462" r:id="rId1677" display="http://earsiv.gelisim.edu.tr:8080/xmlui/"/>
    <hyperlink ref="B463" r:id="rId1678" display="http://roarmap.eprints.org/330/"/>
    <hyperlink ref="Z463" r:id="rId1679" display="http://donntu.edu.ua"/>
    <hyperlink ref="AA463" r:id="rId1680" display="http://roarmap.eprints.org/607/1/prikaz.jpg"/>
    <hyperlink ref="AB463" r:id="rId1681" display="http://ea.donntu.edu.ua:8080/jspui/"/>
    <hyperlink ref="B464" r:id="rId1682" display="http://roarmap.eprints.org/331/"/>
    <hyperlink ref="Z464" r:id="rId1683" display="http://www.univer.kharkov.ua/en"/>
    <hyperlink ref="AA464" r:id="rId1684" display="http://roarmap.eprints.org/290/"/>
    <hyperlink ref="AB464" r:id="rId1685" display="http://dspace.univer.kharkov.ua/"/>
    <hyperlink ref="B465" r:id="rId1686" display="http://roarmap.eprints.org/332/"/>
    <hyperlink ref="Z465" r:id="rId1687" display="http://www.knmu.kharkov.ua/"/>
    <hyperlink ref="AA465" r:id="rId1688" display="http://roarmap.eprints.org/531/"/>
    <hyperlink ref="AB465" r:id="rId1689" display="http://repo.knmu.edu.ua/"/>
    <hyperlink ref="B466" r:id="rId1690" display="http://roarmap.eprints.org/333/"/>
    <hyperlink ref="Z466" r:id="rId1691" display="http://www.nau.edu.ua"/>
    <hyperlink ref="AA466" r:id="rId1692" display="http://roarmap.eprints.org/730/1/%D0%A0%D0%B5%D0%BF%D0%BE%D0%B7%D0%B8%EF%BF%BD%82%D0%B0%EF%BF%BD%80%EF%BF%BD%96%D0%B9_%EF%BF%BD%9D%EF%BF%BD%90%D0%A3.pdf"/>
    <hyperlink ref="B467" r:id="rId1693" display="http://roarmap.eprints.org/664/"/>
    <hyperlink ref="P467" r:id="rId1694" display="http://repository.kpi.kharkov.ua"/>
    <hyperlink ref="Z467" r:id="rId1695" display="http://www.kpi.kharkov.ua"/>
    <hyperlink ref="AA467" r:id="rId1696" display="http://library.kpi.kharkov.ua"/>
    <hyperlink ref="AB467" r:id="rId1697" display="http://repository.kpi.kharkov.ua"/>
    <hyperlink ref="B468" r:id="rId1698" display="http://roarmap.eprints.org/334/"/>
    <hyperlink ref="Z468" r:id="rId1699" display="http://www.ukma.kiev.ua"/>
    <hyperlink ref="AB468" r:id="rId1700" display="http://www.ekmair.ukma.kiev.ua/"/>
    <hyperlink ref="B469" r:id="rId1701" display="http://roarmap.eprints.org/335/"/>
    <hyperlink ref="Z469" r:id="rId1702" display="http://www.rada.gov.ua"/>
    <hyperlink ref="B470" r:id="rId1703" display="http://roarmap.eprints.org/336/"/>
    <hyperlink ref="Z470" r:id="rId1704" display="http://www.sumdu.edu.ua/ukr/"/>
    <hyperlink ref="AA470" r:id="rId1705" display="http://essuir.sumdu.edu.ua/position.jsp"/>
    <hyperlink ref="AB470" r:id="rId1706" display="http://essuir.sumdu.edu.ua"/>
    <hyperlink ref="B471" r:id="rId1707" display="http://roarmap.eprints.org/339/"/>
    <hyperlink ref="Z471" r:id="rId1708" display="http://www.tntu.edu.ua/"/>
    <hyperlink ref="AA471" r:id="rId1709" display="http://roarmap.eprints.org/125/"/>
    <hyperlink ref="AB471" r:id="rId1710" display="http://elartu.tntu.edu.ua/"/>
    <hyperlink ref="B472" r:id="rId1711" display="http://roarmap.eprints.org/337/"/>
    <hyperlink ref="Z472" r:id="rId1712" display="http://vsau.org"/>
    <hyperlink ref="AA472" r:id="rId1713" display="http://roarmap.eprints.org/952/"/>
    <hyperlink ref="AB472" r:id="rId1714" display="http://repository.vsau.org"/>
    <hyperlink ref="B473" r:id="rId1715" display="http://roarmap.eprints.org/338/"/>
    <hyperlink ref="Z473" r:id="rId1716" display="http://snu.edu.ua/"/>
    <hyperlink ref="AA473" r:id="rId1717" display="http://roarmap.eprints.org/501/"/>
    <hyperlink ref="AB473" r:id="rId1718" display="http://dspace.snu.edu.ua:8080/jspui/"/>
    <hyperlink ref="B474" r:id="rId1719" display="http://roarmap.eprints.org/340/"/>
    <hyperlink ref="Z474" r:id="rId1720" display="http://www.aber.ac.uk"/>
    <hyperlink ref="AA474" r:id="rId1721" display="http://www.aber.ac.uk/en/is/help/openaccess/publish/"/>
    <hyperlink ref="AB474" r:id="rId1722" display="http://cadair.aber.ac.uk/dspace/"/>
    <hyperlink ref="AZ474" r:id="rId1723" display="http://www.aber.ac.uk/en/media/departmental/informationservices/downloads/apc-application-form_eng.docx"/>
    <hyperlink ref="B475" r:id="rId1724" display="http://roarmap.eprints.org/341/"/>
    <hyperlink ref="Z475" r:id="rId1725" display="http://www.arthritisresearchuk.org/"/>
    <hyperlink ref="AA475" r:id="rId1726" display="http://www.arthritisresearchuk.org/research/our-research-policies/open-access-policy.aspx"/>
    <hyperlink ref="AB475" r:id="rId1727" display="http://europepmc.org/"/>
    <hyperlink ref="AZ475" r:id="rId1728" display="http://www.arthritisresearchuk.org/research/grants-you-can-apply-for/types-of-grant/arthritis-research-uk-grant-holders-only/open-access-funding.aspx"/>
    <hyperlink ref="B476" r:id="rId1729" display="http://roarmap.eprints.org/342/"/>
    <hyperlink ref="Z476" r:id="rId1730" display="http://www.ahrc.ac.uk/Pages/Home.aspx"/>
    <hyperlink ref="AA476" r:id="rId1731" display="http://www.rcuk.ac.uk/RCUK-prod/assets/documents/documents/RCUKOpenAccessPolicy.pdf"/>
    <hyperlink ref="B477" r:id="rId1732" display="http://roarmap.eprints.org/343/"/>
    <hyperlink ref="Z477" r:id="rId1733" display="http://www.aston.ac.uk/"/>
    <hyperlink ref="AA477" r:id="rId1734" display="http://www.aston.ac.uk/library/additional-information-for/aston-authors/astons-open-access-policy/"/>
    <hyperlink ref="AB477" r:id="rId1735" display="https://research.aston.ac.uk/portal/"/>
    <hyperlink ref="AZ477" r:id="rId1736" display="http://www.aston.ac.uk/library/additional-information-for/aston-authors/open-access-how-to-publish/gold-oa-what-you-need-to-do/"/>
    <hyperlink ref="B478" r:id="rId1737" display="http://roarmap.eprints.org/344/"/>
    <hyperlink ref="Z478" r:id="rId1738" display="http://www.bangor.ac.uk/"/>
    <hyperlink ref="AA478" r:id="rId1739" display="http://www.bangor.ac.uk/library/resources/documents/Bangor-University-Publications-Policy-02-1D.pdf"/>
    <hyperlink ref="AB478" r:id="rId1740" display="http://dspace.bangor.ac.uk/dspace/"/>
    <hyperlink ref="B479" r:id="rId1741" display="http://roarmap.eprints.org/730/"/>
    <hyperlink ref="Z479" r:id="rId1742" display="http://www.bathspa.ac.uk/"/>
    <hyperlink ref="AA479" r:id="rId1743" display="http://www.bathspa.ac.uk/regulations/open-access-policy"/>
    <hyperlink ref="AB479" r:id="rId1744" display="http://researchspace.bathspa.ac.uk/"/>
    <hyperlink ref="B480" r:id="rId1745" display="http://roarmap.eprints.org/345/"/>
    <hyperlink ref="Z480" r:id="rId1746" display="http://www.bbsrc.ac.uk/home/home.aspx"/>
    <hyperlink ref="AB480" r:id="rId1747" display="http://europepmc.org/"/>
    <hyperlink ref="B481" r:id="rId1748" display="http://roarmap.eprints.org/347/"/>
    <hyperlink ref="Z481" r:id="rId1749" display="http://www.bbk.ac.uk/law/"/>
    <hyperlink ref="AA481" r:id="rId1750" display="http://www.bbk.ac.uk/lib/elib/BIROn/mandate-to-deposit"/>
    <hyperlink ref="AB481" r:id="rId1751" display="http://eprints.bbk.ac.uk/"/>
    <hyperlink ref="B482" r:id="rId1752" display="http://roarmap.eprints.org/346/"/>
    <hyperlink ref="Z482" r:id="rId1753" display="http://www.bbk.ac.uk/front-page"/>
    <hyperlink ref="AA482" r:id="rId1754" display="http://www.bbk.ac.uk/lib/elib/BIROn/mandate-to-deposit"/>
    <hyperlink ref="AB482" r:id="rId1755" display="http://eprints.bbk.ac.uk/"/>
    <hyperlink ref="B483" r:id="rId1756" display="http://roarmap.eprints.org/728/"/>
    <hyperlink ref="Z483" r:id="rId1757" display="http://www.breastcancercampaign.org/"/>
    <hyperlink ref="AA483" r:id="rId1758" display="http://www.breastcancercampaign.org/documents/research/open-access-policy-sept2014-update.pdf"/>
    <hyperlink ref="AB483" r:id="rId1759" display="http://europepmc.org/"/>
    <hyperlink ref="AZ483" r:id="rId1760" display="http://www.wellcome.ac.uk/About-us/Policy/Spotlight-issues/Open-access/Charity-open-access-fund/"/>
    <hyperlink ref="B484" r:id="rId1761" display="http://roarmap.eprints.org/348/"/>
    <hyperlink ref="Z484" r:id="rId1762" location="&amp;panel1-2" display="http://www.bhf.org.uk/ - &amp;panel1-2"/>
    <hyperlink ref="AA484" r:id="rId1763" display="http://www.bhf.org.uk/research/research-grants/managing-your-grant/open-access-policy.aspx"/>
    <hyperlink ref="AB484" r:id="rId1764" display="http://europepmc.org/"/>
    <hyperlink ref="B485" r:id="rId1765" display="http://roarmap.eprints.org/349/"/>
    <hyperlink ref="Z485" r:id="rId1766" display="http://www.brunel.ac.uk/"/>
    <hyperlink ref="AA485" r:id="rId1767" display="http://www.brunel.ac.uk/__data/assets/pdf_file/0007/384235/research-integrity-code.pdf"/>
    <hyperlink ref="AB485" r:id="rId1768" display="http://bura.brunel.ac.uk/"/>
    <hyperlink ref="AZ485" r:id="rId1769" location="101203" display="http://www.brunel.ac.uk/__data/assets/pdf_file/0007/101203/OA_Fund_AppForm.pdf - 101203"/>
    <hyperlink ref="B486" r:id="rId1770" display="http://roarmap.eprints.org/350/"/>
    <hyperlink ref="Z486" r:id="rId1771" display="http://www.brunel.ac.uk/siscm"/>
    <hyperlink ref="AB486" r:id="rId1772" display="http://bura.brunel.ac.uk/"/>
    <hyperlink ref="B487" r:id="rId1773" display="http://roarmap.eprints.org/752/"/>
    <hyperlink ref="Z487" r:id="rId1774" display="http://bucks.ac.uk/"/>
    <hyperlink ref="AA487" r:id="rId1775" display="http://bucks.ac.uk/content/documents/Formal_Documents/Research/Open_Access_Policy.pdf"/>
    <hyperlink ref="AB487" r:id="rId1776" display="http://eprints.bucks.ac.uk/"/>
    <hyperlink ref="B488" r:id="rId1777" display="http://roarmap.eprints.org/351/"/>
    <hyperlink ref="Z488" r:id="rId1778" display="http://www.cancerresearchuk.org/"/>
    <hyperlink ref="AA488" r:id="rId1779" display="http://www.cancerresearchuk.org/funding-for-researchers/applying-for-funding/policies-that-affect-your-grant/policy-on-open-access-and-pubmed-central"/>
    <hyperlink ref="AB488" r:id="rId1780" display="http://europepmc.org/"/>
    <hyperlink ref="B489" r:id="rId1781" display="http://roarmap.eprints.org/689/"/>
    <hyperlink ref="Z489" r:id="rId1782" display="http://www.canterbury.ac.uk/"/>
    <hyperlink ref="AA489" r:id="rId1783" display="http://www.canterbury.ac.uk/centres/red/open-access/open-access-policy-CCCU-Feb2015.pdf"/>
    <hyperlink ref="AB489" r:id="rId1784" display="http://create.canterbury.ac.uk/"/>
    <hyperlink ref="B490" r:id="rId1785" display="http://roarmap.eprints.org/744/"/>
    <hyperlink ref="Z490" r:id="rId1786" display="http://www.cardiff.ac.uk"/>
    <hyperlink ref="AA490" r:id="rId1787" display="http://www.cardiff.ac.uk/insrv/forresearchers/openaccess/policy/index.html"/>
    <hyperlink ref="AB490" r:id="rId1788" display="http://orca.cf.ac.uk/"/>
    <hyperlink ref="B491" r:id="rId1789" display="http://roarmap.eprints.org/352/"/>
    <hyperlink ref="Z491" r:id="rId1790" display="http://www.cso.scot.nhs.uk/"/>
    <hyperlink ref="AA491" r:id="rId1791" display="http://www.cso.scot.nhs.uk/about/publications/cso-open-access-policy/compliance-with-cso-open-access-policy/"/>
    <hyperlink ref="AB491" r:id="rId1792" display="http://europepmc.org/"/>
    <hyperlink ref="AZ491" r:id="rId1793" display="http://www.cso.scot.nhs.uk/wp-content/uploads/2013/02/Form-6a-Application-for-publication-costs.doc"/>
    <hyperlink ref="B492" r:id="rId1794" display="http://roarmap.eprints.org/353/"/>
    <hyperlink ref="Z492" r:id="rId1795" display="http://www.city.ac.uk/"/>
    <hyperlink ref="AA492" r:id="rId1796" display="http://www.city.ac.uk/research/research/support-for-staff/open-access-to-research"/>
    <hyperlink ref="AB492" r:id="rId1797" display="http://openaccess.city.ac.uk/"/>
    <hyperlink ref="B493" r:id="rId1798" display="http://roarmap.eprints.org/354/"/>
    <hyperlink ref="Z493" r:id="rId1799" display="http://www.coventry.ac.uk/life-on-campus/faculties-and-schools/coventry-school-of-art-and-design/departments/media/"/>
    <hyperlink ref="AB493" r:id="rId1800" display="https://curve.coventry.ac.uk/open/access/home.do"/>
    <hyperlink ref="B494" r:id="rId1801" display="http://roarmap.eprints.org/355/"/>
    <hyperlink ref="Z494" r:id="rId1802" display="http://www.cranfield.ac.uk/"/>
    <hyperlink ref="AB494" r:id="rId1803" display="https://dspace.lib.cranfield.ac.uk/"/>
    <hyperlink ref="B495" r:id="rId1804" display="http://roarmap.eprints.org/357/"/>
    <hyperlink ref="Z495" r:id="rId1805" display="http://www.dmu.ac.uk"/>
    <hyperlink ref="AA495" r:id="rId1806" display="http://www.dmu.ac.uk/documents/research-documents/research-support/doramandaterevisedmarch13.docx"/>
    <hyperlink ref="AB495" r:id="rId1807" display="https://www.dora.dmu.ac.uk/"/>
    <hyperlink ref="B496" r:id="rId1808" display="http://roarmap.eprints.org/356/"/>
    <hyperlink ref="Z496" r:id="rId1809" display="https://www.gov.uk/government/organisations/department-of-health"/>
    <hyperlink ref="AB496" r:id="rId1810" display="http://europepmc.org/"/>
    <hyperlink ref="B497" r:id="rId1811" display="http://roarmap.eprints.org/729/"/>
    <hyperlink ref="Z497" r:id="rId1812" display="http://www.diabetes.org.uk/"/>
    <hyperlink ref="AA497" r:id="rId1813" display="http://www.diabetes.org.uk/Research/For-researchers/Apply-for-a-grant/Grant-conditions/"/>
    <hyperlink ref="B498" r:id="rId1814" display="http://roarmap.eprints.org/358/"/>
    <hyperlink ref="Z498" r:id="rId1815" display="https://www.dur.ac.uk/"/>
    <hyperlink ref="AA498" r:id="rId1816" display="http://dro.dur.ac.uk/du_oa_policy_summary.pdf"/>
    <hyperlink ref="AB498" r:id="rId1817" display="http://dro.dur.ac.uk/"/>
    <hyperlink ref="B499" r:id="rId1818" display="http://roarmap.eprints.org/359/"/>
    <hyperlink ref="Z499" r:id="rId1819" display="http://www.esrc.ac.uk/"/>
    <hyperlink ref="AB499" r:id="rId1820" display="http://www.esrc.ac.uk/research/research-catalogue/index.aspx"/>
    <hyperlink ref="B500" r:id="rId1821" display="http://roarmap.eprints.org/360/"/>
    <hyperlink ref="Z500" r:id="rId1822" display="http://www.epsrc.ac.uk/Pages/default.aspx"/>
    <hyperlink ref="B501" r:id="rId1823" display="http://roarmap.eprints.org/361/"/>
    <hyperlink ref="Z501" r:id="rId1824" display="http://www.falmouth.ac.uk/"/>
    <hyperlink ref="AA501" r:id="rId1825" display="http://www.falmouth.ac.uk/repository/policies"/>
    <hyperlink ref="B502" r:id="rId1826" display="http://roarmap.eprints.org/362/"/>
    <hyperlink ref="Z502" r:id="rId1827" display="http://www.hefce.ac.uk/"/>
    <hyperlink ref="AA502" r:id="rId1828" display="https://www.hefce.ac.uk/pubs/year/2014/201407/name,86771,en.html"/>
    <hyperlink ref="B503" r:id="rId1829" display="http://roarmap.eprints.org/363/"/>
    <hyperlink ref="Z503" r:id="rId1830" display="http://www3.imperial.ac.uk/"/>
    <hyperlink ref="AA503" r:id="rId1831" display="http://www3.imperial.ac.uk/library/subjectsandsupport/spiral/oamandate"/>
    <hyperlink ref="AB503" r:id="rId1832" display="http://www3.imperial.ac.uk/library/subjectsandsupport/spiral"/>
    <hyperlink ref="AZ503" r:id="rId1833" display="http://www3.imperial.ac.uk/library/subjectsandsupport/openaccess/oafund"/>
    <hyperlink ref="B504" r:id="rId1834" display="http://roarmap.eprints.org/364/"/>
    <hyperlink ref="Z504" r:id="rId1835" display="http://www.jisc.ac.uk/"/>
    <hyperlink ref="B505" r:id="rId1836" display="http://roarmap.eprints.org/690/"/>
    <hyperlink ref="Z505" r:id="rId1837" display="http://www.kcl.ac.uk/index.aspx"/>
    <hyperlink ref="AA505" r:id="rId1838" display="http://www.kcl.ac.uk/college/policyzone/assets/files/information_policies/Kings_Open_Access_Policy.pdf"/>
    <hyperlink ref="AB505" r:id="rId1839" display="https://kclpure.kcl.ac.uk/portal/en/"/>
    <hyperlink ref="AZ505" r:id="rId1840" display="http://www.kcl.ac.uk/library/researchsupport/openaccess/funding.aspx"/>
    <hyperlink ref="B506" r:id="rId1841" display="http://roarmap.eprints.org/365/"/>
    <hyperlink ref="Z506" r:id="rId1842" display="http://www.lancaster.ac.uk/"/>
    <hyperlink ref="AA506" r:id="rId1843" display="http://lancaster.libguides.com/loader.php?type=d&amp;id=702037"/>
    <hyperlink ref="AB506" r:id="rId1844" display="http://eprints.lancs.ac.uk/"/>
    <hyperlink ref="AZ506" r:id="rId1845" display="http://www.lancaster.ac.uk/library/open-access/funding/"/>
    <hyperlink ref="B507" r:id="rId1846" display="http://roarmap.eprints.org/727/"/>
    <hyperlink ref="Z507" r:id="rId1847" display="https://leukaemialymphomaresearch.org.uk"/>
    <hyperlink ref="AA507" r:id="rId1848" display="https://leukaemialymphomaresearch.org.uk/node/58188"/>
    <hyperlink ref="AB507" r:id="rId1849" display="http://europepmc.org/"/>
    <hyperlink ref="AZ507" r:id="rId1850" display="http://www.wellcome.ac.uk/About-us/Policy/Spotlight-issues/Open-access/Charity-open-access-fund/"/>
    <hyperlink ref="B508" r:id="rId1851" display="http://roarmap.eprints.org/366/"/>
    <hyperlink ref="Z508" r:id="rId1852" display="http://www.lboro.ac.uk/"/>
    <hyperlink ref="AA508" r:id="rId1853" display="http://www.lboro.ac.uk/media/wwwlboroacuk/content/library/downloads/researchsupport/Lboro-OA-Policy.pdf"/>
    <hyperlink ref="AB508" r:id="rId1854" display="https://dspace.lboro.ac.uk/dspace-jspui/"/>
    <hyperlink ref="AZ508" r:id="rId1855" display="http://www.lboro.ac.uk/services/library/research/openaccess/rcukfundedresearchandopenaccess/"/>
    <hyperlink ref="B509" r:id="rId1856" display="http://roarmap.eprints.org/692/"/>
    <hyperlink ref="Z509" r:id="rId1857" display="http://www2.mmu.ac.uk/"/>
    <hyperlink ref="AA509" r:id="rId1858" display="http://libguides.mmu.ac.uk/openaccess/policy"/>
    <hyperlink ref="AB509" r:id="rId1859" display="http://www.e-space.mmu.ac.uk/e-space/"/>
    <hyperlink ref="AZ509" r:id="rId1860" display="http://libguides.mmu.ac.uk/openaccess/apply"/>
    <hyperlink ref="B510" r:id="rId1861" display="http://roarmap.eprints.org/367/"/>
    <hyperlink ref="Z510" r:id="rId1862" display="http://www.mariecurie.org.uk/"/>
    <hyperlink ref="AA510" r:id="rId1863" display="http://www.mariecurie.org.uk/Global/Research/Open-Access-policy-March_2014.pdf"/>
    <hyperlink ref="B511" r:id="rId1864" display="http://roarmap.eprints.org/368/"/>
    <hyperlink ref="Z511" r:id="rId1865" display="http://www.mrc.ac.uk/index.htm"/>
    <hyperlink ref="AA511" r:id="rId1866" display="http://www.rcuk.ac.uk/RCUK-prod/assets/documents/documents/RCUKOpenAccessPolicy.pdf"/>
    <hyperlink ref="AB511" r:id="rId1867" display="http://europepmc.org/"/>
    <hyperlink ref="B512" r:id="rId1868" display="http://roarmap.eprints.org/369/"/>
    <hyperlink ref="Z512" r:id="rId1869" display="http://www.mdx.ac.uk/"/>
    <hyperlink ref="AA512" r:id="rId1870" display="http://eprints.mdx.ac.uk/policies.html"/>
    <hyperlink ref="AB512" r:id="rId1871" display="http://eprints.mdx.ac.uk/"/>
    <hyperlink ref="B513" r:id="rId1872" display="http://roarmap.eprints.org/725/"/>
    <hyperlink ref="Z513" r:id="rId1873" display="http://www.mndassociation.org/"/>
    <hyperlink ref="AA513" r:id="rId1874" display="http://www.mndassociation.org/Resources/MNDA/Research/MND-Association-Grantee-Guide-to-Open-Access---30Oct12-v1.pdf"/>
    <hyperlink ref="AB513" r:id="rId1875" display="http://europepmc.org/"/>
    <hyperlink ref="B514" r:id="rId1876" display="http://roarmap.eprints.org/370/"/>
    <hyperlink ref="Z514" r:id="rId1877" display="http://www.mssociety.org.uk/"/>
    <hyperlink ref="AA514" r:id="rId1878" display="http://www.mssociety.org.uk/sites/default/files/MS Society Policy for Publishing Research.pdf"/>
    <hyperlink ref="AB514" r:id="rId1879" display="http://europepmc.org/"/>
    <hyperlink ref="B515" r:id="rId1880" display="http://roarmap.eprints.org/723/"/>
    <hyperlink ref="Z515" r:id="rId1881" display="http://www.myrovlytistrust.org"/>
    <hyperlink ref="AA515" r:id="rId1882" display="http://www.myrovlytistrust.org/wp-content/uploads/2011/06/Open-Access-Policy-20122.pdf"/>
    <hyperlink ref="AB515" r:id="rId1883" display="http://europepmc.org/"/>
    <hyperlink ref="B516" r:id="rId1884" display="http://roarmap.eprints.org/371/"/>
    <hyperlink ref="Z516" r:id="rId1885" display="http://www.napier.ac.uk/Pages/home.aspx"/>
    <hyperlink ref="AA516" r:id="rId1886" display="http://researchrepository.napier.ac.uk/mandate.html"/>
    <hyperlink ref="AB516" r:id="rId1887" display="http://www.napier.ac.uk/research/Pages/Research-repository.aspx"/>
    <hyperlink ref="B517" r:id="rId1888" display="http://roarmap.eprints.org/372/"/>
    <hyperlink ref="Z517" r:id="rId1889" display="http://www.nerc.ac.uk/"/>
    <hyperlink ref="AA517" r:id="rId1890" display="http://www.rcuk.ac.uk/RCUK-prod/assets/documents/documents/RCUKOpenAccessPolicy.pdf"/>
    <hyperlink ref="AB517" r:id="rId1891" display="http://nora.nerc.ac.uk/"/>
    <hyperlink ref="B518" r:id="rId1892" display="http://roarmap.eprints.org/373/"/>
    <hyperlink ref="Z518" r:id="rId1893" display="http://www.northumbria.ac.uk/"/>
    <hyperlink ref="AA518" r:id="rId1894" display="http://nrl.northumbria.ac.uk/depositpolicy.html"/>
    <hyperlink ref="AB518" r:id="rId1895" display="http://nrl.northumbria.ac.uk/"/>
    <hyperlink ref="B519" r:id="rId1896" display="http://roarmap.eprints.org/374/"/>
    <hyperlink ref="Z519" r:id="rId1897" display="http://www.ntu.ac.uk"/>
    <hyperlink ref="AA519" r:id="rId1898" display="http://www.ntu.ac.uk/library/resources_collections/irep/general_faqs/index.html"/>
    <hyperlink ref="AB519" r:id="rId1899" display="http://irep.ntu.ac.uk/"/>
    <hyperlink ref="B520" r:id="rId1900" display="http://roarmap.eprints.org/376/"/>
    <hyperlink ref="Z520" r:id="rId1901" display="http://www.qmu.ac.uk/"/>
    <hyperlink ref="AA520" r:id="rId1902" display="http://eresearch.qmu.ac.uk/policies.html"/>
    <hyperlink ref="AB520" r:id="rId1903" display="http://eresearch.qmu.ac.uk/"/>
    <hyperlink ref="B521" r:id="rId1904" display="http://roarmap.eprints.org/693/"/>
    <hyperlink ref="Z521" r:id="rId1905" display="http://www.qub.ac.uk/"/>
    <hyperlink ref="AA521" r:id="rId1906" display="http://www.qub.ac.uk/directorates/InformationServices/TheLibrary/FileStore/Filetoupload,471694,en.pdf"/>
    <hyperlink ref="AB521" r:id="rId1907" display="http://pure.qub.ac.uk/portal/"/>
    <hyperlink ref="AZ521" r:id="rId1908" display="http://www.qub.ac.uk/directorates/InformationServices/TheLibrary/OpenAccess/GoldOpenAccessFunding/"/>
    <hyperlink ref="B522" r:id="rId1909" display="http://roarmap.eprints.org/375/"/>
    <hyperlink ref="Z522" r:id="rId1910" display="http://www.rcuk.ac.uk/"/>
    <hyperlink ref="AA522" r:id="rId1911" display="http://www.rcuk.ac.uk/RCUK-prod/assets/documents/documents/RCUKOpenAccessPolicy.pdf"/>
    <hyperlink ref="B523" r:id="rId1912" display="http://roarmap.eprints.org/377/"/>
    <hyperlink ref="Z523" r:id="rId1913" display="http://www.roehampton.ac.uk"/>
    <hyperlink ref="AB523" r:id="rId1914" display="http://roehampton.openrepository.com/roehampton/"/>
    <hyperlink ref="B524" r:id="rId1915" display="http://roarmap.eprints.org/378/"/>
    <hyperlink ref="Z524" r:id="rId1916" display="https://www.royalholloway.ac.uk/home.aspx"/>
    <hyperlink ref="AA524" r:id="rId1917" display="https://www.royalholloway.ac.uk/library/documents/policies/royalhollowayoapp.pdf"/>
    <hyperlink ref="AB524" r:id="rId1918" display="http://digirep.rhul.ac.uk/access/search.do?hier.topic=cf34f320-af5e-6950-c244-1dfc3a2c5315"/>
    <hyperlink ref="AZ524" r:id="rId1919" display="https://www.royalholloway.ac.uk/library/documents/policies/rhulapcpolicy.pdf"/>
    <hyperlink ref="B525" r:id="rId1920" display="http://roarmap.eprints.org/379/"/>
    <hyperlink ref="Z525" r:id="rId1921" display="http://www.stfc.ac.uk/Home.aspx"/>
    <hyperlink ref="AA525" r:id="rId1922" display="http://www.rcuk.ac.uk/RCUK-prod/assets/documents/documents/RCUKOpenAccessPolicy.pdf"/>
    <hyperlink ref="B526" r:id="rId1923" display="http://roarmap.eprints.org/380/"/>
    <hyperlink ref="Z526" r:id="rId1924" display="http://www.sgul.ac.uk/"/>
    <hyperlink ref="AA526" r:id="rId1925" display="http://roarmap.eprints.org/910/1/Research Publications Policy v04.pdf"/>
    <hyperlink ref="AB526" r:id="rId1926" display="http://openaccess.sgul.ac.uk/"/>
    <hyperlink ref="B527" r:id="rId1927" display="http://roarmap.eprints.org/381/"/>
    <hyperlink ref="Z527" r:id="rId1928" display="http://www.tees.ac.uk/"/>
    <hyperlink ref="AA527" r:id="rId1929" display="http://tees.openrepository.com/tees/bitstream/10149/278893/2/278893.pdf"/>
    <hyperlink ref="AB527" r:id="rId1930" display="http://tees.openrepository.com/tees/"/>
    <hyperlink ref="B528" r:id="rId1931" display="http://roarmap.eprints.org/382/"/>
    <hyperlink ref="Z528" r:id="rId1932" display="http://www.dunhillmedical.org.uk/_files/D7F0395691A12397B44F6F3E1C5A4028.pdf"/>
    <hyperlink ref="AA528" r:id="rId1933" display="http://roarmap.eprints.org/509/1/open_access_april11.pdf"/>
    <hyperlink ref="AB528" r:id="rId1934" display="http://europepmc.org/"/>
    <hyperlink ref="B529" r:id="rId1935" display="http://roarmap.eprints.org/694/"/>
    <hyperlink ref="Z529" r:id="rId1936" display="http://www.ucl.ac.uk/"/>
    <hyperlink ref="AA529" r:id="rId1937" display="http://www.ucl.ac.uk/library/open-access/publications-policy"/>
    <hyperlink ref="AB529" r:id="rId1938" display="http://discovery.ucl.ac.uk/"/>
    <hyperlink ref="AZ529" r:id="rId1939" display="http://www.ucl.ac.uk/library/open-access/funding"/>
    <hyperlink ref="B530" r:id="rId1940" display="http://roarmap.eprints.org/384/"/>
    <hyperlink ref="Z530" r:id="rId1941" display="http://www.abdn.ac.uk"/>
    <hyperlink ref="AA530" r:id="rId1942" display="http://www.abdn.ac.uk/library/documents/Open_Access_Documents/Open_Access_Policy_Final_20130319.pdf"/>
    <hyperlink ref="AB530" r:id="rId1943" display="http://www.abdn.ac.uk/library/research-support/research-outputs/aura/"/>
    <hyperlink ref="B531" r:id="rId1944" display="http://roarmap.eprints.org/385/"/>
    <hyperlink ref="Z531" r:id="rId1945" display="http://www.abertay.ac.uk/"/>
    <hyperlink ref="AA531" r:id="rId1946" display="http://www.abertay.ac.uk/media/Self-Archiving-and-Research-Repository-PolicyV1-1.pdf"/>
    <hyperlink ref="AB531" r:id="rId1947" display="https://repository.abertay.ac.uk/jspui/"/>
    <hyperlink ref="B532" r:id="rId1948" display="http://roarmap.eprints.org/386/"/>
    <hyperlink ref="Z532" r:id="rId1949" display="http://www.bath.ac.uk/"/>
    <hyperlink ref="AA532" r:id="rId1950" display="http://roarmap.eprints.org/466/1/University_of_Bath_Open_Access_Publications_Policy_Why_do_this_v2.1.doc"/>
    <hyperlink ref="AB532" r:id="rId1951" display="http://opus.bath.ac.uk/"/>
    <hyperlink ref="B533" r:id="rId1952" display="http://roarmap.eprints.org/387/"/>
    <hyperlink ref="Z533" r:id="rId1953" display="http://www.birmingham.ac.uk/index.aspx"/>
    <hyperlink ref="AA533" r:id="rId1954" display="http://etheses.bham.ac.uk/deposit.html"/>
    <hyperlink ref="AB533" r:id="rId1955" display="http://www.ubira.bham.ac.uk"/>
    <hyperlink ref="AZ533" r:id="rId1956" display="http://intranet.birmingham.ac.uk/openaccess/publishing"/>
    <hyperlink ref="B534" r:id="rId1957" display="http://roarmap.eprints.org/388/"/>
    <hyperlink ref="Z534" r:id="rId1958" display="http://www.bradford.ac.uk/external/"/>
    <hyperlink ref="AA534" r:id="rId1959" display="http://www.bradford.ac.uk/library/media/library/documents/bs_policies_document.docx"/>
    <hyperlink ref="AB534" r:id="rId1960" display="http://bradscholars.brad.ac.uk"/>
    <hyperlink ref="B535" r:id="rId1961" display="http://roarmap.eprints.org/695/"/>
    <hyperlink ref="Z535" r:id="rId1962" display="http://www.bris.ac.uk/"/>
    <hyperlink ref="AA535" r:id="rId1963" display="http://www.bristol.ac.uk/library/support/research/policy.pdf"/>
    <hyperlink ref="AB535" r:id="rId1964" display="http://research-information.bristol.ac.uk/"/>
    <hyperlink ref="AZ535" r:id="rId1965" display="http://www.bristol.ac.uk/library/support/research/rcuk.html"/>
    <hyperlink ref="B536" r:id="rId1966" display="http://roarmap.eprints.org/389/"/>
    <hyperlink ref="Z536" r:id="rId1967" display="http://www.cam.ac.uk/"/>
    <hyperlink ref="AA536" r:id="rId1968" display="https://www.openaccess.cam.ac.uk/changing"/>
    <hyperlink ref="AB536" r:id="rId1969" display="https://www.repository.cam.ac.uk/"/>
    <hyperlink ref="B537" r:id="rId1970" display="http://roarmap.eprints.org/390/"/>
    <hyperlink ref="Z537" r:id="rId1971" display="http://www.uclan.ac.uk/"/>
    <hyperlink ref="AA537" r:id="rId1972" display="http://clok.uclan.ac.uk/policies.html"/>
    <hyperlink ref="AB537" r:id="rId1973" display="http://clok.uclan.ac.uk/"/>
    <hyperlink ref="B538" r:id="rId1974" display="http://roarmap.eprints.org/391/"/>
    <hyperlink ref="Z538" r:id="rId1975" display="http://www.dundee.ac.uk/"/>
    <hyperlink ref="AA538" r:id="rId1976" display="http://roarmap.eprints.org/1047/1/Open_Access_Policy_V1_Final_November_2012%283%29.pdf"/>
    <hyperlink ref="AB538" r:id="rId1977" display="http://discovery.dundee.ac.uk/portal/"/>
    <hyperlink ref="B539" r:id="rId1978" display="http://roarmap.eprints.org/392/"/>
    <hyperlink ref="Z539" r:id="rId1979" display="http://www.uea.ac.uk/"/>
    <hyperlink ref="AA539" r:id="rId1980" display="https://ueaeprints.uea.ac.uk/policies.html"/>
    <hyperlink ref="AB539" r:id="rId1981" display="http://ueaeprints.uea.ac.uk/"/>
    <hyperlink ref="B540" r:id="rId1982" display="http://roarmap.eprints.org/393/"/>
    <hyperlink ref="Z540" r:id="rId1983" display="http://www.uel.ac.uk/"/>
    <hyperlink ref="AA540" r:id="rId1984" display="http://dx.doi.org/10.15123/PUB.4048"/>
    <hyperlink ref="AB540" r:id="rId1985" display="http://roar.uel.ac.uk/"/>
    <hyperlink ref="B541" r:id="rId1986" display="http://roarmap.eprints.org/394/"/>
    <hyperlink ref="Z541" r:id="rId1987" display="http://www.ed.ac.uk/home"/>
    <hyperlink ref="AA541" r:id="rId1988" display="http://www.ed.ac.uk/polopoly_fs/1.14203!/fileManager/research-publications-policy.pdf"/>
    <hyperlink ref="AB541" r:id="rId1989" display="https://www.era.lib.ed.ac.uk/"/>
    <hyperlink ref="B542" r:id="rId1990" display="http://roarmap.eprints.org/395/"/>
    <hyperlink ref="Z542" r:id="rId1991" display="http://www.exeter.ac.uk/"/>
    <hyperlink ref="AA542" r:id="rId1992" location="page=1&amp;zoom=auto,-108,842" display="https://ore.exeter.ac.uk/repository/bitstream/handle/10036/4280/OA_RDM_Policy_Final.pdf?sequence=4 - page=1&amp;zoom=auto,-108,842"/>
    <hyperlink ref="AB542" r:id="rId1993" display="https://ore.exeter.ac.uk/repository/"/>
    <hyperlink ref="B543" r:id="rId1994" display="http://roarmap.eprints.org/396/"/>
    <hyperlink ref="Z543" r:id="rId1995" display="http://www.gla.ac.uk/"/>
    <hyperlink ref="AA543" r:id="rId1996" display="http://www.lib.gla.ac.uk/enlighten/publicationspolicy/index.html"/>
    <hyperlink ref="AB543" r:id="rId1997" display="http://www.lib.gla.ac.uk/enlighten/"/>
    <hyperlink ref="B544" r:id="rId1998" display="http://roarmap.eprints.org/696/"/>
    <hyperlink ref="Z544" r:id="rId1999" display="http://www2.hull.ac.uk/"/>
    <hyperlink ref="AA544" r:id="rId2000" display="https://hydra.hull.ac.uk/assets/hull:10503/content"/>
    <hyperlink ref="AB544" r:id="rId2001" display="https://hydra.hull.ac.uk/"/>
    <hyperlink ref="AZ544" r:id="rId2002" display="http://www2.hull.ac.uk/lli/library-services/openaccesspublishing.aspx"/>
    <hyperlink ref="B545" r:id="rId2003" display="http://roarmap.eprints.org/397/"/>
    <hyperlink ref="Z545" r:id="rId2004" display="http://kent.ac.uk/"/>
    <hyperlink ref="AA545" r:id="rId2005" display="http://www.kent.ac.uk/researchservices/docs/open-access-policy-april-2013.pdf"/>
    <hyperlink ref="AB545" r:id="rId2006" display="http://kar.kent.ac.uk/"/>
    <hyperlink ref="B546" r:id="rId2007" display="http://roarmap.eprints.org/398/"/>
    <hyperlink ref="Z546" r:id="rId2008" display="http://www.leeds.ac.uk/"/>
    <hyperlink ref="AB546" r:id="rId2009" display="http://eprints.whiterose.ac.uk/"/>
    <hyperlink ref="B547" r:id="rId2010" display="http://roarmap.eprints.org/399/"/>
    <hyperlink ref="Z547" r:id="rId2011" display="http://www.le.ac.uk/"/>
    <hyperlink ref="AA547" r:id="rId2012" display="http://www2.le.ac.uk/library/for/researchers/publish/nutshell"/>
    <hyperlink ref="AB547" r:id="rId2013" display="https://lra.le.ac.uk/"/>
    <hyperlink ref="B548" r:id="rId2014" display="http://roarmap.eprints.org/400/"/>
    <hyperlink ref="Z548" r:id="rId2015" display="http://www.lincoln.ac.uk/home/"/>
    <hyperlink ref="AA548" r:id="rId2016" display="http://secretariat.blogs.lincoln.ac.uk/files/2013/08/Open-Access-Policy-2014.pdf"/>
    <hyperlink ref="AB548" r:id="rId2017" display="http://eprints.lincoln.ac.uk/"/>
    <hyperlink ref="B549" r:id="rId2018" display="http://roarmap.eprints.org/401/"/>
    <hyperlink ref="Z549" r:id="rId2019" display="http://www.nottingham.ac.uk"/>
    <hyperlink ref="AA549" r:id="rId2020" display="http://eprints.nottingham.ac.uk/policies.html"/>
    <hyperlink ref="AB549" r:id="rId2021" display="http://eprints.nottingham.ac.uk/"/>
    <hyperlink ref="B550" r:id="rId2022" display="http://roarmap.eprints.org/402/"/>
    <hyperlink ref="Z550" r:id="rId2023" display="http://www.ox.ac.uk/"/>
    <hyperlink ref="AA550" r:id="rId2024" display="http://openaccess.ox.ac.uk/wp-uploads/2013/03/Statement-on-Open-Access-at-the-University-of-Oxford-Approved-by-Council-on-11-March-2013.pdf"/>
    <hyperlink ref="AB550" r:id="rId2025" display="http://ora.ox.ac.uk/"/>
    <hyperlink ref="AZ550" r:id="rId2026" display="http://openaccess.ox.ac.uk/applying-for-funding-from-oxfords-rcuk-open-access-block-grant/"/>
    <hyperlink ref="B551" r:id="rId2027" display="http://roarmap.eprints.org/697/"/>
    <hyperlink ref="Z551" r:id="rId2028" display="http://www.port.ac.uk/"/>
    <hyperlink ref="AA551" r:id="rId2029" display="http://www.port.ac.uk/accesstoinformation/policies/humanresources/filetodownload,183267,en.pdf"/>
    <hyperlink ref="AB551" r:id="rId2030" display="http://eprints.port.ac.uk/"/>
    <hyperlink ref="AZ551" r:id="rId2031" location="apc" display="http://www.port.ac.uk/library/help/research/open/ - apc"/>
    <hyperlink ref="B552" r:id="rId2032" display="http://roarmap.eprints.org/403/"/>
    <hyperlink ref="Z552" r:id="rId2033" display="http://www.reading.ac.uk/"/>
    <hyperlink ref="AA552" r:id="rId2034" display="http://www.reading.ac.uk/web/FILES/library/uoropenaccesspolicy.pdf"/>
    <hyperlink ref="AB552" r:id="rId2035" display="http://centaur.reading.ac.uk/"/>
    <hyperlink ref="AZ552" r:id="rId2036" display="http://www.reading.ac.uk/library/open-access"/>
    <hyperlink ref="B553" r:id="rId2037" display="http://roarmap.eprints.org/404/"/>
    <hyperlink ref="Z553" r:id="rId2038" display="http://www.salford.ac.uk/"/>
    <hyperlink ref="AA553" r:id="rId2039" display="http://www.salford.ac.uk/__data/assets/pdf_file/0010/508492/Senate_and_committee_report_template_2014-15_open-access-policy.pdf"/>
    <hyperlink ref="AB553" r:id="rId2040" display="http://usir.salford.ac.uk/"/>
    <hyperlink ref="B554" r:id="rId2041" display="http://roarmap.eprints.org/405/"/>
    <hyperlink ref="Z554" r:id="rId2042" display="http://www.southampton.ac.uk/"/>
    <hyperlink ref="AA554" r:id="rId2043" display="http://www.southampton.ac.uk/library/research/eprints/policies/oapolicy.html"/>
    <hyperlink ref="AB554" r:id="rId2044" display="http://eprints.soton.ac.uk/"/>
    <hyperlink ref="B555" r:id="rId2045" display="http://roarmap.eprints.org/406/"/>
    <hyperlink ref="Z555" r:id="rId2046" display="http://www.ecs.soton.ac.uk/"/>
    <hyperlink ref="AB555" r:id="rId2047" display="http://eprints.soton.ac.uk/"/>
    <hyperlink ref="B556" r:id="rId2048" display="http://roarmap.eprints.org/407/"/>
    <hyperlink ref="Z556" r:id="rId2049" display="http://www.st-andrews.ac.uk/"/>
    <hyperlink ref="AA556" r:id="rId2050" display="http://www.st-andrews.ac.uk/library/services/researchsupport/openaccess/oapolicy/"/>
    <hyperlink ref="AB556" r:id="rId2051" display="http://research-repository.st-andrews.ac.uk/"/>
    <hyperlink ref="B557" r:id="rId2052" display="http://roarmap.eprints.org/408/"/>
    <hyperlink ref="Z557" r:id="rId2053" display="http://www.stir.ac.uk/"/>
    <hyperlink ref="AA557" r:id="rId2054" location="OA" display="http://www.stir.ac.uk/is/researchers/writing/publishingimpact/openaccesspublishing/ - OA"/>
    <hyperlink ref="AB557" r:id="rId2055" display="https://dspace.stir.ac.uk/"/>
    <hyperlink ref="B558" r:id="rId2056" display="http://roarmap.eprints.org/409/"/>
    <hyperlink ref="Z558" r:id="rId2057" display="http://www.strath.ac.uk/"/>
    <hyperlink ref="AA558" r:id="rId2058" display="http://strathprints.strath.ac.uk/Strathclyde_Publications_Mandate2v4.pdf"/>
    <hyperlink ref="AB558" r:id="rId2059" display="http://strathprints.strath.ac.uk/"/>
    <hyperlink ref="B559" r:id="rId2060" display="http://roarmap.eprints.org/410/"/>
    <hyperlink ref="Z559" r:id="rId2061" display="http://www2.surrey.ac.uk/"/>
    <hyperlink ref="AA559" r:id="rId2062" location="3" display="http://epubs.surrey.ac.uk/policies.html - 3"/>
    <hyperlink ref="AB559" r:id="rId2063" display="http://epubs.surrey.ac.uk/"/>
    <hyperlink ref="B560" r:id="rId2064" display="http://roarmap.eprints.org/411/"/>
    <hyperlink ref="Z560" r:id="rId2065" display="http://www.ulster.ac.uk/"/>
    <hyperlink ref="AA560" r:id="rId2066" display="http://eprints.ulster.ac.uk/policies.html"/>
    <hyperlink ref="AB560" r:id="rId2067" display="http://eprints.ulster.ac.uk/"/>
    <hyperlink ref="B561" r:id="rId2068" display="http://roarmap.eprints.org/412/"/>
    <hyperlink ref="Z561" r:id="rId2069" display="http://www2.warwick.ac.uk/"/>
    <hyperlink ref="AA561" r:id="rId2070" display="http://www2.warwick.ac.uk/fac/sci/sbdtc/publications/university_of_warwick_open_access_policy_website.pdf"/>
    <hyperlink ref="AB561" r:id="rId2071" display="http://wrap.warwick.ac.uk/"/>
    <hyperlink ref="B562" r:id="rId2072" display="http://roarmap.eprints.org/413/"/>
    <hyperlink ref="Z562" r:id="rId2073" display="http://www.westminster.ac.uk/"/>
    <hyperlink ref="AA562" r:id="rId2074" display="http://www.westminster.ac.uk/research/research-framework/dissemination-policy-wr"/>
    <hyperlink ref="AB562" r:id="rId2075" display="http://westminsterresearch.wmin.ac.uk/"/>
    <hyperlink ref="B563" r:id="rId2076" display="http://roarmap.eprints.org/699/"/>
    <hyperlink ref="Z563" r:id="rId2077" display="http://www.worcester.ac.uk/"/>
    <hyperlink ref="AA563" r:id="rId2078" display="http://libguides.worc.ac.uk/content.php?pid=528562&amp;sid=4349103"/>
    <hyperlink ref="AB563" r:id="rId2079" display="http://eprints.worc.ac.uk/"/>
    <hyperlink ref="AZ563" r:id="rId2080" display="http://libguides.worc.ac.uk/APCs"/>
    <hyperlink ref="B564" r:id="rId2081" display="http://roarmap.eprints.org/700/"/>
    <hyperlink ref="Z564" r:id="rId2082" display="http://www.york.ac.uk/"/>
    <hyperlink ref="AA564" r:id="rId2083" display="http://www.york.ac.uk/media/library/documents/information-for/researchers/oa/UoYPolicyOnPublicationOfResearch20140611-WithGuidance.pdf"/>
    <hyperlink ref="AB564" r:id="rId2084" display="http://eprints.whiterose.ac.uk/"/>
    <hyperlink ref="AZ564" r:id="rId2085" display="http://www.york.ac.uk/library/info-for/researchers/open-access/york/"/>
    <hyperlink ref="B565" r:id="rId2086" display="http://roarmap.eprints.org/681/"/>
    <hyperlink ref="Z565" r:id="rId2087" display="http://www.uhi.ac.uk/en"/>
    <hyperlink ref="AA565" r:id="rId2088" display="http://www.uhi.ac.uk/en/research-enterprise/resource/openaccesspolicy"/>
    <hyperlink ref="AB565" r:id="rId2089" display="http://pure.uhi.ac.uk/portal/en/"/>
    <hyperlink ref="B566" r:id="rId2090" display="http://roarmap.eprints.org/698/"/>
    <hyperlink ref="Z566" r:id="rId2091" display="http://www.uwe.ac.uk/"/>
    <hyperlink ref="AA566" r:id="rId2092" display="http://www1.uwe.ac.uk/library/usingthelibrary/researchers/openaccessandapcs.aspx"/>
    <hyperlink ref="AB566" r:id="rId2093" display="http://eprints.uwe.ac.uk/"/>
    <hyperlink ref="AZ566" r:id="rId2094" display="http://www1.uwe.ac.uk/library/usingthelibrary/researchers/openaccessandapcs.aspx"/>
    <hyperlink ref="B567" r:id="rId2095" display="http://roarmap.eprints.org/637/"/>
    <hyperlink ref="Z567" r:id="rId2096" display="http://www.wellcome.ac.uk/index.htm"/>
    <hyperlink ref="AA567" r:id="rId2097" display="http://www.wellcome.ac.uk/About-us/Policy/Policy-and-position-statements/WTD002766.htm"/>
    <hyperlink ref="B568" r:id="rId2098" display="http://roarmap.eprints.org/701/"/>
    <hyperlink ref="Z568" r:id="rId2099" display="http://www.yorksj.ac.uk/"/>
    <hyperlink ref="AA568" r:id="rId2100" display="http://www.yorksj.ac.uk/information-learning-services/information-learning-services/services-for-you/staff/institutional-repository/open-access-policy.aspx"/>
    <hyperlink ref="AB568" r:id="rId2101" display="http://www.yorksj.ac.uk/information-learning-services/information-learning-services/services-for-you/staff/institutional-repository.aspx"/>
    <hyperlink ref="AZ568" r:id="rId2102" display="http://www.yorksj.ac.uk/information-learning-services/information-learning-services/services-for-you/staff/institutional-repository/open-access-policy.aspx"/>
    <hyperlink ref="B569" r:id="rId2103" display="http://roarmap.eprints.org/444/"/>
    <hyperlink ref="Z569" r:id="rId2104" display="http://allegheny.edu/"/>
    <hyperlink ref="AA569" r:id="rId2105" display="http://sites.allegheny.edu/scholarlycommunication/acoapolicy/"/>
    <hyperlink ref="AB569" r:id="rId2106" display="https://dspace.allegheny.edu/"/>
    <hyperlink ref="B570" r:id="rId2107" display="http://roarmap.eprints.org/445/"/>
    <hyperlink ref="Z570" r:id="rId2108" display="https://www.amherst.edu/"/>
    <hyperlink ref="AA570" r:id="rId2109" display="https://www.amherst.edu/library/services/facstaff/openaccessresolution"/>
    <hyperlink ref="AZ570" r:id="rId2110" display="https://www.amherst.edu/media/view/20316/original/authorcharges.pdf"/>
    <hyperlink ref="B571" r:id="rId2111" display="http://roarmap.eprints.org/446/"/>
    <hyperlink ref="Z571" r:id="rId2112" display="https://lib.asu.edu/"/>
    <hyperlink ref="AA571" r:id="rId2113" display="https://lib.asu.edu/librarychannel/2010/10/21/oaweek_commitment/"/>
    <hyperlink ref="AB571" r:id="rId2114" display="http://repository.asu.edu/"/>
    <hyperlink ref="AZ571" r:id="rId2115" display="http://libguides.asu.edu/OAMemberships"/>
    <hyperlink ref="B572" r:id="rId2116" display="http://roarmap.eprints.org/447/"/>
    <hyperlink ref="Z572" r:id="rId2117" display="http://www.autismspeaks.org/"/>
    <hyperlink ref="AA572" r:id="rId2118" display="http://www.autismspeaks.org/science/policy-statements/policy-public-access-research-we-fund"/>
    <hyperlink ref="AB572" r:id="rId2119" display="http://www.pubmedcentral.gov/"/>
    <hyperlink ref="B573" r:id="rId2120" display="http://roarmap.eprints.org/726/"/>
    <hyperlink ref="Z573" r:id="rId2121" display="http://www.gatesfoundation.org/"/>
    <hyperlink ref="AA573" r:id="rId2122" display="http://www.gatesfoundation.org/How-We-Work/General-Information/Open-Access-Policy"/>
    <hyperlink ref="B574" r:id="rId2123" display="http://roarmap.eprints.org/719/"/>
    <hyperlink ref="Z574" r:id="rId2124" display="http://www.bu.edu/"/>
    <hyperlink ref="AA574" r:id="rId2125" display="http://www.bu.edu/library/files/2015/02/Open-Access-Policy-2015.pdf"/>
    <hyperlink ref="AB574" r:id="rId2126" display="https://open.bu.edu/"/>
    <hyperlink ref="B575" r:id="rId2127" display="http://roarmap.eprints.org/448/"/>
    <hyperlink ref="Z575" r:id="rId2128" display="http://www.brandeis.edu/"/>
    <hyperlink ref="AB575" r:id="rId2129" display="http://bir.brandeis.edu/"/>
    <hyperlink ref="AZ575" r:id="rId2130" display="http://scholcomm.brandeis.edu/open-access/brandeis-open-access-fund-description/"/>
    <hyperlink ref="B576" r:id="rId2131" display="http://roarmap.eprints.org/450/"/>
    <hyperlink ref="Z576" r:id="rId2132" display="http://lib.byu.edu/"/>
    <hyperlink ref="AA576" r:id="rId2133" display="http://etd.byu.edu/"/>
    <hyperlink ref="AB576" r:id="rId2134" display="http://scholarsarchive.byu.edu/"/>
    <hyperlink ref="B577" r:id="rId2135" display="http://roarmap.eprints.org/451/"/>
    <hyperlink ref="Z577" r:id="rId2136" display="http://www.brynmawr.edu/"/>
    <hyperlink ref="AA577" r:id="rId2137" display="http://www.brynmawr.edu/openaccess/"/>
    <hyperlink ref="AB577" r:id="rId2138" display="http://repository.brynmawr.edu/"/>
    <hyperlink ref="B578" r:id="rId2139" display="http://roarmap.eprints.org/452/"/>
    <hyperlink ref="Z578" r:id="rId2140" display="http://www.bucknell.edu/"/>
    <hyperlink ref="AA578" r:id="rId2141" display="https://www.bucknell.edu/library-and-information-technology/library/open-access/open-access-publishing-policy.html"/>
    <hyperlink ref="AB578" r:id="rId2142" display="http://digitalcommons.bucknell.edu/"/>
    <hyperlink ref="B579" r:id="rId2143" display="http://roarmap.eprints.org/453/"/>
    <hyperlink ref="Z579" r:id="rId2144" display="http://www.caltech.edu/"/>
    <hyperlink ref="AA579" r:id="rId2145" display="http://library.caltech.edu/coda/OA_Policy_6.10.2013.pdf"/>
    <hyperlink ref="AB579" r:id="rId2146" display="http://authors.library.caltech.edu/"/>
    <hyperlink ref="B580" r:id="rId2147" display="http://roarmap.eprints.org/454/"/>
    <hyperlink ref="Z580" r:id="rId2148" display="http://www.calpoly.edu/"/>
    <hyperlink ref="AB580" r:id="rId2149" display="http://digitalcommons.calpoly.edu/"/>
    <hyperlink ref="B581" r:id="rId2150" display="http://roarmap.eprints.org/455/"/>
    <hyperlink ref="Z581" r:id="rId2151" display="http://www.csuchico.edu/"/>
    <hyperlink ref="AB581" r:id="rId2152" display="http://csuchico-dspace.calstate.edu/"/>
    <hyperlink ref="B582" r:id="rId2153" display="http://roarmap.eprints.org/456/"/>
    <hyperlink ref="Z582" r:id="rId2154" display="http://www.csun.edu/"/>
    <hyperlink ref="AA582" r:id="rId2155" display="http://www.csun.edu/senate/resolutions/openaccess-resolution112113.pdf"/>
    <hyperlink ref="AB582" r:id="rId2156" display="http://scholarworks.csun.edu/"/>
    <hyperlink ref="B583" r:id="rId2157" display="http://roarmap.eprints.org/457/"/>
    <hyperlink ref="Z583" r:id="rId2158" display="http://www.case.edu/"/>
    <hyperlink ref="AB583" r:id="rId2159" display="http://library.case.edu/digitalcase/"/>
    <hyperlink ref="B584" r:id="rId2160" display="http://roarmap.eprints.org/458/"/>
    <hyperlink ref="Z584" r:id="rId2161" display="http://www.ldeo.columbia.edu/"/>
    <hyperlink ref="AA584" r:id="rId2162" display="http://scholcomm.columbia.edu/open-access/open-access-policies/lamont-doherty-earth-observatory-open-access-policy/"/>
    <hyperlink ref="AB584" r:id="rId2163" display="http://academiccommons.columbia.edu/"/>
    <hyperlink ref="AZ584" r:id="rId2164" display="http://scholcomm.columbia.edu/services/coap-fund/"/>
    <hyperlink ref="B585" r:id="rId2165" display="http://roarmap.eprints.org/459/"/>
    <hyperlink ref="Z585" r:id="rId2166" display="http://library.columbia.edu/"/>
    <hyperlink ref="AA585" r:id="rId2167" display="http://scholcomm.columbia.edu/open-access/open-access-policies/columbia-university-libraries-information-services-open-access-policy/"/>
    <hyperlink ref="AB585" r:id="rId2168" display="http://academiccommons.columbia.edu/"/>
    <hyperlink ref="AZ585" r:id="rId2169" display="http://scholcomm.columbia.edu/services/coap-fund/"/>
    <hyperlink ref="B586" r:id="rId2170" display="http://roarmap.eprints.org/461/"/>
    <hyperlink ref="Z586" r:id="rId2171" display="http://www.mailman.columbia.edu/"/>
    <hyperlink ref="AA586" r:id="rId2172" display="http://scholcomm.columbia.edu/open-access/open-access-policies/mailman-school-of-public-health-open-access-policy/"/>
    <hyperlink ref="AB586" r:id="rId2173" display="http://academiccommons.columbia.edu/"/>
    <hyperlink ref="AZ586" r:id="rId2174" display="http://scholcomm.columbia.edu/services/coap-fund/"/>
    <hyperlink ref="B587" r:id="rId2175" display="http://roarmap.eprints.org/460/"/>
    <hyperlink ref="Z587" r:id="rId2176" display="http://socialwork.columbia.edu/"/>
    <hyperlink ref="AA587" r:id="rId2177" display="http://www.csun.edu/senate/resolutions/openaccess-resolution112113.pdf"/>
    <hyperlink ref="AB587" r:id="rId2178" display="http://academiccommons.columbia.edu/"/>
    <hyperlink ref="B588" r:id="rId2179" display="http://roarmap.eprints.org/462/"/>
    <hyperlink ref="Z588" r:id="rId2180" display="http://www.conncoll.edu/"/>
    <hyperlink ref="AA588" r:id="rId2181" display="http://www.conncoll.edu/media/website-media/libraries/Open-Access-Policy-of-the-Connecticut-College-Faculty.pdf"/>
    <hyperlink ref="AB588" r:id="rId2182" display="http://digitalcommons.conncoll.edu/"/>
    <hyperlink ref="B589" r:id="rId2183" display="http://roarmap.eprints.org/463/"/>
    <hyperlink ref="Z589" r:id="rId2184" display="http://www.cornell.edu/"/>
    <hyperlink ref="AA589" r:id="rId2185" display="http://wayback.archive-it.org/2566/20130608143253/http:/www.library.cornell.edu/scholarlycomm/resolution.html"/>
    <hyperlink ref="AB589" r:id="rId2186" display="http://ecommons.library.cornell.edu/"/>
    <hyperlink ref="AZ589" r:id="rId2187" display="https://beta.library.cornell.edu/about/collections/coap/funding"/>
    <hyperlink ref="B590" r:id="rId2188" display="http://roarmap.eprints.org/464/"/>
    <hyperlink ref="Z590" r:id="rId2189" display="http://www.drake.edu/"/>
    <hyperlink ref="AA590" r:id="rId2190" display="http://facultysenate.drake.edu/wp-content/uploads/sites/4/2012/09/Open-Access-Policy-12Apr-updated.pdf"/>
    <hyperlink ref="AB590" r:id="rId2191" display="http://escholarshare.drake.edu/"/>
    <hyperlink ref="B591" r:id="rId2192" display="http://roarmap.eprints.org/465/"/>
    <hyperlink ref="Z591" r:id="rId2193" display="http://duke.edu/"/>
    <hyperlink ref="AA591" r:id="rId2194" display="http://provost.duke.edu/wp-content/uploads/FHB_App_P.pdf"/>
    <hyperlink ref="AB591" r:id="rId2195" display="http://dukespace.lib.duke.edu/dspace/"/>
    <hyperlink ref="AZ591" r:id="rId2196" display="http://library.duke.edu/research/openaccess/cope"/>
    <hyperlink ref="B592" r:id="rId2197" display="http://roarmap.eprints.org/466/"/>
    <hyperlink ref="Z592" r:id="rId2198" display="http://gradschool.duke.edu/"/>
    <hyperlink ref="AA592" r:id="rId2199" display="http://gradschool.duke.edu/sites/default/files/documents/ElectronicThesisDissGuide.pdf"/>
    <hyperlink ref="AB592" r:id="rId2200" display="http://dukespace.lib.duke.edu/dspace/handle/10161/1"/>
    <hyperlink ref="B593" r:id="rId2201" display="http://roarmap.eprints.org/467/"/>
    <hyperlink ref="Z593" r:id="rId2202" display="http://www.emory.edu"/>
    <hyperlink ref="AA593" r:id="rId2203" display="http://guides.main.library.emory.edu/content.php?pid=43389&amp;sid=2144393"/>
    <hyperlink ref="AB593" r:id="rId2204" display="https://open.library.emory.edu/"/>
    <hyperlink ref="AZ593" r:id="rId2205" display="https://open.library.emory.edu/authors/oa-fund/"/>
    <hyperlink ref="B594" r:id="rId2206" display="http://roarmap.eprints.org/468/"/>
    <hyperlink ref="Z594" r:id="rId2207" display="https://www.fsu.edu/"/>
    <hyperlink ref="AA594" r:id="rId2208" display="https://www.lib.fsu.edu/tads/open-access-policy"/>
    <hyperlink ref="AB594" r:id="rId2209" display="http://diginole.lib.fsu.edu/"/>
    <hyperlink ref="AZ594" r:id="rId2210" display="https://www.lib.fsu.edu/tads/open-access-fund"/>
    <hyperlink ref="B595" r:id="rId2211" display="http://roarmap.eprints.org/469/"/>
    <hyperlink ref="Z595" r:id="rId2212" display="http://www.gatech.edu/"/>
    <hyperlink ref="AA595" r:id="rId2213" display="http://www.policylibrary.gatech.edu/faculty-handbook/5.5-policy-open-access-faculty-publications"/>
    <hyperlink ref="AB595" r:id="rId2214" display="https://smartech.gatech.edu/"/>
    <hyperlink ref="B596" r:id="rId2215" display="http://roarmap.eprints.org/470/"/>
    <hyperlink ref="Z596" r:id="rId2216" display="https://gustavus.edu/library/"/>
    <hyperlink ref="AA596" r:id="rId2217" display="https://gustavus.edu/library/Pubs/OApledge.html"/>
    <hyperlink ref="AB596" r:id="rId2218" display="http://archives.gac.edu/cdm/landingpage/collection/ir"/>
    <hyperlink ref="B597" r:id="rId2219" display="http://roarmap.eprints.org/471/"/>
    <hyperlink ref="Z597" r:id="rId2220" display="http://www.hbs.edu/Pages/default.aspx"/>
    <hyperlink ref="AA597" r:id="rId2221" display="https://osc.hul.harvard.edu/hbspolicy"/>
    <hyperlink ref="AB597" r:id="rId2222" display="http://dash.harvard.edu/"/>
    <hyperlink ref="AZ597" r:id="rId2223" display="https://osc.hul.harvard.edu/hope"/>
    <hyperlink ref="B598" r:id="rId2224" display="http://roarmap.eprints.org/472/"/>
    <hyperlink ref="Z598" r:id="rId2225" display="http://hds.harvard.edu/"/>
    <hyperlink ref="AA598" r:id="rId2226" display="https://osc.hul.harvard.edu/hdspolicy"/>
    <hyperlink ref="AB598" r:id="rId2227" display="http://dash.harvard.edu/"/>
    <hyperlink ref="AZ598" r:id="rId2228" display="https://osc.hul.harvard.edu/hope"/>
    <hyperlink ref="B599" r:id="rId2229" display="http://roarmap.eprints.org/473/"/>
    <hyperlink ref="Z599" r:id="rId2230" display="http://www.law.harvard.edu/"/>
    <hyperlink ref="AA599" r:id="rId2231" display="https://osc.hul.harvard.edu/hlspolicy"/>
    <hyperlink ref="AB599" r:id="rId2232" display="http://dash.harvard.edu/"/>
    <hyperlink ref="AZ599" r:id="rId2233" display="https://osc.hul.harvard.edu/hope"/>
    <hyperlink ref="B600" r:id="rId2234" display="http://roarmap.eprints.org/474/"/>
    <hyperlink ref="Z600" r:id="rId2235" display="http://www.hsph.harvard.edu/"/>
    <hyperlink ref="AA600" r:id="rId2236" display="https://osc.hul.harvard.edu/hsphpolicy"/>
    <hyperlink ref="AB600" r:id="rId2237" display="http://dash.harvard.edu/"/>
    <hyperlink ref="AZ600" r:id="rId2238" display="https://osc.hul.harvard.edu/hope"/>
    <hyperlink ref="B601" r:id="rId2239" display="http://roarmap.eprints.org/477/"/>
    <hyperlink ref="Z601" r:id="rId2240" display="http://www.fas.harvard.edu/"/>
    <hyperlink ref="AA601" r:id="rId2241" display="https://osc.hul.harvard.edu/hfaspolicy"/>
    <hyperlink ref="AB601" r:id="rId2242" display="http://dash.harvard.edu/"/>
    <hyperlink ref="AZ601" r:id="rId2243" display="https://osc.hul.harvard.edu/hope"/>
    <hyperlink ref="B602" r:id="rId2244" display="http://roarmap.eprints.org/475/"/>
    <hyperlink ref="Z602" r:id="rId2245" display="http://www.gsd.harvard.edu/"/>
    <hyperlink ref="AA602" r:id="rId2246" display="https://osc.hul.harvard.edu/hgsdpolicy"/>
    <hyperlink ref="AB602" r:id="rId2247" display="http://dash.harvard.edu/"/>
    <hyperlink ref="AZ602" r:id="rId2248" display="https://osc.hul.harvard.edu/hope"/>
    <hyperlink ref="B603" r:id="rId2249" display="http://roarmap.eprints.org/476/"/>
    <hyperlink ref="Z603" r:id="rId2250" display="http://www.gse.harvard.edu/"/>
    <hyperlink ref="AA603" r:id="rId2251" display="https://osc.hul.harvard.edu/hgsepolicy"/>
    <hyperlink ref="AB603" r:id="rId2252" display="http://dash.harvard.edu/"/>
    <hyperlink ref="AZ603" r:id="rId2253" display="https://osc.hul.harvard.edu/hope"/>
    <hyperlink ref="B604" r:id="rId2254" display="http://roarmap.eprints.org/478/"/>
    <hyperlink ref="Z604" r:id="rId2255" display="http://www.hks.harvard.edu/"/>
    <hyperlink ref="AA604" r:id="rId2256" display="https://osc.hul.harvard.edu/hksgpolicy"/>
    <hyperlink ref="AB604" r:id="rId2257" display="http://dash.harvard.edu/"/>
    <hyperlink ref="AZ604" r:id="rId2258" display="https://osc.hul.harvard.edu/hope"/>
    <hyperlink ref="B605" r:id="rId2259" display="http://roarmap.eprints.org/479/"/>
    <hyperlink ref="Z605" r:id="rId2260" display="http://hms.harvard.edu/"/>
    <hyperlink ref="AA605" r:id="rId2261" display="https://osc.hul.harvard.edu/hmspolicy"/>
    <hyperlink ref="AB605" r:id="rId2262" display="http://repository.countway.harvard.edu/"/>
    <hyperlink ref="AZ605" r:id="rId2263" display="https://osc.hul.harvard.edu/hope"/>
    <hyperlink ref="B606" r:id="rId2264" display="http://roarmap.eprints.org/652/"/>
    <hyperlink ref="Z606" r:id="rId2265" display="http://shorensteincenter.org/"/>
    <hyperlink ref="AA606" r:id="rId2266" display="https://osc.hul.harvard.edu/shorensteinpolicy"/>
    <hyperlink ref="AB606" r:id="rId2267" display="https://osc.hul.harvard.edu/dash/"/>
    <hyperlink ref="AZ606" r:id="rId2268" display="https://osc.hul.harvard.edu/hope"/>
    <hyperlink ref="B607" r:id="rId2269" display="http://roarmap.eprints.org/480/"/>
    <hyperlink ref="Z607" r:id="rId2270" display="http://www.hhmi.org/"/>
    <hyperlink ref="AA607" r:id="rId2271" display="http://www.hhmi.org/sites/default/files/About/Policies/sc320-public-access-to-publications.pdf"/>
    <hyperlink ref="AB607" r:id="rId2272" display="http://www.ncbi.nlm.nih.gov/pmc/"/>
    <hyperlink ref="B608" r:id="rId2273" display="http://roarmap.eprints.org/756/"/>
    <hyperlink ref="Z608" r:id="rId2274" display="http://library.ipfw.edu/"/>
    <hyperlink ref="AB608" r:id="rId2275" display="http://opus.ipfw.edu/"/>
    <hyperlink ref="B609" r:id="rId2276" display="http://roarmap.eprints.org/481/"/>
    <hyperlink ref="Z609" r:id="rId2277" display="http://www.ulib.iupui.edu/"/>
    <hyperlink ref="AA609" r:id="rId2278" display="http://www.ulib.iupui.edu/OAMandate"/>
    <hyperlink ref="AB609" r:id="rId2279" display="https://scholarworks.iupui.edu/"/>
    <hyperlink ref="AZ609" r:id="rId2280" display="http://ulib.iupui.edu/digitalscholarship/oafund"/>
    <hyperlink ref="B610" r:id="rId2281" display="http://roarmap.eprints.org/482/"/>
    <hyperlink ref="Z610" r:id="rId2282" display="http://ies.ed.gov/"/>
    <hyperlink ref="AA610" r:id="rId2283" display="http://ies.ed.gov/funding/researchaccess.asp"/>
    <hyperlink ref="AB610" r:id="rId2284" display="http://eric.ed.gov/"/>
    <hyperlink ref="B611" r:id="rId2285" display="http://roarmap.eprints.org/483/"/>
    <hyperlink ref="Z611" r:id="rId2286" display="http://www.k-state.edu/"/>
    <hyperlink ref="AB611" r:id="rId2287" display="http://krex.k-state.edu/dspace/"/>
    <hyperlink ref="AZ611" r:id="rId2288" display="http://www.lib.k-state.edu/publishing-fund"/>
    <hyperlink ref="B612" r:id="rId2289" display="http://roarmap.eprints.org/484/"/>
    <hyperlink ref="Z612" r:id="rId2290" display="http://www.lafayette.edu/"/>
    <hyperlink ref="AA612" r:id="rId2291" display="http://library.lafayette.edu/oaresolution"/>
    <hyperlink ref="AB612" r:id="rId2292" display="http://dspace.lafayette.edu/"/>
    <hyperlink ref="B613" r:id="rId2293" display="http://roarmap.eprints.org/485/"/>
    <hyperlink ref="Z613" r:id="rId2294" display="http://www.macfound.org/"/>
    <hyperlink ref="B614" r:id="rId2295" display="http://roarmap.eprints.org/486/"/>
    <hyperlink ref="Z614" r:id="rId2296" display="http://web.mit.edu/"/>
    <hyperlink ref="AA614" r:id="rId2297" display="http://libraries.mit.edu/scholarly/mit-open-access/open-access-at-mit/mit-open-access-policy/"/>
    <hyperlink ref="AB614" r:id="rId2298" display="http://dspace.mit.edu/"/>
    <hyperlink ref="AZ614" r:id="rId2299" display="http://libraries.mit.edu/scholarly/mit-open-access/open-access-at-mit/mit-open-access-publishing-fund/"/>
    <hyperlink ref="B615" r:id="rId2300" display="http://roarmap.eprints.org/487/"/>
    <hyperlink ref="Z615" r:id="rId2301" display="http://www.lib.miamioh.edu/"/>
    <hyperlink ref="AA615" r:id="rId2302" display="http://www.lib.miamioh.edu/policies/others/open_access_policy"/>
    <hyperlink ref="AB615" r:id="rId2303" display="http://sc.lib.miamioh.edu/"/>
    <hyperlink ref="B616" r:id="rId2304" display="http://roarmap.eprints.org/488/"/>
    <hyperlink ref="Z616" r:id="rId2305" display="http://research.microsoft.com/en-us/"/>
    <hyperlink ref="AA616" r:id="rId2306" display="http://research.microsoft.com/en-us/help/openaccess.aspx"/>
    <hyperlink ref="B617" r:id="rId2307" display="http://roarmap.eprints.org/489/"/>
    <hyperlink ref="Z617" r:id="rId2308" display="http://www.montana.edu/"/>
    <hyperlink ref="AB617" r:id="rId2309" display="http://scholarworks.montana.edu/xmlui/"/>
    <hyperlink ref="B618" r:id="rId2310" display="http://roarmap.eprints.org/490/"/>
    <hyperlink ref="Z618" r:id="rId2311" display="http://ncar.ucar.edu/"/>
    <hyperlink ref="AA618" r:id="rId2312" display="https://www.fin.ucar.edu/polpro/section3/3-2.html"/>
    <hyperlink ref="AB618" r:id="rId2313" display="http://opensky.library.ucar.edu/"/>
    <hyperlink ref="B619" r:id="rId2314" display="http://roarmap.eprints.org/491/"/>
    <hyperlink ref="Z619" r:id="rId2315" display="http://publicaccess.nih.gov/policy.htm"/>
    <hyperlink ref="AA619" r:id="rId2316" display="http://publicaccess.nih.gov/"/>
    <hyperlink ref="AB619" r:id="rId2317" display="http://www.ncbi.nlm.nih.gov/pmc/"/>
    <hyperlink ref="B620" r:id="rId2318" display="http://roarmap.eprints.org/492/"/>
    <hyperlink ref="Z620" r:id="rId2319" display="https://home.oberlin.edu/"/>
    <hyperlink ref="AA620" r:id="rId2320" display="http://oberlin.edu/library/programs/openaccess/resolution.html"/>
    <hyperlink ref="AB620" r:id="rId2321" display="http://ohio5.openrepository.com/ohio5/handle/11282/293015"/>
    <hyperlink ref="B621" r:id="rId2322" display="http://roarmap.eprints.org/493/"/>
    <hyperlink ref="Z621" r:id="rId2323" display="http://oregonstate.edu/"/>
    <hyperlink ref="AA621" r:id="rId2324" display="http://cdss.library.oregonstate.edu/sites/default/files/osu_openacesspolicy_final_single_page.pdf"/>
    <hyperlink ref="AB621" r:id="rId2325" display="http://ir.library.oregonstate.edu"/>
    <hyperlink ref="B622" r:id="rId2326" display="http://roarmap.eprints.org/494/"/>
    <hyperlink ref="Z622" r:id="rId2327" display="http://ceoas.oregonstate.edu/"/>
    <hyperlink ref="AA622" r:id="rId2328" display="http://ceoas.oregonstate.edu/facultystaff/files/Open_Access_Policy.pdf"/>
    <hyperlink ref="AB622" r:id="rId2329" display="http://ir.library.oregonstate.edu/xmlui/handle/1957/1309"/>
    <hyperlink ref="B623" r:id="rId2330" display="http://roarmap.eprints.org/495/"/>
    <hyperlink ref="Z623" r:id="rId2331" display="http://osulibrary.oregonstate.edu/"/>
    <hyperlink ref="AA623" r:id="rId2332" display="http://ir.library.oregonstate.edu/xmlui/bitstream/handle/1957/10850/Library Faculty Open Access Policy 20091113 revision.pdf?sequence=7"/>
    <hyperlink ref="AB623" r:id="rId2333" display="http://ir.library.oregonstate.edu/xmlui/"/>
    <hyperlink ref="B624" r:id="rId2334" display="http://roarmap.eprints.org/747/"/>
    <hyperlink ref="Z624" r:id="rId2335" display="http://www.pacificu.edu/"/>
    <hyperlink ref="AA624" r:id="rId2336" display="http://www.pacificu.edu/sites/default/files/documents/PU_OA_Resolution_Approved.pdf"/>
    <hyperlink ref="AB624" r:id="rId2337" display="http://commons.pacificu.edu/"/>
    <hyperlink ref="B625" r:id="rId2338" display="http://roarmap.eprints.org/714/"/>
    <hyperlink ref="Z625" r:id="rId2339" display="http://www.libraries.psu.edu"/>
    <hyperlink ref="AA625" r:id="rId2340" display="http://www.libraries.psu.edu/psul/pubcur/LFOandOA/Libraries_OA_Policy_Notes.html"/>
    <hyperlink ref="AB625" r:id="rId2341" display="https://scholarsphere.psu.edu/"/>
    <hyperlink ref="B626" r:id="rId2342" display="http://roarmap.eprints.org/496/"/>
    <hyperlink ref="Z626" r:id="rId2343" display="http://www.princeton.edu/"/>
    <hyperlink ref="AA626" r:id="rId2344" display="http://www.cs.princeton.edu/~appel/open-access-report.pdf"/>
    <hyperlink ref="AB626" r:id="rId2345" display="http://dataspace.princeton.edu/jspui/"/>
    <hyperlink ref="B627" r:id="rId2346" display="http://roarmap.eprints.org/497/"/>
    <hyperlink ref="Z627" r:id="rId2347" display="http://www.rice.edu/"/>
    <hyperlink ref="AA627" r:id="rId2348" display="http://openaccess.rice.edu/rice-faculty-senate-policy/"/>
    <hyperlink ref="AB627" r:id="rId2349" display="http://scholarship.rice.edu/"/>
    <hyperlink ref="B628" r:id="rId2350" display="http://roarmap.eprints.org/498/"/>
    <hyperlink ref="Z628" r:id="rId2351" display="http://www.rollins.edu/"/>
    <hyperlink ref="AA628" r:id="rId2352" display="http://scholarship.rollins.edu/open_access_policy.pdf"/>
    <hyperlink ref="AB628" r:id="rId2353" display="http://scholarship.rollins.edu"/>
    <hyperlink ref="B629" r:id="rId2354" display="http://roarmap.eprints.org/499/"/>
    <hyperlink ref="Z629" r:id="rId2355" display="https://www.rutgers.edu/"/>
    <hyperlink ref="AA629" r:id="rId2356" display="http://policies.rutgers.edu/50317-currentpdf"/>
    <hyperlink ref="AB629" r:id="rId2357" display="https://rucore.libraries.rutgers.edu/"/>
    <hyperlink ref="B630" r:id="rId2358" display="http://roarmap.eprints.org/500/"/>
    <hyperlink ref="Z630" r:id="rId2359" display="http://www.sjsu.edu/"/>
    <hyperlink ref="AA630" r:id="rId2360" display="http://www.sjsu.edu/gradstudies/docs/thesis_guidelines.pdf"/>
    <hyperlink ref="AB630" r:id="rId2361" display="http://scholarworks.sjsu.edu/"/>
    <hyperlink ref="B631" r:id="rId2362" display="http://roarmap.eprints.org/501/"/>
    <hyperlink ref="Z631" r:id="rId2363" display="http://www.si.edu/"/>
    <hyperlink ref="B632" r:id="rId2364" display="http://roarmap.eprints.org/502/"/>
    <hyperlink ref="Z632" r:id="rId2365" display="https://ed.stanford.edu/"/>
    <hyperlink ref="AA632" r:id="rId2366" display="https://ed.stanford.edu/faculty-research/open-archive/open-access-motion"/>
    <hyperlink ref="AB632" r:id="rId2367" display="https://openarchive.stanford.edu/"/>
    <hyperlink ref="B633" r:id="rId2368" display="http://roarmap.eprints.org/503/"/>
    <hyperlink ref="Z633" r:id="rId2369" display="http://www.temple.edu/"/>
    <hyperlink ref="AA633" r:id="rId2370" display="http://www.temple.edu/dissertationhandbook/publishcopyright.html"/>
    <hyperlink ref="AB633" r:id="rId2371" display="http://digital.library.temple.edu/cdm/"/>
    <hyperlink ref="B634" r:id="rId2372" display="http://roarmap.eprints.org/504/"/>
    <hyperlink ref="Z634" r:id="rId2373" display="http://www.tamu.edu/"/>
    <hyperlink ref="AA634" r:id="rId2374" display="http://ogs.tamu.edu/wp-content/uploads/2012/07/Thesis_Manual_July_2013_minorrevision_8_22_13.pdf"/>
    <hyperlink ref="AB634" r:id="rId2375" display="http://oaktrust.library.tamu.edu/"/>
    <hyperlink ref="B635" r:id="rId2376" display="http://roarmap.eprints.org/505/"/>
    <hyperlink ref="Z635" r:id="rId2377" display="http://www.wooster.edu/"/>
    <hyperlink ref="AA635" r:id="rId2378" display="http://openaccess.voices.wooster.edu/policy/"/>
    <hyperlink ref="AB635" r:id="rId2379" display="http://openworks.wooster.edu/"/>
    <hyperlink ref="B636" r:id="rId2380" display="http://roarmap.eprints.org/506/"/>
    <hyperlink ref="Z636" r:id="rId2381" display="http://new.trinity.edu/"/>
    <hyperlink ref="AA636" r:id="rId2382" display="http://blog.trinity.edu/open_access/93/"/>
    <hyperlink ref="B637" r:id="rId2383" display="http://roarmap.eprints.org/507/"/>
    <hyperlink ref="Z637" r:id="rId2384" display="http://www.ahrq.gov/"/>
    <hyperlink ref="AA637" r:id="rId2385" display="http://www.ahrq.gov/funding/policies/publicaccess/index.html"/>
    <hyperlink ref="AB637" r:id="rId2386" display="http://www.ncbi.nlm.nih.gov/pmc/"/>
    <hyperlink ref="B638" r:id="rId2387" display="http://roarmap.eprints.org/508/"/>
    <hyperlink ref="Z638" r:id="rId2388" display="http://www.census.gov"/>
    <hyperlink ref="B639" r:id="rId2389" display="http://roarmap.eprints.org/509/"/>
    <hyperlink ref="Z639" r:id="rId2390" display="http://www.cdc.gov/"/>
    <hyperlink ref="B640" r:id="rId2391" display="http://roarmap.eprints.org/531/"/>
    <hyperlink ref="Z640" r:id="rId2392" display="http://beta.congress.gov/"/>
    <hyperlink ref="AA640" r:id="rId2393" display="http://www.gpo.gov/fdsys/pkg/BILLS-113hr3547enr/pdf/BILLS-113hr3547enr.pdf"/>
    <hyperlink ref="B641" r:id="rId2394" display="http://roarmap.eprints.org/510/"/>
    <hyperlink ref="Z641" r:id="rId2395" display="http://www.usda.gov/wps/portal/usda/usdahome"/>
    <hyperlink ref="B642" r:id="rId2396" display="http://roarmap.eprints.org/511/"/>
    <hyperlink ref="Z642" r:id="rId2397" display="http://www.commerce.gov/"/>
    <hyperlink ref="B643" r:id="rId2398" display="http://roarmap.eprints.org/512/"/>
    <hyperlink ref="Z643" r:id="rId2399" display="http://www.defense.gov/"/>
    <hyperlink ref="AA643" r:id="rId2400" display="http://dtic.mil/dtic/pdf/PublicAccessMemo2014.pdf"/>
    <hyperlink ref="AB643" r:id="rId2401" display="http://www.dtic.mil/dtic/"/>
    <hyperlink ref="B644" r:id="rId2402" display="http://roarmap.eprints.org/513/"/>
    <hyperlink ref="Z644" r:id="rId2403" display="http://www.ed.gov/"/>
    <hyperlink ref="B645" r:id="rId2404" display="http://roarmap.eprints.org/514/"/>
    <hyperlink ref="Z645" r:id="rId2405" display="http://energy.gov/"/>
    <hyperlink ref="B646" r:id="rId2406" display="http://roarmap.eprints.org/515/"/>
    <hyperlink ref="Z646" r:id="rId2407" display="http://www.hhs.gov/"/>
    <hyperlink ref="B647" r:id="rId2408" display="http://roarmap.eprints.org/516/"/>
    <hyperlink ref="Z647" r:id="rId2409" display="http://www.dhs.gov/"/>
    <hyperlink ref="B648" r:id="rId2410" display="http://roarmap.eprints.org/517/"/>
    <hyperlink ref="Z648" r:id="rId2411" display="http://www.state.gov/"/>
    <hyperlink ref="B649" r:id="rId2412" display="http://roarmap.eprints.org/518/"/>
    <hyperlink ref="Z649" r:id="rId2413" display="http://www.dot.gov/"/>
    <hyperlink ref="B650" r:id="rId2414" display="http://roarmap.eprints.org/519/"/>
    <hyperlink ref="Z650" r:id="rId2415" display="http://www.doi.gov/index.cfm"/>
    <hyperlink ref="B651" r:id="rId2416" display="http://roarmap.eprints.org/520/"/>
    <hyperlink ref="Z651" r:id="rId2417" display="http://www.epa.gov/"/>
    <hyperlink ref="B652" r:id="rId2418" display="http://roarmap.eprints.org/521/"/>
    <hyperlink ref="Z652" r:id="rId2419" display="http://www.faa.gov/"/>
    <hyperlink ref="B653" r:id="rId2420" display="http://roarmap.eprints.org/522/"/>
    <hyperlink ref="Z653" r:id="rId2421" display="http://www.fhwa.dot.gov/"/>
    <hyperlink ref="B654" r:id="rId2422" display="http://roarmap.eprints.org/523/"/>
    <hyperlink ref="Z654" r:id="rId2423" display="http://www.fda.gov/"/>
    <hyperlink ref="B655" r:id="rId2424" display="http://roarmap.eprints.org/524/"/>
    <hyperlink ref="Z655" r:id="rId2425" display="http://www.usgs.gov/"/>
    <hyperlink ref="B656" r:id="rId2426" display="http://roarmap.eprints.org/525/"/>
    <hyperlink ref="Z656" r:id="rId2427" display="http://www.nasa.gov/"/>
    <hyperlink ref="B657" r:id="rId2428" display="http://roarmap.eprints.org/526/"/>
    <hyperlink ref="Z657" r:id="rId2429" display="http://www.nist.gov/"/>
    <hyperlink ref="B658" r:id="rId2430" display="http://roarmap.eprints.org/527/"/>
    <hyperlink ref="Z658" r:id="rId2431" display="http://www.noaa.gov/index.html"/>
    <hyperlink ref="B659" r:id="rId2432" display="http://roarmap.eprints.org/528/"/>
    <hyperlink ref="Z659" r:id="rId2433" display="http://www.nsf.gov/"/>
    <hyperlink ref="AA659" r:id="rId2434" display="http://www.nsf.gov/news/special_reports/public_access/"/>
    <hyperlink ref="B660" r:id="rId2435" display="http://roarmap.eprints.org/529/"/>
    <hyperlink ref="Z660" r:id="rId2436" display="http://www.whitehouse.gov/administration/eop/ostp"/>
    <hyperlink ref="AA660" r:id="rId2437" display="http://www.whitehouse.gov/sites/default/files/microsites/ostp/ostp_public_access_memo_2013.pdf"/>
    <hyperlink ref="B661" r:id="rId2438" display="http://roarmap.eprints.org/530/"/>
    <hyperlink ref="Z661" r:id="rId2439" display="http://www.usaid.gov/"/>
    <hyperlink ref="B662" r:id="rId2440" display="http://roarmap.eprints.org/532/"/>
    <hyperlink ref="Z662" r:id="rId2441" display="http://www.universityofcalifornia.edu/"/>
    <hyperlink ref="AA662" r:id="rId2442" display="http://osc.universityofcalifornia.edu/open-access-policy/"/>
    <hyperlink ref="AB662" r:id="rId2443" display="http://escholarship.org/"/>
    <hyperlink ref="B663" r:id="rId2444" display="http://roarmap.eprints.org/533/"/>
    <hyperlink ref="Z663" r:id="rId2445" display="http://www.ucsf.edu/"/>
    <hyperlink ref="AA663" r:id="rId2446" display="http://www.library.ucsf.edu/sites/all/files/ucsf_assets/ucsf_oa_policy.pdf"/>
    <hyperlink ref="AB663" r:id="rId2447" display="http://escholarship.org/"/>
    <hyperlink ref="B664" r:id="rId2448" display="http://roarmap.eprints.org/534/"/>
    <hyperlink ref="Z664" r:id="rId2449" display="http://www.ucf.edu/"/>
    <hyperlink ref="B665" r:id="rId2450" display="http://roarmap.eprints.org/539/"/>
    <hyperlink ref="Z665" r:id="rId2451" display="http://www.uillinois.edu/campuses/UrbanaChampaign/"/>
    <hyperlink ref="B666" r:id="rId2452" display="http://roarmap.eprints.org/535/"/>
    <hyperlink ref="Z666" r:id="rId2453" display="http://www.colorado.edu/"/>
    <hyperlink ref="AA666" r:id="rId2454" display="http://ucblibraries.colorado.edu/ScholarlyCommunications/oa/CU-Boulder Libraries Faculty Open Access Policy rev103113.pdf"/>
    <hyperlink ref="AB666" r:id="rId2455" display="http://digitool.library.colostate.edu/R/KU5QP19484T6LLSQMI9MJKDTUG4TEXNPM7V1Q1DHKRPYGYD1Y8-00382?func=collections&amp;collection_id=2382&amp;local_base=GEN01-UCB"/>
    <hyperlink ref="B667" r:id="rId2456" display="http://roarmap.eprints.org/751/"/>
    <hyperlink ref="Z667" r:id="rId2457" display="http://www.udel.edu/"/>
    <hyperlink ref="AA667" r:id="rId2458" display="http://guides.lib.udel.edu/scholcom/openaccess"/>
    <hyperlink ref="AB667" r:id="rId2459" display="http://udspace.udel.edu/"/>
    <hyperlink ref="B668" r:id="rId2460" display="http://roarmap.eprints.org/536/"/>
    <hyperlink ref="Z668" r:id="rId2461" display="http://www.ufl.edu/"/>
    <hyperlink ref="AB668" r:id="rId2462" display="http://ufdc.ufl.edu/ir"/>
    <hyperlink ref="B669" r:id="rId2463" display="http://roarmap.eprints.org/537/"/>
    <hyperlink ref="Z669" r:id="rId2464" display="http://www.manoa.hawaii.edu/"/>
    <hyperlink ref="AA669" r:id="rId2465" display="http://manoa.hawaii.edu/ovcaa/admin_memos/pdf/memo_04042012_openaccess.pdf"/>
    <hyperlink ref="AB669" r:id="rId2466" display="https://scholarspace.manoa.hawaii.edu/"/>
    <hyperlink ref="B670" r:id="rId2467" display="http://roarmap.eprints.org/538/"/>
    <hyperlink ref="Z670" r:id="rId2468" display="http://www.uic.edu/uic/"/>
    <hyperlink ref="AA670" r:id="rId2469" display="http://researchguides.uic.edu/libraryoapolicy"/>
    <hyperlink ref="AB670" r:id="rId2470" display="http://indigo.uic.edu/"/>
    <hyperlink ref="B671" r:id="rId2471" display="http://roarmap.eprints.org/540/"/>
    <hyperlink ref="Z671" r:id="rId2472" display="http://www.ku.edu/"/>
    <hyperlink ref="AA671" r:id="rId2473" display="http://policy.ku.edu/governance/open-access-policy"/>
    <hyperlink ref="AB671" r:id="rId2474" display="http://kuscholarworks.ku.edu/"/>
    <hyperlink ref="AZ671" r:id="rId2475" display="http://library.kumc.edu/authors-fund.xml"/>
    <hyperlink ref="B672" r:id="rId2476" display="http://roarmap.eprints.org/541/"/>
    <hyperlink ref="Z672" r:id="rId2477" display="http://www.uky.edu/"/>
    <hyperlink ref="AA672" r:id="rId2478" display="http://www.research.uky.edu/gs/CurrentStudents/theses_prep.html"/>
    <hyperlink ref="AB672" r:id="rId2479" display="http://uknowledge.uky.edu/gradschool/"/>
    <hyperlink ref="B673" r:id="rId2480" display="http://roarmap.eprints.org/542/"/>
    <hyperlink ref="Z673" r:id="rId2481" display="http://www.umd.edu/"/>
    <hyperlink ref="AB673" r:id="rId2482" display="http://drum.lib.umd.edu/"/>
    <hyperlink ref="B674" r:id="rId2483" display="http://roarmap.eprints.org/544/"/>
    <hyperlink ref="Z674" r:id="rId2484" display="http://www.uncg.edu/"/>
    <hyperlink ref="AA674" r:id="rId2485" display="http://library.uncg.edu/services/scholarly_communication/open_access_policy.aspx"/>
    <hyperlink ref="AB674" r:id="rId2486" display="http://libres.uncg.edu/ir/"/>
    <hyperlink ref="B675" r:id="rId2487" display="http://roarmap.eprints.org/545/"/>
    <hyperlink ref="Z675" r:id="rId2488" display="http://www.unf.edu/"/>
    <hyperlink ref="AA675" r:id="rId2489" display="http://lgdata.s3-website-us-east-1.amazonaws.com/docs/1652/740785/Thesis_deposit_policy_and_guide_2012_rev.pdf"/>
    <hyperlink ref="AB675" r:id="rId2490" display="http://digitalcommons.unf.edu/"/>
    <hyperlink ref="B676" r:id="rId2491" display="http://roarmap.eprints.org/546/"/>
    <hyperlink ref="Z676" r:id="rId2492" display="http://www.unt.edu/"/>
    <hyperlink ref="AA676" r:id="rId2493" display="https://policy.unt.edu/sites/default/files/untpolicy/17.5_Open Access_Self-Archiving_and Long-Term Digital Stewardship for UNT Scholarly Works.pdf"/>
    <hyperlink ref="AB676" r:id="rId2494" display="http://digital.library.unt.edu/"/>
    <hyperlink ref="B677" r:id="rId2495" display="http://roarmap.eprints.org/547/"/>
    <hyperlink ref="Z677" r:id="rId2496" display="http://library.unco.edu/"/>
    <hyperlink ref="AA677" r:id="rId2497" display="http://libguides.unco.edu/content.php?pid=322118&amp;sid=2770946"/>
    <hyperlink ref="AB677" r:id="rId2498" display="http://digitalunc.coalliance.org/"/>
    <hyperlink ref="B678" r:id="rId2499" display="http://roarmap.eprints.org/548/"/>
    <hyperlink ref="Z678" r:id="rId2500" display="http://uoregon.edu/"/>
    <hyperlink ref="AB678" r:id="rId2501" display="https://scholarsbank.uoregon.edu/xmlui/"/>
    <hyperlink ref="B679" r:id="rId2502" display="http://roarmap.eprints.org/549/"/>
    <hyperlink ref="Z679" r:id="rId2503" display="http://uoregon.edu/"/>
    <hyperlink ref="AA679" r:id="rId2504" display="http://pages.uoregon.edu/uosenate/dirsen090/dirPublicAccess/RomanceLanguagesPolicy.pdf"/>
    <hyperlink ref="AB679" r:id="rId2505" display="https://scholarsbank.uoregon.edu/xmlui/"/>
    <hyperlink ref="B680" r:id="rId2506" display="http://roarmap.eprints.org/550/"/>
    <hyperlink ref="Z680" r:id="rId2507" display="http://www.upenn.edu/"/>
    <hyperlink ref="AA680" r:id="rId2508" display="http://www.upenn.edu/almanac/volumes/v58/n03/openaccess.html"/>
    <hyperlink ref="AB680" r:id="rId2509" display="http://repository.upenn.edu/"/>
    <hyperlink ref="B681" r:id="rId2510" display="http://roarmap.eprints.org/551/"/>
    <hyperlink ref="Z681" r:id="rId2511" display="http://www.law.upr.edu/"/>
    <hyperlink ref="AA681" r:id="rId2512" display="https://mx2.arl.org/Lists/SPARC-OAForum/Message/5436.html"/>
    <hyperlink ref="AB681" r:id="rId2513" display="http://repositorio.upr.edu:8080/jspui/"/>
    <hyperlink ref="B682" r:id="rId2514" display="http://roarmap.eprints.org/552/"/>
    <hyperlink ref="Z682" r:id="rId2515" display="http://ww2.uri.edu/"/>
    <hyperlink ref="AA682" r:id="rId2516" display="http://www.uri.edu/facsen/about/legislation/legislation_documents/2012-13/Bill_12-13-29.pdf"/>
    <hyperlink ref="AB682" r:id="rId2517" display="http://digitalcommons.uri.edu/"/>
    <hyperlink ref="B683" r:id="rId2518" display="http://roarmap.eprints.org/553/"/>
    <hyperlink ref="Z683" r:id="rId2519" display="http://www.utk.edu/"/>
    <hyperlink ref="AB683" r:id="rId2520" display="http://www.trace.tennessee.edu/"/>
    <hyperlink ref="B684" r:id="rId2521" display="http://roarmap.eprints.org/554/"/>
    <hyperlink ref="Z684" r:id="rId2522" display="http://www.virginia.edu/"/>
    <hyperlink ref="AA684" r:id="rId2523" display="http://www.virginia.edu/facultysenate/wp-content/uploads/2013/08/OpenAccessResolution2-5-2010Revision.pdf"/>
    <hyperlink ref="AB684" r:id="rId2524" display="http://libra.virginia.edu/"/>
    <hyperlink ref="AZ684" r:id="rId2525" display="http://copyright.library.virginia.edu/support-for-open-access-publishing/uva-library-open-access-fund/"/>
    <hyperlink ref="B685" r:id="rId2526" display="http://roarmap.eprints.org/555/"/>
    <hyperlink ref="Z685" r:id="rId2527" display="http://www.uwec.edu/index.htm"/>
    <hyperlink ref="AA685" r:id="rId2528" display="http://www.uwec.edu/Library/services/openaccessdeclaration.htm"/>
    <hyperlink ref="AB685" r:id="rId2529" display="http://minds.wisconsin.edu/"/>
    <hyperlink ref="B686" r:id="rId2530" display="http://roarmap.eprints.org/556/"/>
    <hyperlink ref="Z686" r:id="rId2531" display="http://www.usu.edu/"/>
    <hyperlink ref="AA686" r:id="rId2532" display="http://roarmap.eprints.org/653/1/535.pdf"/>
    <hyperlink ref="AB686" r:id="rId2533" display="http://digitalcommons.usu.edu/"/>
    <hyperlink ref="B687" r:id="rId2534" display="http://roarmap.eprints.org/557/"/>
    <hyperlink ref="Z687" r:id="rId2535" display="http://www.valpo.edu/"/>
    <hyperlink ref="AA687" r:id="rId2536" display="http://library.valpo.edu/policies/openaccess.html"/>
    <hyperlink ref="AB687" r:id="rId2537" display="http://scholar.valpo.edu/"/>
    <hyperlink ref="B688" r:id="rId2538" display="http://roarmap.eprints.org/558/"/>
    <hyperlink ref="Z688" r:id="rId2539" display="http://www.vt.edu/"/>
    <hyperlink ref="AA688" r:id="rId2540" display="http://etd.vt.edu/index.html"/>
    <hyperlink ref="AB688" r:id="rId2541" display="http://vtechworks.lib.vt.edu/"/>
    <hyperlink ref="B689" r:id="rId2542" display="http://roarmap.eprints.org/559/"/>
    <hyperlink ref="Z689" r:id="rId2543" display="http://www.lib.vt.edu/"/>
    <hyperlink ref="AA689" r:id="rId2544" display="http://www.lib.vt.edu/openaccess/lfa-oa-policy.pdf"/>
    <hyperlink ref="AB689" r:id="rId2545" display="http://vtechworks.lib.vt.edu/"/>
    <hyperlink ref="AZ689" r:id="rId2546" display="http://www.lib.vt.edu/oafund/index.html"/>
    <hyperlink ref="B690" r:id="rId2547" display="http://roarmap.eprints.org/560/"/>
    <hyperlink ref="Z690" r:id="rId2548" display="http://www.wfu.edu/"/>
    <hyperlink ref="AA690" r:id="rId2549" display="http://zsr.wfu.edu/documents/ZSR_Librarians_Assembly_Open_Access_Policy.pdf"/>
    <hyperlink ref="AB690" r:id="rId2550" display="http://wakespace.lib.wfu.edu/handle/10339/14934"/>
    <hyperlink ref="B691" r:id="rId2551" display="http://roarmap.eprints.org/561/"/>
    <hyperlink ref="Z691" r:id="rId2552" display="http://www.wellesley.edu/"/>
    <hyperlink ref="AA691" r:id="rId2553" display="http://www.wellesley.edu/sites/default/files/assets/departments/provost/files/openaccesspolicy2.13.13.pdf"/>
    <hyperlink ref="AB691" r:id="rId2554" display="http://repository.wellesley.edu/"/>
    <hyperlink ref="B692" r:id="rId2555" display="http://roarmap.eprints.org/562/"/>
    <hyperlink ref="Z692" r:id="rId2556" display="http://www.wvu.edu/"/>
    <hyperlink ref="AA692" r:id="rId2557" display="http://www.wvu.edu/~thesis/News/ETDpolicysummary.pdf"/>
    <hyperlink ref="AB692" r:id="rId2558" display="http://wvuscholar.wvu.edu:8881/R?RN=17903662"/>
    <hyperlink ref="B693" r:id="rId2559" display="http://roarmap.eprints.org/563/"/>
    <hyperlink ref="Z693" r:id="rId2560" display="http://www.wichita.edu/thisis/"/>
    <hyperlink ref="AA693" r:id="rId2561" display="http://webs.wichita.edu/depttools/depttoolsmemberfiles/gradschool/ThesisDissertationManual.pdf"/>
    <hyperlink ref="AB693" r:id="rId2562" display="http://soar.wichita.edu/"/>
    <hyperlink ref="B694" r:id="rId2563" display="http://roarmap.eprints.org/720/"/>
    <hyperlink ref="Z694" r:id="rId2564" display="https://wikimediafoundation.org"/>
    <hyperlink ref="AA694" r:id="rId2565" display="https://wikimediafoundation.org/wiki/Open_access_policy"/>
    <hyperlink ref="B695" r:id="rId2566" display="http://roarmap.eprints.org/631/"/>
    <hyperlink ref="Z695" r:id="rId2567" display="http://www.ula.ve/"/>
    <hyperlink ref="AA695" r:id="rId2568" display="http://www.cca.ula.ve/documentos/ResolucionCU0580del030308.pdf"/>
    <hyperlink ref="AB695" r:id="rId2569" display="http://www.saber.ula.ve/"/>
    <hyperlink ref="B696" r:id="rId2570" display="http://roarmap.eprints.org/632/"/>
    <hyperlink ref="Z696" r:id="rId2571" display="http://www.udo.edu.ve/"/>
    <hyperlink ref="AB696" r:id="rId2572" display="http://ri.biblioteca.udo.edu.ve/"/>
    <hyperlink ref="B697" r:id="rId2573" display="http://roarmap.eprints.org/705/"/>
    <hyperlink ref="Z697" r:id="rId2574" display="http://www.luz.edu.ve/"/>
    <hyperlink ref="AA697" r:id="rId2575" display="http://www.serbi.luz.edu.ve/index.php/politica-de-acceso-abierto"/>
    <hyperlink ref="AB697" r:id="rId2576" display="http://repositorio.luz.edu.ve/"/>
    <hyperlink ref="B698" r:id="rId2577" display="http://roarmap.eprints.org/47/"/>
    <hyperlink ref="Z698" r:id="rId2578" display="http://www.nchu.edu.tw/en-index.php"/>
    <hyperlink ref="AB698" r:id="rId2579" display="http://nchuir.lib.nchu.edu.tw/?locale=en-US"/>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0"/>
  <sheetViews>
    <sheetView workbookViewId="0"/>
  </sheetViews>
  <sheetFormatPr baseColWidth="10" defaultColWidth="17.33203125" defaultRowHeight="15" customHeight="1" x14ac:dyDescent="0"/>
  <cols>
    <col min="1" max="26" width="14.5" customWidth="1"/>
  </cols>
  <sheetData>
    <row r="1" spans="1:2" ht="15.75" customHeight="1">
      <c r="A1" s="1">
        <v>2</v>
      </c>
      <c r="B1" s="1" t="s">
        <v>51</v>
      </c>
    </row>
    <row r="2" spans="1:2" ht="15.75" customHeight="1">
      <c r="A2" s="1">
        <v>4</v>
      </c>
      <c r="B2" s="1" t="s">
        <v>52</v>
      </c>
    </row>
    <row r="3" spans="1:2" ht="15.75" customHeight="1">
      <c r="A3" s="1">
        <v>5</v>
      </c>
      <c r="B3" s="1" t="s">
        <v>53</v>
      </c>
    </row>
    <row r="4" spans="1:2" ht="15.75" customHeight="1">
      <c r="A4" s="1">
        <v>8</v>
      </c>
      <c r="B4" s="1" t="s">
        <v>54</v>
      </c>
    </row>
    <row r="5" spans="1:2" ht="15.75" customHeight="1">
      <c r="A5" s="1">
        <v>9</v>
      </c>
      <c r="B5" s="1" t="s">
        <v>55</v>
      </c>
    </row>
    <row r="6" spans="1:2" ht="15.75" customHeight="1">
      <c r="A6" s="1">
        <v>11</v>
      </c>
      <c r="B6" s="1" t="s">
        <v>56</v>
      </c>
    </row>
    <row r="7" spans="1:2" ht="15.75" customHeight="1">
      <c r="A7" s="1">
        <v>12</v>
      </c>
      <c r="B7" s="1" t="s">
        <v>57</v>
      </c>
    </row>
    <row r="8" spans="1:2" ht="15.75" customHeight="1">
      <c r="A8" s="1">
        <v>13</v>
      </c>
      <c r="B8" s="1" t="s">
        <v>58</v>
      </c>
    </row>
    <row r="9" spans="1:2" ht="15.75" customHeight="1">
      <c r="A9" s="1">
        <v>14</v>
      </c>
      <c r="B9" s="1" t="s">
        <v>59</v>
      </c>
    </row>
    <row r="10" spans="1:2" ht="15.75" customHeight="1">
      <c r="A10" s="1">
        <v>15</v>
      </c>
      <c r="B10" s="1" t="s">
        <v>50</v>
      </c>
    </row>
    <row r="11" spans="1:2" ht="15.75" customHeight="1">
      <c r="A11" s="1">
        <v>16</v>
      </c>
      <c r="B11" s="1" t="s">
        <v>60</v>
      </c>
    </row>
    <row r="12" spans="1:2" ht="15.75" customHeight="1">
      <c r="A12" s="1">
        <v>17</v>
      </c>
      <c r="B12" s="1" t="s">
        <v>61</v>
      </c>
    </row>
    <row r="13" spans="1:2" ht="15.75" customHeight="1">
      <c r="A13" s="1">
        <v>18</v>
      </c>
      <c r="B13" s="1" t="s">
        <v>62</v>
      </c>
    </row>
    <row r="14" spans="1:2" ht="15.75" customHeight="1">
      <c r="A14" s="1">
        <v>19</v>
      </c>
      <c r="B14" s="1" t="s">
        <v>63</v>
      </c>
    </row>
    <row r="15" spans="1:2" ht="15.75" customHeight="1">
      <c r="A15" s="1">
        <v>19</v>
      </c>
      <c r="B15" s="1" t="s">
        <v>64</v>
      </c>
    </row>
    <row r="16" spans="1:2" ht="15.75" customHeight="1">
      <c r="A16" s="1">
        <v>20</v>
      </c>
      <c r="B16" s="1" t="s">
        <v>65</v>
      </c>
    </row>
    <row r="17" spans="1:2" ht="15.75" customHeight="1">
      <c r="A17" s="1">
        <v>21</v>
      </c>
      <c r="B17" s="1" t="s">
        <v>66</v>
      </c>
    </row>
    <row r="18" spans="1:2" ht="15.75" customHeight="1">
      <c r="A18" s="1">
        <v>24</v>
      </c>
      <c r="B18" s="1" t="s">
        <v>67</v>
      </c>
    </row>
    <row r="19" spans="1:2" ht="15.75" customHeight="1">
      <c r="A19" s="1">
        <v>28</v>
      </c>
      <c r="B19" s="1" t="s">
        <v>68</v>
      </c>
    </row>
    <row r="20" spans="1:2" ht="15.75" customHeight="1">
      <c r="A20" s="1">
        <v>29</v>
      </c>
      <c r="B20" s="1" t="s">
        <v>69</v>
      </c>
    </row>
    <row r="21" spans="1:2" ht="15.75" customHeight="1">
      <c r="A21" s="1">
        <v>30</v>
      </c>
      <c r="B21" s="1" t="s">
        <v>70</v>
      </c>
    </row>
    <row r="22" spans="1:2" ht="15.75" customHeight="1">
      <c r="A22" s="1">
        <v>31</v>
      </c>
      <c r="B22" s="1" t="s">
        <v>71</v>
      </c>
    </row>
    <row r="23" spans="1:2" ht="15.75" customHeight="1">
      <c r="A23" s="1">
        <v>32</v>
      </c>
      <c r="B23" s="1" t="s">
        <v>72</v>
      </c>
    </row>
    <row r="24" spans="1:2" ht="15.75" customHeight="1">
      <c r="A24" s="1">
        <v>34</v>
      </c>
      <c r="B24" s="1" t="s">
        <v>73</v>
      </c>
    </row>
    <row r="25" spans="1:2" ht="15.75" customHeight="1">
      <c r="A25" s="1">
        <v>35</v>
      </c>
      <c r="B25" s="1" t="s">
        <v>74</v>
      </c>
    </row>
    <row r="26" spans="1:2" ht="15.75" customHeight="1">
      <c r="A26" s="1">
        <v>36</v>
      </c>
      <c r="B26" s="1" t="s">
        <v>75</v>
      </c>
    </row>
    <row r="27" spans="1:2" ht="15.75" customHeight="1">
      <c r="A27" s="1">
        <v>39</v>
      </c>
      <c r="B27" s="1" t="s">
        <v>76</v>
      </c>
    </row>
    <row r="28" spans="1:2" ht="15.75" customHeight="1">
      <c r="A28" s="1">
        <v>40</v>
      </c>
      <c r="B28" s="1" t="s">
        <v>77</v>
      </c>
    </row>
    <row r="29" spans="1:2" ht="15.75" customHeight="1">
      <c r="A29" s="1">
        <v>44</v>
      </c>
      <c r="B29" s="1" t="s">
        <v>78</v>
      </c>
    </row>
    <row r="30" spans="1:2" ht="15.75" customHeight="1">
      <c r="A30" s="1">
        <v>48</v>
      </c>
      <c r="B30" s="1" t="s">
        <v>79</v>
      </c>
    </row>
    <row r="31" spans="1:2" ht="15.75" customHeight="1">
      <c r="A31" s="1">
        <v>50</v>
      </c>
      <c r="B31" s="1" t="s">
        <v>80</v>
      </c>
    </row>
    <row r="32" spans="1:2" ht="15.75" customHeight="1">
      <c r="A32" s="1">
        <v>51</v>
      </c>
      <c r="B32" s="1" t="s">
        <v>81</v>
      </c>
    </row>
    <row r="33" spans="1:2" ht="15.75" customHeight="1">
      <c r="A33" s="1">
        <v>52</v>
      </c>
      <c r="B33" s="1" t="s">
        <v>82</v>
      </c>
    </row>
    <row r="34" spans="1:2" ht="15.75" customHeight="1">
      <c r="A34" s="1">
        <v>53</v>
      </c>
      <c r="B34" s="1" t="s">
        <v>83</v>
      </c>
    </row>
    <row r="35" spans="1:2" ht="15.75" customHeight="1">
      <c r="A35" s="1">
        <v>54</v>
      </c>
      <c r="B35" s="1" t="s">
        <v>84</v>
      </c>
    </row>
    <row r="36" spans="1:2" ht="15.75" customHeight="1">
      <c r="A36" s="1">
        <v>56</v>
      </c>
      <c r="B36" s="1" t="s">
        <v>85</v>
      </c>
    </row>
    <row r="37" spans="1:2" ht="15.75" customHeight="1">
      <c r="A37" s="1">
        <v>57</v>
      </c>
      <c r="B37" s="1" t="s">
        <v>86</v>
      </c>
    </row>
    <row r="38" spans="1:2" ht="15.75" customHeight="1">
      <c r="A38" s="1">
        <v>60</v>
      </c>
      <c r="B38" s="1" t="s">
        <v>87</v>
      </c>
    </row>
    <row r="39" spans="1:2" ht="15.75" customHeight="1">
      <c r="A39" s="1">
        <v>61</v>
      </c>
      <c r="B39" s="1" t="s">
        <v>88</v>
      </c>
    </row>
    <row r="40" spans="1:2" ht="15.75" customHeight="1">
      <c r="A40" s="1">
        <v>64</v>
      </c>
      <c r="B40" s="1" t="s">
        <v>89</v>
      </c>
    </row>
    <row r="41" spans="1:2" ht="15.75" customHeight="1">
      <c r="A41" s="1">
        <v>68</v>
      </c>
      <c r="B41" s="1" t="s">
        <v>90</v>
      </c>
    </row>
    <row r="42" spans="1:2" ht="15.75" customHeight="1">
      <c r="A42" s="1">
        <v>70</v>
      </c>
      <c r="B42" s="1" t="s">
        <v>91</v>
      </c>
    </row>
    <row r="43" spans="1:2" ht="15.75" customHeight="1">
      <c r="A43" s="1">
        <v>72</v>
      </c>
      <c r="B43" s="1" t="s">
        <v>92</v>
      </c>
    </row>
    <row r="44" spans="1:2" ht="15.75" customHeight="1">
      <c r="A44" s="1">
        <v>76</v>
      </c>
      <c r="B44" s="1" t="s">
        <v>93</v>
      </c>
    </row>
    <row r="45" spans="1:2" ht="15.75" customHeight="1">
      <c r="A45" s="1">
        <v>84</v>
      </c>
      <c r="B45" s="1" t="s">
        <v>94</v>
      </c>
    </row>
    <row r="46" spans="1:2" ht="15.75" customHeight="1">
      <c r="A46" s="1">
        <v>90</v>
      </c>
      <c r="B46" s="1" t="s">
        <v>95</v>
      </c>
    </row>
    <row r="47" spans="1:2" ht="15.75" customHeight="1">
      <c r="A47" s="1">
        <v>92</v>
      </c>
      <c r="B47" s="1" t="s">
        <v>97</v>
      </c>
    </row>
    <row r="48" spans="1:2" ht="15.75" customHeight="1">
      <c r="A48" s="1">
        <v>96</v>
      </c>
      <c r="B48" s="1" t="s">
        <v>99</v>
      </c>
    </row>
    <row r="49" spans="1:2" ht="15.75" customHeight="1">
      <c r="A49" s="1">
        <v>100</v>
      </c>
      <c r="B49" s="1" t="s">
        <v>101</v>
      </c>
    </row>
    <row r="50" spans="1:2" ht="15.75" customHeight="1">
      <c r="A50" s="1">
        <v>104</v>
      </c>
      <c r="B50" s="1" t="s">
        <v>104</v>
      </c>
    </row>
    <row r="51" spans="1:2" ht="15.75" customHeight="1">
      <c r="A51" s="1">
        <v>108</v>
      </c>
      <c r="B51" s="1" t="s">
        <v>106</v>
      </c>
    </row>
    <row r="52" spans="1:2" ht="15.75" customHeight="1">
      <c r="A52" s="1">
        <v>112</v>
      </c>
      <c r="B52" s="1" t="s">
        <v>110</v>
      </c>
    </row>
    <row r="53" spans="1:2" ht="15.75" customHeight="1">
      <c r="A53" s="1">
        <v>116</v>
      </c>
      <c r="B53" s="1" t="s">
        <v>111</v>
      </c>
    </row>
    <row r="54" spans="1:2" ht="15.75" customHeight="1">
      <c r="A54" s="1">
        <v>120</v>
      </c>
      <c r="B54" s="1" t="s">
        <v>113</v>
      </c>
    </row>
    <row r="55" spans="1:2" ht="15.75" customHeight="1">
      <c r="A55" s="1">
        <v>124</v>
      </c>
      <c r="B55" s="1" t="s">
        <v>114</v>
      </c>
    </row>
    <row r="56" spans="1:2" ht="15.75" customHeight="1">
      <c r="A56" s="1">
        <v>132</v>
      </c>
      <c r="B56" s="1" t="s">
        <v>115</v>
      </c>
    </row>
    <row r="57" spans="1:2" ht="15.75" customHeight="1">
      <c r="A57" s="1">
        <v>136</v>
      </c>
      <c r="B57" s="1" t="s">
        <v>116</v>
      </c>
    </row>
    <row r="58" spans="1:2" ht="15.75" customHeight="1">
      <c r="A58" s="1">
        <v>140</v>
      </c>
      <c r="B58" s="1" t="s">
        <v>117</v>
      </c>
    </row>
    <row r="59" spans="1:2" ht="15.75" customHeight="1">
      <c r="A59" s="1">
        <v>142</v>
      </c>
      <c r="B59" s="1" t="s">
        <v>118</v>
      </c>
    </row>
    <row r="60" spans="1:2" ht="15.75" customHeight="1">
      <c r="A60" s="1">
        <v>142</v>
      </c>
      <c r="B60" s="1" t="s">
        <v>119</v>
      </c>
    </row>
    <row r="61" spans="1:2" ht="15.75" customHeight="1">
      <c r="A61" s="1">
        <v>143</v>
      </c>
      <c r="B61" s="1" t="s">
        <v>120</v>
      </c>
    </row>
    <row r="62" spans="1:2" ht="15.75" customHeight="1">
      <c r="A62" s="1">
        <v>144</v>
      </c>
      <c r="B62" s="1" t="s">
        <v>121</v>
      </c>
    </row>
    <row r="63" spans="1:2" ht="15.75" customHeight="1">
      <c r="A63" s="1">
        <v>145</v>
      </c>
      <c r="B63" s="1" t="s">
        <v>96</v>
      </c>
    </row>
    <row r="64" spans="1:2" ht="15.75" customHeight="1">
      <c r="A64" s="1">
        <v>148</v>
      </c>
      <c r="B64" s="1" t="s">
        <v>122</v>
      </c>
    </row>
    <row r="65" spans="1:2" ht="15.75" customHeight="1">
      <c r="A65" s="1">
        <v>150</v>
      </c>
      <c r="B65" s="1" t="s">
        <v>123</v>
      </c>
    </row>
    <row r="66" spans="1:2" ht="15.75" customHeight="1">
      <c r="A66" s="1">
        <v>151</v>
      </c>
      <c r="B66" s="1" t="s">
        <v>102</v>
      </c>
    </row>
    <row r="67" spans="1:2" ht="15.75" customHeight="1">
      <c r="A67" s="1">
        <v>152</v>
      </c>
      <c r="B67" s="1" t="s">
        <v>124</v>
      </c>
    </row>
    <row r="68" spans="1:2" ht="15.75" customHeight="1">
      <c r="A68" s="1">
        <v>154</v>
      </c>
      <c r="B68" s="1" t="s">
        <v>125</v>
      </c>
    </row>
    <row r="69" spans="1:2" ht="15.75" customHeight="1">
      <c r="A69" s="1">
        <v>155</v>
      </c>
      <c r="B69" s="1" t="s">
        <v>108</v>
      </c>
    </row>
    <row r="70" spans="1:2" ht="15.75" customHeight="1">
      <c r="A70" s="1">
        <v>156</v>
      </c>
      <c r="B70" s="1" t="s">
        <v>126</v>
      </c>
    </row>
    <row r="71" spans="1:2" ht="15.75" customHeight="1">
      <c r="A71" s="1">
        <v>170</v>
      </c>
      <c r="B71" s="1" t="s">
        <v>127</v>
      </c>
    </row>
    <row r="72" spans="1:2" ht="15.75" customHeight="1">
      <c r="A72" s="1">
        <v>174</v>
      </c>
      <c r="B72" s="1" t="s">
        <v>128</v>
      </c>
    </row>
    <row r="73" spans="1:2" ht="15.75" customHeight="1">
      <c r="A73" s="1">
        <v>175</v>
      </c>
      <c r="B73" s="1" t="s">
        <v>129</v>
      </c>
    </row>
    <row r="74" spans="1:2" ht="15.75" customHeight="1">
      <c r="A74" s="1">
        <v>178</v>
      </c>
      <c r="B74" s="1" t="s">
        <v>130</v>
      </c>
    </row>
    <row r="75" spans="1:2" ht="15.75" customHeight="1">
      <c r="A75" s="1">
        <v>180</v>
      </c>
      <c r="B75" s="1" t="s">
        <v>131</v>
      </c>
    </row>
    <row r="76" spans="1:2" ht="15.75" customHeight="1">
      <c r="A76" s="1">
        <v>184</v>
      </c>
      <c r="B76" s="1" t="s">
        <v>132</v>
      </c>
    </row>
    <row r="77" spans="1:2" ht="15.75" customHeight="1">
      <c r="A77" s="1">
        <v>188</v>
      </c>
      <c r="B77" s="1" t="s">
        <v>133</v>
      </c>
    </row>
    <row r="78" spans="1:2" ht="15.75" customHeight="1">
      <c r="A78" s="1">
        <v>191</v>
      </c>
      <c r="B78" s="1" t="s">
        <v>134</v>
      </c>
    </row>
    <row r="79" spans="1:2" ht="15.75" customHeight="1">
      <c r="A79" s="1">
        <v>192</v>
      </c>
      <c r="B79" s="1" t="s">
        <v>135</v>
      </c>
    </row>
    <row r="80" spans="1:2" ht="15.75" customHeight="1">
      <c r="A80" s="1">
        <v>196</v>
      </c>
      <c r="B80" s="1" t="s">
        <v>136</v>
      </c>
    </row>
    <row r="81" spans="1:2" ht="15.75" customHeight="1">
      <c r="A81" s="1">
        <v>203</v>
      </c>
      <c r="B81" s="1" t="s">
        <v>137</v>
      </c>
    </row>
    <row r="82" spans="1:2" ht="15.75" customHeight="1">
      <c r="A82" s="1">
        <v>204</v>
      </c>
      <c r="B82" s="1" t="s">
        <v>138</v>
      </c>
    </row>
    <row r="83" spans="1:2" ht="15.75" customHeight="1">
      <c r="A83" s="1">
        <v>208</v>
      </c>
      <c r="B83" s="1" t="s">
        <v>139</v>
      </c>
    </row>
    <row r="84" spans="1:2" ht="15.75" customHeight="1">
      <c r="A84" s="1">
        <v>212</v>
      </c>
      <c r="B84" s="1" t="s">
        <v>140</v>
      </c>
    </row>
    <row r="85" spans="1:2" ht="15.75" customHeight="1">
      <c r="A85" s="1">
        <v>214</v>
      </c>
      <c r="B85" s="1" t="s">
        <v>141</v>
      </c>
    </row>
    <row r="86" spans="1:2" ht="15.75" customHeight="1">
      <c r="A86" s="1">
        <v>218</v>
      </c>
      <c r="B86" s="1" t="s">
        <v>142</v>
      </c>
    </row>
    <row r="87" spans="1:2" ht="15.75" customHeight="1">
      <c r="A87" s="1">
        <v>222</v>
      </c>
      <c r="B87" s="1" t="s">
        <v>143</v>
      </c>
    </row>
    <row r="88" spans="1:2" ht="15.75" customHeight="1">
      <c r="A88" s="1">
        <v>226</v>
      </c>
      <c r="B88" s="1" t="s">
        <v>144</v>
      </c>
    </row>
    <row r="89" spans="1:2" ht="15.75" customHeight="1">
      <c r="A89" s="1">
        <v>231</v>
      </c>
      <c r="B89" s="1" t="s">
        <v>145</v>
      </c>
    </row>
    <row r="90" spans="1:2" ht="15.75" customHeight="1">
      <c r="A90" s="1">
        <v>232</v>
      </c>
      <c r="B90" s="1" t="s">
        <v>146</v>
      </c>
    </row>
    <row r="91" spans="1:2" ht="15.75" customHeight="1">
      <c r="A91" s="1">
        <v>233</v>
      </c>
      <c r="B91" s="1" t="s">
        <v>147</v>
      </c>
    </row>
    <row r="92" spans="1:2" ht="15.75" customHeight="1">
      <c r="A92" s="1">
        <v>234</v>
      </c>
      <c r="B92" s="1" t="s">
        <v>148</v>
      </c>
    </row>
    <row r="93" spans="1:2" ht="15.75" customHeight="1">
      <c r="A93" s="1">
        <v>238</v>
      </c>
      <c r="B93" s="1" t="s">
        <v>149</v>
      </c>
    </row>
    <row r="94" spans="1:2" ht="15.75" customHeight="1">
      <c r="A94" s="1">
        <v>242</v>
      </c>
      <c r="B94" s="1" t="s">
        <v>150</v>
      </c>
    </row>
    <row r="95" spans="1:2" ht="15.75" customHeight="1">
      <c r="A95" s="1">
        <v>246</v>
      </c>
      <c r="B95" s="1" t="s">
        <v>151</v>
      </c>
    </row>
    <row r="96" spans="1:2" ht="15.75" customHeight="1">
      <c r="A96" s="1">
        <v>248</v>
      </c>
      <c r="B96" s="1" t="s">
        <v>152</v>
      </c>
    </row>
    <row r="97" spans="1:2" ht="15.75" customHeight="1">
      <c r="A97" s="1">
        <v>250</v>
      </c>
      <c r="B97" s="1" t="s">
        <v>153</v>
      </c>
    </row>
    <row r="98" spans="1:2" ht="15.75" customHeight="1">
      <c r="A98" s="1">
        <v>254</v>
      </c>
      <c r="B98" s="1" t="s">
        <v>154</v>
      </c>
    </row>
    <row r="99" spans="1:2" ht="15.75" customHeight="1">
      <c r="A99" s="1">
        <v>258</v>
      </c>
      <c r="B99" s="1" t="s">
        <v>155</v>
      </c>
    </row>
    <row r="100" spans="1:2" ht="15.75" customHeight="1">
      <c r="A100" s="1">
        <v>262</v>
      </c>
      <c r="B100" s="1" t="s">
        <v>156</v>
      </c>
    </row>
    <row r="101" spans="1:2" ht="15.75" customHeight="1">
      <c r="A101" s="1">
        <v>266</v>
      </c>
      <c r="B101" s="1" t="s">
        <v>157</v>
      </c>
    </row>
    <row r="102" spans="1:2" ht="15.75" customHeight="1">
      <c r="A102" s="1">
        <v>268</v>
      </c>
      <c r="B102" s="1" t="s">
        <v>159</v>
      </c>
    </row>
    <row r="103" spans="1:2" ht="15.75" customHeight="1">
      <c r="A103" s="1">
        <v>270</v>
      </c>
      <c r="B103" s="1" t="s">
        <v>161</v>
      </c>
    </row>
    <row r="104" spans="1:2" ht="15.75" customHeight="1">
      <c r="A104" s="1">
        <v>275</v>
      </c>
      <c r="B104" s="1" t="s">
        <v>162</v>
      </c>
    </row>
    <row r="105" spans="1:2" ht="15.75" customHeight="1">
      <c r="A105" s="1">
        <v>276</v>
      </c>
      <c r="B105" s="1" t="s">
        <v>163</v>
      </c>
    </row>
    <row r="106" spans="1:2" ht="15.75" customHeight="1">
      <c r="A106" s="1">
        <v>288</v>
      </c>
      <c r="B106" s="1" t="s">
        <v>164</v>
      </c>
    </row>
    <row r="107" spans="1:2" ht="15.75" customHeight="1">
      <c r="A107" s="1">
        <v>292</v>
      </c>
      <c r="B107" s="1" t="s">
        <v>165</v>
      </c>
    </row>
    <row r="108" spans="1:2" ht="15.75" customHeight="1">
      <c r="A108" s="1">
        <v>296</v>
      </c>
      <c r="B108" s="1" t="s">
        <v>166</v>
      </c>
    </row>
    <row r="109" spans="1:2" ht="15.75" customHeight="1">
      <c r="A109" s="1">
        <v>300</v>
      </c>
      <c r="B109" s="1" t="s">
        <v>167</v>
      </c>
    </row>
    <row r="110" spans="1:2" ht="15.75" customHeight="1">
      <c r="A110" s="1">
        <v>304</v>
      </c>
      <c r="B110" s="1" t="s">
        <v>168</v>
      </c>
    </row>
    <row r="111" spans="1:2" ht="15.75" customHeight="1">
      <c r="A111" s="1">
        <v>308</v>
      </c>
      <c r="B111" s="1" t="s">
        <v>169</v>
      </c>
    </row>
    <row r="112" spans="1:2" ht="15.75" customHeight="1">
      <c r="A112" s="1">
        <v>312</v>
      </c>
      <c r="B112" s="1" t="s">
        <v>170</v>
      </c>
    </row>
    <row r="113" spans="1:2" ht="15.75" customHeight="1">
      <c r="A113" s="1">
        <v>316</v>
      </c>
      <c r="B113" s="1" t="s">
        <v>171</v>
      </c>
    </row>
    <row r="114" spans="1:2" ht="15.75" customHeight="1">
      <c r="A114" s="1">
        <v>320</v>
      </c>
      <c r="B114" s="1" t="s">
        <v>172</v>
      </c>
    </row>
    <row r="115" spans="1:2" ht="15.75" customHeight="1">
      <c r="A115" s="1">
        <v>324</v>
      </c>
      <c r="B115" s="1" t="s">
        <v>173</v>
      </c>
    </row>
    <row r="116" spans="1:2" ht="15.75" customHeight="1">
      <c r="A116" s="1">
        <v>328</v>
      </c>
      <c r="B116" s="1" t="s">
        <v>174</v>
      </c>
    </row>
    <row r="117" spans="1:2" ht="15.75" customHeight="1">
      <c r="A117" s="1">
        <v>332</v>
      </c>
      <c r="B117" s="1" t="s">
        <v>175</v>
      </c>
    </row>
    <row r="118" spans="1:2" ht="15.75" customHeight="1">
      <c r="A118" s="1">
        <v>336</v>
      </c>
      <c r="B118" s="1" t="s">
        <v>176</v>
      </c>
    </row>
    <row r="119" spans="1:2" ht="15.75" customHeight="1">
      <c r="A119" s="1">
        <v>340</v>
      </c>
      <c r="B119" s="1" t="s">
        <v>179</v>
      </c>
    </row>
    <row r="120" spans="1:2" ht="15.75" customHeight="1">
      <c r="A120" s="1">
        <v>344</v>
      </c>
      <c r="B120" s="1" t="s">
        <v>184</v>
      </c>
    </row>
    <row r="121" spans="1:2" ht="15.75" customHeight="1">
      <c r="A121" s="1">
        <v>348</v>
      </c>
      <c r="B121" s="1" t="s">
        <v>186</v>
      </c>
    </row>
    <row r="122" spans="1:2" ht="15.75" customHeight="1">
      <c r="A122" s="1">
        <v>352</v>
      </c>
      <c r="B122" s="1" t="s">
        <v>188</v>
      </c>
    </row>
    <row r="123" spans="1:2" ht="15.75" customHeight="1">
      <c r="A123" s="1">
        <v>356</v>
      </c>
      <c r="B123" s="1" t="s">
        <v>191</v>
      </c>
    </row>
    <row r="124" spans="1:2" ht="15.75" customHeight="1">
      <c r="A124" s="1">
        <v>360</v>
      </c>
      <c r="B124" s="1" t="s">
        <v>192</v>
      </c>
    </row>
    <row r="125" spans="1:2" ht="15.75" customHeight="1">
      <c r="A125" s="1">
        <v>364</v>
      </c>
      <c r="B125" s="1" t="s">
        <v>194</v>
      </c>
    </row>
    <row r="126" spans="1:2" ht="15.75" customHeight="1">
      <c r="A126" s="1">
        <v>368</v>
      </c>
      <c r="B126" s="1" t="s">
        <v>197</v>
      </c>
    </row>
    <row r="127" spans="1:2" ht="15.75" customHeight="1">
      <c r="A127" s="1">
        <v>372</v>
      </c>
      <c r="B127" s="1" t="s">
        <v>199</v>
      </c>
    </row>
    <row r="128" spans="1:2" ht="15.75" customHeight="1">
      <c r="A128" s="1">
        <v>376</v>
      </c>
      <c r="B128" s="1" t="s">
        <v>200</v>
      </c>
    </row>
    <row r="129" spans="1:2" ht="15.75" customHeight="1">
      <c r="A129" s="1">
        <v>380</v>
      </c>
      <c r="B129" s="1" t="s">
        <v>201</v>
      </c>
    </row>
    <row r="130" spans="1:2" ht="15.75" customHeight="1">
      <c r="A130" s="1">
        <v>384</v>
      </c>
      <c r="B130" s="1" t="s">
        <v>202</v>
      </c>
    </row>
    <row r="131" spans="1:2" ht="15.75" customHeight="1">
      <c r="A131" s="1">
        <v>388</v>
      </c>
      <c r="B131" s="1" t="s">
        <v>203</v>
      </c>
    </row>
    <row r="132" spans="1:2" ht="15.75" customHeight="1">
      <c r="A132" s="1">
        <v>392</v>
      </c>
      <c r="B132" s="1" t="s">
        <v>204</v>
      </c>
    </row>
    <row r="133" spans="1:2" ht="15.75" customHeight="1">
      <c r="A133" s="1">
        <v>398</v>
      </c>
      <c r="B133" s="1" t="s">
        <v>205</v>
      </c>
    </row>
    <row r="134" spans="1:2" ht="15.75" customHeight="1">
      <c r="A134" s="1">
        <v>400</v>
      </c>
      <c r="B134" s="1" t="s">
        <v>206</v>
      </c>
    </row>
    <row r="135" spans="1:2" ht="15.75" customHeight="1">
      <c r="A135" s="1">
        <v>404</v>
      </c>
      <c r="B135" s="1" t="s">
        <v>207</v>
      </c>
    </row>
    <row r="136" spans="1:2" ht="15.75" customHeight="1">
      <c r="A136" s="1">
        <v>408</v>
      </c>
      <c r="B136" s="1" t="s">
        <v>208</v>
      </c>
    </row>
    <row r="137" spans="1:2" ht="15.75" customHeight="1">
      <c r="A137" s="1">
        <v>410</v>
      </c>
      <c r="B137" s="1" t="s">
        <v>210</v>
      </c>
    </row>
    <row r="138" spans="1:2" ht="15.75" customHeight="1">
      <c r="A138" s="1">
        <v>414</v>
      </c>
      <c r="B138" s="1" t="s">
        <v>211</v>
      </c>
    </row>
    <row r="139" spans="1:2" ht="15.75" customHeight="1">
      <c r="A139" s="1">
        <v>417</v>
      </c>
      <c r="B139" s="1" t="s">
        <v>213</v>
      </c>
    </row>
    <row r="140" spans="1:2" ht="15.75" customHeight="1">
      <c r="A140" s="1">
        <v>418</v>
      </c>
      <c r="B140" s="1" t="s">
        <v>216</v>
      </c>
    </row>
    <row r="141" spans="1:2" ht="15.75" customHeight="1">
      <c r="A141" s="1">
        <v>419</v>
      </c>
      <c r="B141" s="1" t="s">
        <v>217</v>
      </c>
    </row>
    <row r="142" spans="1:2" ht="15.75" customHeight="1">
      <c r="A142" s="1">
        <v>422</v>
      </c>
      <c r="B142" s="1" t="s">
        <v>218</v>
      </c>
    </row>
    <row r="143" spans="1:2" ht="15.75" customHeight="1">
      <c r="A143" s="1">
        <v>426</v>
      </c>
      <c r="B143" s="1" t="s">
        <v>219</v>
      </c>
    </row>
    <row r="144" spans="1:2" ht="15.75" customHeight="1">
      <c r="A144" s="1">
        <v>428</v>
      </c>
      <c r="B144" s="1" t="s">
        <v>220</v>
      </c>
    </row>
    <row r="145" spans="1:2" ht="15.75" customHeight="1">
      <c r="A145" s="1">
        <v>430</v>
      </c>
      <c r="B145" s="1" t="s">
        <v>221</v>
      </c>
    </row>
    <row r="146" spans="1:2" ht="15.75" customHeight="1">
      <c r="A146" s="1">
        <v>434</v>
      </c>
      <c r="B146" s="1" t="s">
        <v>222</v>
      </c>
    </row>
    <row r="147" spans="1:2" ht="15.75" customHeight="1">
      <c r="A147" s="1">
        <v>438</v>
      </c>
      <c r="B147" s="1" t="s">
        <v>223</v>
      </c>
    </row>
    <row r="148" spans="1:2" ht="15.75" customHeight="1">
      <c r="A148" s="1">
        <v>440</v>
      </c>
      <c r="B148" s="1" t="s">
        <v>224</v>
      </c>
    </row>
    <row r="149" spans="1:2" ht="15.75" customHeight="1">
      <c r="A149" s="1">
        <v>442</v>
      </c>
      <c r="B149" s="1" t="s">
        <v>225</v>
      </c>
    </row>
    <row r="150" spans="1:2" ht="15.75" customHeight="1">
      <c r="A150" s="1">
        <v>446</v>
      </c>
      <c r="B150" s="1" t="s">
        <v>226</v>
      </c>
    </row>
    <row r="151" spans="1:2" ht="15.75" customHeight="1">
      <c r="A151" s="1">
        <v>450</v>
      </c>
      <c r="B151" s="1" t="s">
        <v>227</v>
      </c>
    </row>
    <row r="152" spans="1:2" ht="15.75" customHeight="1">
      <c r="A152" s="1">
        <v>454</v>
      </c>
      <c r="B152" s="1" t="s">
        <v>228</v>
      </c>
    </row>
    <row r="153" spans="1:2" ht="15.75" customHeight="1">
      <c r="A153" s="1">
        <v>458</v>
      </c>
      <c r="B153" s="1" t="s">
        <v>229</v>
      </c>
    </row>
    <row r="154" spans="1:2" ht="15.75" customHeight="1">
      <c r="A154" s="1">
        <v>462</v>
      </c>
      <c r="B154" s="1" t="s">
        <v>230</v>
      </c>
    </row>
    <row r="155" spans="1:2" ht="15.75" customHeight="1">
      <c r="A155" s="1">
        <v>466</v>
      </c>
      <c r="B155" s="1" t="s">
        <v>231</v>
      </c>
    </row>
    <row r="156" spans="1:2" ht="15.75" customHeight="1">
      <c r="A156" s="1">
        <v>470</v>
      </c>
      <c r="B156" s="1" t="s">
        <v>232</v>
      </c>
    </row>
    <row r="157" spans="1:2" ht="15.75" customHeight="1">
      <c r="A157" s="1">
        <v>474</v>
      </c>
      <c r="B157" s="1" t="s">
        <v>233</v>
      </c>
    </row>
    <row r="158" spans="1:2" ht="15.75" customHeight="1">
      <c r="A158" s="1">
        <v>478</v>
      </c>
      <c r="B158" s="1" t="s">
        <v>234</v>
      </c>
    </row>
    <row r="159" spans="1:2" ht="15.75" customHeight="1">
      <c r="A159" s="1">
        <v>480</v>
      </c>
      <c r="B159" s="1" t="s">
        <v>235</v>
      </c>
    </row>
    <row r="160" spans="1:2" ht="15.75" customHeight="1">
      <c r="A160" s="1">
        <v>484</v>
      </c>
      <c r="B160" s="1" t="s">
        <v>236</v>
      </c>
    </row>
    <row r="161" spans="1:2" ht="15.75" customHeight="1">
      <c r="A161" s="1">
        <v>492</v>
      </c>
      <c r="B161" s="1" t="s">
        <v>237</v>
      </c>
    </row>
    <row r="162" spans="1:2" ht="15.75" customHeight="1">
      <c r="A162" s="1">
        <v>496</v>
      </c>
      <c r="B162" s="1" t="s">
        <v>238</v>
      </c>
    </row>
    <row r="163" spans="1:2" ht="15.75" customHeight="1">
      <c r="A163" s="1">
        <v>498</v>
      </c>
      <c r="B163" s="1" t="s">
        <v>240</v>
      </c>
    </row>
    <row r="164" spans="1:2" ht="15.75" customHeight="1">
      <c r="A164" s="1">
        <v>499</v>
      </c>
      <c r="B164" s="1" t="s">
        <v>241</v>
      </c>
    </row>
    <row r="165" spans="1:2" ht="15.75" customHeight="1">
      <c r="A165" s="1">
        <v>500</v>
      </c>
      <c r="B165" s="1" t="s">
        <v>242</v>
      </c>
    </row>
    <row r="166" spans="1:2" ht="15.75" customHeight="1">
      <c r="A166" s="1">
        <v>504</v>
      </c>
      <c r="B166" s="1" t="s">
        <v>243</v>
      </c>
    </row>
    <row r="167" spans="1:2" ht="15.75" customHeight="1">
      <c r="A167" s="1">
        <v>508</v>
      </c>
      <c r="B167" s="1" t="s">
        <v>245</v>
      </c>
    </row>
    <row r="168" spans="1:2" ht="15.75" customHeight="1">
      <c r="A168" s="1">
        <v>512</v>
      </c>
      <c r="B168" s="1" t="s">
        <v>246</v>
      </c>
    </row>
    <row r="169" spans="1:2" ht="15.75" customHeight="1">
      <c r="A169" s="1">
        <v>516</v>
      </c>
      <c r="B169" s="1" t="s">
        <v>248</v>
      </c>
    </row>
    <row r="170" spans="1:2" ht="15.75" customHeight="1">
      <c r="A170" s="1">
        <v>520</v>
      </c>
      <c r="B170" s="1" t="s">
        <v>249</v>
      </c>
    </row>
    <row r="171" spans="1:2" ht="15.75" customHeight="1">
      <c r="A171" s="1">
        <v>524</v>
      </c>
      <c r="B171" s="1" t="s">
        <v>250</v>
      </c>
    </row>
    <row r="172" spans="1:2" ht="15.75" customHeight="1">
      <c r="A172" s="1">
        <v>528</v>
      </c>
      <c r="B172" s="1" t="s">
        <v>251</v>
      </c>
    </row>
    <row r="173" spans="1:2" ht="15.75" customHeight="1">
      <c r="A173" s="1">
        <v>531</v>
      </c>
      <c r="B173" s="1" t="s">
        <v>252</v>
      </c>
    </row>
    <row r="174" spans="1:2" ht="15.75" customHeight="1">
      <c r="A174" s="1">
        <v>533</v>
      </c>
      <c r="B174" s="1" t="s">
        <v>253</v>
      </c>
    </row>
    <row r="175" spans="1:2" ht="15.75" customHeight="1">
      <c r="A175" s="1">
        <v>534</v>
      </c>
      <c r="B175" s="1" t="s">
        <v>254</v>
      </c>
    </row>
    <row r="176" spans="1:2" ht="15.75" customHeight="1">
      <c r="A176" s="1">
        <v>535</v>
      </c>
      <c r="B176" s="1" t="s">
        <v>255</v>
      </c>
    </row>
    <row r="177" spans="1:2" ht="15.75" customHeight="1">
      <c r="A177" s="1">
        <v>540</v>
      </c>
      <c r="B177" s="1" t="s">
        <v>257</v>
      </c>
    </row>
    <row r="178" spans="1:2" ht="15.75" customHeight="1">
      <c r="A178" s="1">
        <v>548</v>
      </c>
      <c r="B178" s="1" t="s">
        <v>258</v>
      </c>
    </row>
    <row r="179" spans="1:2" ht="15.75" customHeight="1">
      <c r="A179" s="1">
        <v>554</v>
      </c>
      <c r="B179" s="1" t="s">
        <v>260</v>
      </c>
    </row>
    <row r="180" spans="1:2" ht="15.75" customHeight="1">
      <c r="A180" s="1">
        <v>558</v>
      </c>
      <c r="B180" s="1" t="s">
        <v>261</v>
      </c>
    </row>
    <row r="181" spans="1:2" ht="15.75" customHeight="1">
      <c r="A181" s="1">
        <v>562</v>
      </c>
      <c r="B181" s="1" t="s">
        <v>262</v>
      </c>
    </row>
    <row r="182" spans="1:2" ht="15.75" customHeight="1">
      <c r="A182" s="1">
        <v>566</v>
      </c>
      <c r="B182" s="1" t="s">
        <v>263</v>
      </c>
    </row>
    <row r="183" spans="1:2" ht="15.75" customHeight="1">
      <c r="A183" s="1">
        <v>570</v>
      </c>
      <c r="B183" s="1" t="s">
        <v>264</v>
      </c>
    </row>
    <row r="184" spans="1:2" ht="15.75" customHeight="1">
      <c r="A184" s="1">
        <v>574</v>
      </c>
      <c r="B184" s="1" t="s">
        <v>265</v>
      </c>
    </row>
    <row r="185" spans="1:2" ht="15.75" customHeight="1">
      <c r="A185" s="1">
        <v>578</v>
      </c>
      <c r="B185" s="1" t="s">
        <v>266</v>
      </c>
    </row>
    <row r="186" spans="1:2" ht="15.75" customHeight="1">
      <c r="A186" s="1">
        <v>580</v>
      </c>
      <c r="B186" s="1" t="s">
        <v>267</v>
      </c>
    </row>
    <row r="187" spans="1:2" ht="15.75" customHeight="1">
      <c r="A187" s="1">
        <v>583</v>
      </c>
      <c r="B187" s="1" t="s">
        <v>268</v>
      </c>
    </row>
    <row r="188" spans="1:2" ht="15.75" customHeight="1">
      <c r="A188" s="1">
        <v>584</v>
      </c>
      <c r="B188" s="1" t="s">
        <v>269</v>
      </c>
    </row>
    <row r="189" spans="1:2" ht="15.75" customHeight="1">
      <c r="A189" s="1">
        <v>585</v>
      </c>
      <c r="B189" s="1" t="s">
        <v>270</v>
      </c>
    </row>
    <row r="190" spans="1:2" ht="15.75" customHeight="1">
      <c r="A190" s="1">
        <v>586</v>
      </c>
      <c r="B190" s="1" t="s">
        <v>271</v>
      </c>
    </row>
    <row r="191" spans="1:2" ht="15.75" customHeight="1">
      <c r="A191" s="1">
        <v>591</v>
      </c>
      <c r="B191" s="1" t="s">
        <v>272</v>
      </c>
    </row>
    <row r="192" spans="1:2" ht="15.75" customHeight="1">
      <c r="A192" s="1">
        <v>598</v>
      </c>
      <c r="B192" s="1" t="s">
        <v>273</v>
      </c>
    </row>
    <row r="193" spans="1:2" ht="15.75" customHeight="1">
      <c r="A193" s="1">
        <v>600</v>
      </c>
      <c r="B193" s="1" t="s">
        <v>274</v>
      </c>
    </row>
    <row r="194" spans="1:2" ht="15.75" customHeight="1">
      <c r="A194" s="1">
        <v>604</v>
      </c>
      <c r="B194" s="1" t="s">
        <v>275</v>
      </c>
    </row>
    <row r="195" spans="1:2" ht="15.75" customHeight="1">
      <c r="A195" s="1">
        <v>608</v>
      </c>
      <c r="B195" s="1" t="s">
        <v>276</v>
      </c>
    </row>
    <row r="196" spans="1:2" ht="15.75" customHeight="1">
      <c r="A196" s="1">
        <v>612</v>
      </c>
      <c r="B196" s="1" t="s">
        <v>277</v>
      </c>
    </row>
    <row r="197" spans="1:2" ht="15.75" customHeight="1">
      <c r="A197" s="1">
        <v>616</v>
      </c>
      <c r="B197" s="1" t="s">
        <v>278</v>
      </c>
    </row>
    <row r="198" spans="1:2" ht="15.75" customHeight="1">
      <c r="A198" s="1">
        <v>620</v>
      </c>
      <c r="B198" s="1" t="s">
        <v>279</v>
      </c>
    </row>
    <row r="199" spans="1:2" ht="15.75" customHeight="1">
      <c r="A199" s="1">
        <v>624</v>
      </c>
      <c r="B199" s="1" t="s">
        <v>280</v>
      </c>
    </row>
    <row r="200" spans="1:2" ht="15.75" customHeight="1">
      <c r="A200" s="1">
        <v>624</v>
      </c>
      <c r="B200" s="1" t="s">
        <v>281</v>
      </c>
    </row>
    <row r="201" spans="1:2" ht="15.75" customHeight="1">
      <c r="A201" s="1">
        <v>626</v>
      </c>
      <c r="B201" s="1" t="s">
        <v>282</v>
      </c>
    </row>
    <row r="202" spans="1:2" ht="15.75" customHeight="1">
      <c r="A202" s="1">
        <v>630</v>
      </c>
      <c r="B202" s="1" t="s">
        <v>283</v>
      </c>
    </row>
    <row r="203" spans="1:2" ht="15.75" customHeight="1">
      <c r="A203" s="1">
        <v>634</v>
      </c>
      <c r="B203" s="1" t="s">
        <v>284</v>
      </c>
    </row>
    <row r="204" spans="1:2" ht="15.75" customHeight="1">
      <c r="A204" s="1">
        <v>638</v>
      </c>
      <c r="B204" s="1" t="s">
        <v>285</v>
      </c>
    </row>
    <row r="205" spans="1:2" ht="15.75" customHeight="1">
      <c r="A205" s="1">
        <v>642</v>
      </c>
      <c r="B205" s="1" t="s">
        <v>286</v>
      </c>
    </row>
    <row r="206" spans="1:2" ht="15.75" customHeight="1">
      <c r="A206" s="1">
        <v>643</v>
      </c>
      <c r="B206" s="1" t="s">
        <v>287</v>
      </c>
    </row>
    <row r="207" spans="1:2" ht="15.75" customHeight="1">
      <c r="A207" s="1">
        <v>646</v>
      </c>
      <c r="B207" s="1" t="s">
        <v>289</v>
      </c>
    </row>
    <row r="208" spans="1:2" ht="15.75" customHeight="1">
      <c r="A208" s="1">
        <v>652</v>
      </c>
      <c r="B208" s="1" t="s">
        <v>290</v>
      </c>
    </row>
    <row r="209" spans="1:2" ht="15.75" customHeight="1">
      <c r="A209" s="1">
        <v>654</v>
      </c>
      <c r="B209" s="1" t="s">
        <v>291</v>
      </c>
    </row>
    <row r="210" spans="1:2" ht="15.75" customHeight="1">
      <c r="A210" s="1">
        <v>659</v>
      </c>
      <c r="B210" s="1" t="s">
        <v>292</v>
      </c>
    </row>
    <row r="211" spans="1:2" ht="15.75" customHeight="1">
      <c r="A211" s="1">
        <v>660</v>
      </c>
      <c r="B211" s="1" t="s">
        <v>293</v>
      </c>
    </row>
    <row r="212" spans="1:2" ht="15.75" customHeight="1">
      <c r="A212" s="1">
        <v>662</v>
      </c>
      <c r="B212" s="1" t="s">
        <v>294</v>
      </c>
    </row>
    <row r="213" spans="1:2" ht="15.75" customHeight="1">
      <c r="A213" s="1">
        <v>663</v>
      </c>
      <c r="B213" s="1" t="s">
        <v>295</v>
      </c>
    </row>
    <row r="214" spans="1:2" ht="15.75" customHeight="1">
      <c r="A214" s="1">
        <v>666</v>
      </c>
      <c r="B214" s="1" t="s">
        <v>296</v>
      </c>
    </row>
    <row r="215" spans="1:2" ht="15.75" customHeight="1">
      <c r="A215" s="1">
        <v>670</v>
      </c>
      <c r="B215" s="1" t="s">
        <v>297</v>
      </c>
    </row>
    <row r="216" spans="1:2" ht="15.75" customHeight="1">
      <c r="A216" s="1">
        <v>674</v>
      </c>
      <c r="B216" s="1" t="s">
        <v>298</v>
      </c>
    </row>
    <row r="217" spans="1:2" ht="15.75" customHeight="1">
      <c r="A217" s="1">
        <v>678</v>
      </c>
      <c r="B217" s="1" t="s">
        <v>299</v>
      </c>
    </row>
    <row r="218" spans="1:2" ht="15.75" customHeight="1">
      <c r="A218" s="1">
        <v>680</v>
      </c>
      <c r="B218" s="1" t="s">
        <v>300</v>
      </c>
    </row>
    <row r="219" spans="1:2" ht="15.75" customHeight="1">
      <c r="A219" s="1">
        <v>682</v>
      </c>
      <c r="B219" s="1" t="s">
        <v>301</v>
      </c>
    </row>
    <row r="220" spans="1:2" ht="15.75" customHeight="1">
      <c r="A220" s="1">
        <v>686</v>
      </c>
      <c r="B220" s="1" t="s">
        <v>303</v>
      </c>
    </row>
    <row r="221" spans="1:2" ht="15.75" customHeight="1">
      <c r="A221" s="1">
        <v>688</v>
      </c>
      <c r="B221" s="1" t="s">
        <v>304</v>
      </c>
    </row>
    <row r="222" spans="1:2" ht="15.75" customHeight="1">
      <c r="A222" s="1">
        <v>690</v>
      </c>
      <c r="B222" s="1" t="s">
        <v>306</v>
      </c>
    </row>
    <row r="223" spans="1:2" ht="15.75" customHeight="1">
      <c r="A223" s="1">
        <v>694</v>
      </c>
      <c r="B223" s="1" t="s">
        <v>308</v>
      </c>
    </row>
    <row r="224" spans="1:2" ht="15.75" customHeight="1">
      <c r="A224" s="1">
        <v>702</v>
      </c>
      <c r="B224" s="1" t="s">
        <v>310</v>
      </c>
    </row>
    <row r="225" spans="1:2" ht="15.75" customHeight="1">
      <c r="A225" s="1">
        <v>703</v>
      </c>
      <c r="B225" s="1" t="s">
        <v>311</v>
      </c>
    </row>
    <row r="226" spans="1:2" ht="15.75" customHeight="1">
      <c r="A226" s="1">
        <v>704</v>
      </c>
      <c r="B226" s="1" t="s">
        <v>313</v>
      </c>
    </row>
    <row r="227" spans="1:2" ht="15.75" customHeight="1">
      <c r="A227" s="1">
        <v>705</v>
      </c>
      <c r="B227" s="1" t="s">
        <v>314</v>
      </c>
    </row>
    <row r="228" spans="1:2" ht="15.75" customHeight="1">
      <c r="A228" s="1">
        <v>706</v>
      </c>
      <c r="B228" s="1" t="s">
        <v>315</v>
      </c>
    </row>
    <row r="229" spans="1:2" ht="15.75" customHeight="1">
      <c r="A229" s="1">
        <v>710</v>
      </c>
      <c r="B229" s="1" t="s">
        <v>316</v>
      </c>
    </row>
    <row r="230" spans="1:2" ht="15.75" customHeight="1">
      <c r="A230" s="1">
        <v>716</v>
      </c>
      <c r="B230" s="1" t="s">
        <v>317</v>
      </c>
    </row>
    <row r="231" spans="1:2" ht="15.75" customHeight="1">
      <c r="A231" s="1">
        <v>722</v>
      </c>
      <c r="B231" s="1" t="s">
        <v>318</v>
      </c>
    </row>
    <row r="232" spans="1:2" ht="15.75" customHeight="1">
      <c r="A232" s="1">
        <v>724</v>
      </c>
      <c r="B232" s="1" t="s">
        <v>319</v>
      </c>
    </row>
    <row r="233" spans="1:2" ht="15.75" customHeight="1">
      <c r="A233" s="1">
        <v>728</v>
      </c>
      <c r="B233" s="1" t="s">
        <v>320</v>
      </c>
    </row>
    <row r="234" spans="1:2" ht="15.75" customHeight="1">
      <c r="A234" s="1">
        <v>729</v>
      </c>
      <c r="B234" s="1" t="s">
        <v>321</v>
      </c>
    </row>
    <row r="235" spans="1:2" ht="15.75" customHeight="1">
      <c r="A235" s="1">
        <v>732</v>
      </c>
      <c r="B235" s="1" t="s">
        <v>322</v>
      </c>
    </row>
    <row r="236" spans="1:2" ht="15.75" customHeight="1">
      <c r="A236" s="1">
        <v>740</v>
      </c>
      <c r="B236" s="1" t="s">
        <v>323</v>
      </c>
    </row>
    <row r="237" spans="1:2" ht="15.75" customHeight="1">
      <c r="A237" s="1">
        <v>744</v>
      </c>
      <c r="B237" s="1" t="s">
        <v>324</v>
      </c>
    </row>
    <row r="238" spans="1:2" ht="15.75" customHeight="1">
      <c r="A238" s="1">
        <v>748</v>
      </c>
      <c r="B238" s="1" t="s">
        <v>325</v>
      </c>
    </row>
    <row r="239" spans="1:2" ht="15.75" customHeight="1">
      <c r="A239" s="1">
        <v>752</v>
      </c>
      <c r="B239" s="1" t="s">
        <v>326</v>
      </c>
    </row>
    <row r="240" spans="1:2" ht="15.75" customHeight="1">
      <c r="A240" s="1">
        <v>756</v>
      </c>
      <c r="B240" s="1" t="s">
        <v>327</v>
      </c>
    </row>
    <row r="241" spans="1:2" ht="15.75" customHeight="1">
      <c r="A241" s="1">
        <v>760</v>
      </c>
      <c r="B241" s="1" t="s">
        <v>328</v>
      </c>
    </row>
    <row r="242" spans="1:2" ht="15.75" customHeight="1">
      <c r="A242" s="1">
        <v>762</v>
      </c>
      <c r="B242" s="1" t="s">
        <v>329</v>
      </c>
    </row>
    <row r="243" spans="1:2" ht="15.75" customHeight="1">
      <c r="A243" s="1">
        <v>764</v>
      </c>
      <c r="B243" s="1" t="s">
        <v>330</v>
      </c>
    </row>
    <row r="244" spans="1:2" ht="15.75" customHeight="1">
      <c r="A244" s="1">
        <v>768</v>
      </c>
      <c r="B244" s="1" t="s">
        <v>331</v>
      </c>
    </row>
    <row r="245" spans="1:2" ht="15.75" customHeight="1">
      <c r="A245" s="1">
        <v>772</v>
      </c>
      <c r="B245" s="1" t="s">
        <v>332</v>
      </c>
    </row>
    <row r="246" spans="1:2" ht="15.75" customHeight="1">
      <c r="A246" s="1">
        <v>776</v>
      </c>
      <c r="B246" s="1" t="s">
        <v>334</v>
      </c>
    </row>
    <row r="247" spans="1:2" ht="15.75" customHeight="1">
      <c r="A247" s="1">
        <v>780</v>
      </c>
      <c r="B247" s="1" t="s">
        <v>335</v>
      </c>
    </row>
    <row r="248" spans="1:2" ht="15.75" customHeight="1">
      <c r="A248" s="1">
        <v>784</v>
      </c>
      <c r="B248" s="1" t="s">
        <v>336</v>
      </c>
    </row>
    <row r="249" spans="1:2" ht="15.75" customHeight="1">
      <c r="A249" s="1">
        <v>788</v>
      </c>
      <c r="B249" s="1" t="s">
        <v>337</v>
      </c>
    </row>
    <row r="250" spans="1:2" ht="15.75" customHeight="1">
      <c r="A250" s="1">
        <v>792</v>
      </c>
      <c r="B250" s="1" t="s">
        <v>338</v>
      </c>
    </row>
    <row r="251" spans="1:2" ht="15.75" customHeight="1">
      <c r="A251" s="1">
        <v>795</v>
      </c>
      <c r="B251" s="1" t="s">
        <v>340</v>
      </c>
    </row>
    <row r="252" spans="1:2" ht="15.75" customHeight="1">
      <c r="A252" s="1">
        <v>796</v>
      </c>
      <c r="B252" s="1" t="s">
        <v>342</v>
      </c>
    </row>
    <row r="253" spans="1:2" ht="15.75" customHeight="1">
      <c r="A253" s="1">
        <v>798</v>
      </c>
      <c r="B253" s="1" t="s">
        <v>343</v>
      </c>
    </row>
    <row r="254" spans="1:2" ht="15.75" customHeight="1">
      <c r="A254" s="1">
        <v>800</v>
      </c>
      <c r="B254" s="1" t="s">
        <v>344</v>
      </c>
    </row>
    <row r="255" spans="1:2" ht="15.75" customHeight="1">
      <c r="A255" s="1">
        <v>804</v>
      </c>
      <c r="B255" s="1" t="s">
        <v>345</v>
      </c>
    </row>
    <row r="256" spans="1:2" ht="15.75" customHeight="1">
      <c r="A256" s="1">
        <v>807</v>
      </c>
      <c r="B256" s="1" t="s">
        <v>346</v>
      </c>
    </row>
    <row r="257" spans="1:2" ht="15.75" customHeight="1">
      <c r="A257" s="1">
        <v>818</v>
      </c>
      <c r="B257" s="1" t="s">
        <v>348</v>
      </c>
    </row>
    <row r="258" spans="1:2" ht="15.75" customHeight="1">
      <c r="A258" s="1">
        <v>826</v>
      </c>
      <c r="B258" s="1" t="s">
        <v>349</v>
      </c>
    </row>
    <row r="259" spans="1:2" ht="15.75" customHeight="1">
      <c r="A259" s="1">
        <v>830</v>
      </c>
      <c r="B259" s="1" t="s">
        <v>351</v>
      </c>
    </row>
    <row r="260" spans="1:2" ht="15.75" customHeight="1">
      <c r="A260" s="1">
        <v>831</v>
      </c>
      <c r="B260" s="1" t="s">
        <v>353</v>
      </c>
    </row>
    <row r="261" spans="1:2" ht="15.75" customHeight="1">
      <c r="A261" s="1">
        <v>832</v>
      </c>
      <c r="B261" s="1" t="s">
        <v>355</v>
      </c>
    </row>
    <row r="262" spans="1:2" ht="15.75" customHeight="1">
      <c r="A262" s="1">
        <v>833</v>
      </c>
      <c r="B262" s="1" t="s">
        <v>357</v>
      </c>
    </row>
    <row r="263" spans="1:2" ht="15.75" customHeight="1">
      <c r="A263" s="1">
        <v>834</v>
      </c>
      <c r="B263" s="1" t="s">
        <v>358</v>
      </c>
    </row>
    <row r="264" spans="1:2" ht="15.75" customHeight="1">
      <c r="A264" s="1">
        <v>840</v>
      </c>
      <c r="B264" s="1" t="s">
        <v>359</v>
      </c>
    </row>
    <row r="265" spans="1:2" ht="15.75" customHeight="1">
      <c r="A265" s="1">
        <v>850</v>
      </c>
      <c r="B265" s="1" t="s">
        <v>360</v>
      </c>
    </row>
    <row r="266" spans="1:2" ht="15.75" customHeight="1">
      <c r="A266" s="1">
        <v>854</v>
      </c>
      <c r="B266" s="1" t="s">
        <v>361</v>
      </c>
    </row>
    <row r="267" spans="1:2" ht="15.75" customHeight="1">
      <c r="A267" s="1">
        <v>858</v>
      </c>
      <c r="B267" s="1" t="s">
        <v>362</v>
      </c>
    </row>
    <row r="268" spans="1:2" ht="15.75" customHeight="1">
      <c r="A268" s="1">
        <v>860</v>
      </c>
      <c r="B268" s="1" t="s">
        <v>363</v>
      </c>
    </row>
    <row r="269" spans="1:2" ht="15.75" customHeight="1">
      <c r="A269" s="1">
        <v>862</v>
      </c>
      <c r="B269" s="1" t="s">
        <v>365</v>
      </c>
    </row>
    <row r="270" spans="1:2" ht="15.75" customHeight="1">
      <c r="A270" s="1">
        <v>876</v>
      </c>
      <c r="B270" s="1" t="s">
        <v>366</v>
      </c>
    </row>
    <row r="271" spans="1:2" ht="15.75" customHeight="1">
      <c r="A271" s="1">
        <v>882</v>
      </c>
      <c r="B271" s="1" t="s">
        <v>367</v>
      </c>
    </row>
    <row r="272" spans="1:2" ht="15.75" customHeight="1">
      <c r="A272" s="1">
        <v>887</v>
      </c>
      <c r="B272" s="1" t="s">
        <v>368</v>
      </c>
    </row>
    <row r="273" spans="1:2" ht="15.75" customHeight="1">
      <c r="A273" s="1">
        <v>894</v>
      </c>
      <c r="B273" s="1" t="s">
        <v>369</v>
      </c>
    </row>
    <row r="274" spans="1:2" ht="15.75" customHeight="1"/>
    <row r="275" spans="1:2" ht="15.75" customHeight="1"/>
    <row r="276" spans="1:2" ht="15.75" customHeight="1"/>
    <row r="277" spans="1:2" ht="15.75" customHeight="1"/>
    <row r="278" spans="1:2" ht="15.75" customHeight="1"/>
    <row r="279" spans="1:2" ht="15.75" customHeight="1"/>
    <row r="280" spans="1:2" ht="15.75" customHeight="1"/>
    <row r="281" spans="1:2" ht="15.75" customHeight="1"/>
    <row r="282" spans="1:2" ht="15.75" customHeight="1"/>
    <row r="283" spans="1:2" ht="15.75" customHeight="1"/>
    <row r="284" spans="1:2" ht="15.75" customHeight="1"/>
    <row r="285" spans="1:2" ht="15.75" customHeight="1"/>
    <row r="286" spans="1:2" ht="15.75" customHeight="1"/>
    <row r="287" spans="1:2" ht="15.75" customHeight="1"/>
    <row r="288" spans="1:2"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0"/>
  <sheetViews>
    <sheetView topLeftCell="A326" workbookViewId="0">
      <selection activeCell="B361" sqref="B361"/>
    </sheetView>
  </sheetViews>
  <sheetFormatPr baseColWidth="10" defaultColWidth="17.33203125" defaultRowHeight="15" customHeight="1" x14ac:dyDescent="0"/>
  <cols>
    <col min="1" max="26" width="10.6640625" customWidth="1"/>
  </cols>
  <sheetData>
    <row r="1" spans="1:2" ht="30" customHeight="1">
      <c r="A1" s="2">
        <v>12</v>
      </c>
      <c r="B1" s="4" t="s">
        <v>50</v>
      </c>
    </row>
    <row r="2" spans="1:2" ht="30" customHeight="1">
      <c r="A2" s="2">
        <v>32</v>
      </c>
      <c r="B2" s="4" t="s">
        <v>53</v>
      </c>
    </row>
    <row r="3" spans="1:2" ht="30" customHeight="1">
      <c r="A3" s="2">
        <v>32</v>
      </c>
      <c r="B3" s="4" t="s">
        <v>53</v>
      </c>
    </row>
    <row r="4" spans="1:2" ht="30" customHeight="1">
      <c r="A4" s="2">
        <v>32</v>
      </c>
      <c r="B4" s="4" t="s">
        <v>53</v>
      </c>
    </row>
    <row r="5" spans="1:2" ht="30" customHeight="1">
      <c r="A5" s="2">
        <v>32</v>
      </c>
      <c r="B5" s="4" t="s">
        <v>53</v>
      </c>
    </row>
    <row r="6" spans="1:2" ht="12" customHeight="1">
      <c r="A6" s="2">
        <v>36</v>
      </c>
      <c r="B6" s="4" t="s">
        <v>55</v>
      </c>
    </row>
    <row r="7" spans="1:2" ht="12" customHeight="1">
      <c r="A7" s="2">
        <v>36</v>
      </c>
      <c r="B7" s="4" t="s">
        <v>55</v>
      </c>
    </row>
    <row r="8" spans="1:2" ht="12" customHeight="1">
      <c r="A8" s="2">
        <v>36</v>
      </c>
      <c r="B8" s="4" t="s">
        <v>55</v>
      </c>
    </row>
    <row r="9" spans="1:2" ht="12" customHeight="1">
      <c r="A9" s="2">
        <v>36</v>
      </c>
      <c r="B9" s="4" t="s">
        <v>55</v>
      </c>
    </row>
    <row r="10" spans="1:2" ht="12" customHeight="1">
      <c r="A10" s="2">
        <v>36</v>
      </c>
      <c r="B10" s="4" t="s">
        <v>55</v>
      </c>
    </row>
    <row r="11" spans="1:2" ht="12" customHeight="1">
      <c r="A11" s="2">
        <v>36</v>
      </c>
      <c r="B11" s="4" t="s">
        <v>55</v>
      </c>
    </row>
    <row r="12" spans="1:2" ht="12" customHeight="1">
      <c r="A12" s="2">
        <v>36</v>
      </c>
      <c r="B12" s="4" t="s">
        <v>55</v>
      </c>
    </row>
    <row r="13" spans="1:2" ht="12" customHeight="1">
      <c r="A13" s="2">
        <v>36</v>
      </c>
      <c r="B13" s="4" t="s">
        <v>55</v>
      </c>
    </row>
    <row r="14" spans="1:2" ht="12" customHeight="1">
      <c r="A14" s="2">
        <v>36</v>
      </c>
      <c r="B14" s="4" t="s">
        <v>55</v>
      </c>
    </row>
    <row r="15" spans="1:2" ht="12" customHeight="1">
      <c r="A15" s="2">
        <v>36</v>
      </c>
      <c r="B15" s="4" t="s">
        <v>55</v>
      </c>
    </row>
    <row r="16" spans="1:2" ht="12" customHeight="1">
      <c r="A16" s="2">
        <v>36</v>
      </c>
      <c r="B16" s="4" t="s">
        <v>55</v>
      </c>
    </row>
    <row r="17" spans="1:2" ht="12" customHeight="1">
      <c r="A17" s="2">
        <v>36</v>
      </c>
      <c r="B17" s="4" t="s">
        <v>55</v>
      </c>
    </row>
    <row r="18" spans="1:2" ht="12" customHeight="1">
      <c r="A18" s="2">
        <v>36</v>
      </c>
      <c r="B18" s="4" t="s">
        <v>55</v>
      </c>
    </row>
    <row r="19" spans="1:2" ht="12" customHeight="1">
      <c r="A19" s="2">
        <v>36</v>
      </c>
      <c r="B19" s="4" t="s">
        <v>55</v>
      </c>
    </row>
    <row r="20" spans="1:2" ht="12" customHeight="1">
      <c r="A20" s="2">
        <v>36</v>
      </c>
      <c r="B20" s="4" t="s">
        <v>55</v>
      </c>
    </row>
    <row r="21" spans="1:2" ht="12" customHeight="1">
      <c r="A21" s="2">
        <v>36</v>
      </c>
      <c r="B21" s="4" t="s">
        <v>55</v>
      </c>
    </row>
    <row r="22" spans="1:2" ht="12" customHeight="1">
      <c r="A22" s="2">
        <v>36</v>
      </c>
      <c r="B22" s="4" t="s">
        <v>55</v>
      </c>
    </row>
    <row r="23" spans="1:2" ht="12" customHeight="1">
      <c r="A23" s="2">
        <v>36</v>
      </c>
      <c r="B23" s="4" t="s">
        <v>55</v>
      </c>
    </row>
    <row r="24" spans="1:2" ht="12" customHeight="1">
      <c r="A24" s="2">
        <v>36</v>
      </c>
      <c r="B24" s="4" t="s">
        <v>55</v>
      </c>
    </row>
    <row r="25" spans="1:2" ht="12" customHeight="1">
      <c r="A25" s="2">
        <v>36</v>
      </c>
      <c r="B25" s="4" t="s">
        <v>55</v>
      </c>
    </row>
    <row r="26" spans="1:2" ht="12" customHeight="1">
      <c r="A26" s="2">
        <v>36</v>
      </c>
      <c r="B26" s="4" t="s">
        <v>55</v>
      </c>
    </row>
    <row r="27" spans="1:2" ht="12" customHeight="1">
      <c r="A27" s="2">
        <v>36</v>
      </c>
      <c r="B27" s="4" t="s">
        <v>55</v>
      </c>
    </row>
    <row r="28" spans="1:2" ht="12" customHeight="1">
      <c r="A28" s="2">
        <v>36</v>
      </c>
      <c r="B28" s="4" t="s">
        <v>55</v>
      </c>
    </row>
    <row r="29" spans="1:2" ht="12" customHeight="1">
      <c r="A29" s="2">
        <v>36</v>
      </c>
      <c r="B29" s="4" t="s">
        <v>55</v>
      </c>
    </row>
    <row r="30" spans="1:2" ht="12" customHeight="1">
      <c r="A30" s="2">
        <v>36</v>
      </c>
      <c r="B30" s="4" t="s">
        <v>55</v>
      </c>
    </row>
    <row r="31" spans="1:2" ht="12" customHeight="1">
      <c r="A31" s="2">
        <v>36</v>
      </c>
      <c r="B31" s="4" t="s">
        <v>55</v>
      </c>
    </row>
    <row r="32" spans="1:2" ht="12" customHeight="1">
      <c r="A32" s="2">
        <v>36</v>
      </c>
      <c r="B32" s="4" t="s">
        <v>55</v>
      </c>
    </row>
    <row r="33" spans="1:2" ht="12" customHeight="1">
      <c r="A33" s="2">
        <v>36</v>
      </c>
      <c r="B33" s="4" t="s">
        <v>55</v>
      </c>
    </row>
    <row r="34" spans="1:2" ht="12" customHeight="1">
      <c r="A34" s="2">
        <v>36</v>
      </c>
      <c r="B34" s="4" t="s">
        <v>55</v>
      </c>
    </row>
    <row r="35" spans="1:2" ht="12" customHeight="1">
      <c r="A35" s="2">
        <v>36</v>
      </c>
      <c r="B35" s="4" t="s">
        <v>55</v>
      </c>
    </row>
    <row r="36" spans="1:2" ht="12" customHeight="1">
      <c r="A36" s="2">
        <v>36</v>
      </c>
      <c r="B36" s="4" t="s">
        <v>55</v>
      </c>
    </row>
    <row r="37" spans="1:2" ht="12" customHeight="1">
      <c r="A37" s="2">
        <v>36</v>
      </c>
      <c r="B37" s="4" t="s">
        <v>55</v>
      </c>
    </row>
    <row r="38" spans="1:2" ht="12" customHeight="1">
      <c r="A38" s="2">
        <v>36</v>
      </c>
      <c r="B38" s="4" t="s">
        <v>55</v>
      </c>
    </row>
    <row r="39" spans="1:2" ht="12" customHeight="1">
      <c r="A39" s="2">
        <v>40</v>
      </c>
      <c r="B39" s="4" t="s">
        <v>55</v>
      </c>
    </row>
    <row r="40" spans="1:2" ht="12" customHeight="1">
      <c r="A40" s="2">
        <v>40</v>
      </c>
      <c r="B40" s="4" t="s">
        <v>55</v>
      </c>
    </row>
    <row r="41" spans="1:2" ht="12" customHeight="1">
      <c r="A41" s="2">
        <v>40</v>
      </c>
      <c r="B41" s="4" t="s">
        <v>55</v>
      </c>
    </row>
    <row r="42" spans="1:2" ht="12" customHeight="1">
      <c r="A42" s="2">
        <v>40</v>
      </c>
      <c r="B42" s="4" t="s">
        <v>55</v>
      </c>
    </row>
    <row r="43" spans="1:2" ht="12" customHeight="1">
      <c r="A43" s="2">
        <v>40</v>
      </c>
      <c r="B43" s="4" t="s">
        <v>55</v>
      </c>
    </row>
    <row r="44" spans="1:2" ht="30" customHeight="1">
      <c r="A44" s="2">
        <v>31</v>
      </c>
      <c r="B44" s="4" t="s">
        <v>96</v>
      </c>
    </row>
    <row r="45" spans="1:2" ht="30" customHeight="1">
      <c r="A45" s="2">
        <v>31</v>
      </c>
      <c r="B45" s="4" t="s">
        <v>96</v>
      </c>
    </row>
    <row r="46" spans="1:2" ht="30" customHeight="1">
      <c r="A46" s="2">
        <v>112</v>
      </c>
      <c r="B46" s="4" t="s">
        <v>102</v>
      </c>
    </row>
    <row r="47" spans="1:2" ht="30" customHeight="1">
      <c r="A47" s="2">
        <v>112</v>
      </c>
      <c r="B47" s="4" t="s">
        <v>102</v>
      </c>
    </row>
    <row r="48" spans="1:2" ht="30" customHeight="1">
      <c r="A48" s="2">
        <v>56</v>
      </c>
      <c r="B48" s="4" t="s">
        <v>108</v>
      </c>
    </row>
    <row r="49" spans="1:2" ht="30" customHeight="1">
      <c r="A49" s="2">
        <v>56</v>
      </c>
      <c r="B49" s="4" t="s">
        <v>108</v>
      </c>
    </row>
    <row r="50" spans="1:2" ht="30" customHeight="1">
      <c r="A50" s="2">
        <v>56</v>
      </c>
      <c r="B50" s="4" t="s">
        <v>108</v>
      </c>
    </row>
    <row r="51" spans="1:2" ht="30" customHeight="1">
      <c r="A51" s="2">
        <v>56</v>
      </c>
      <c r="B51" s="4" t="s">
        <v>108</v>
      </c>
    </row>
    <row r="52" spans="1:2" ht="30" customHeight="1">
      <c r="A52" s="2">
        <v>56</v>
      </c>
      <c r="B52" s="4" t="s">
        <v>108</v>
      </c>
    </row>
    <row r="53" spans="1:2" ht="30" customHeight="1">
      <c r="A53" s="2">
        <v>56</v>
      </c>
      <c r="B53" s="4" t="s">
        <v>108</v>
      </c>
    </row>
    <row r="54" spans="1:2" ht="30" customHeight="1">
      <c r="A54" s="2">
        <v>56</v>
      </c>
      <c r="B54" s="4" t="s">
        <v>108</v>
      </c>
    </row>
    <row r="55" spans="1:2" ht="30" customHeight="1">
      <c r="A55" s="2">
        <v>56</v>
      </c>
      <c r="B55" s="4" t="s">
        <v>108</v>
      </c>
    </row>
    <row r="56" spans="1:2" ht="30" customHeight="1">
      <c r="A56" s="2">
        <v>56</v>
      </c>
      <c r="B56" s="4" t="s">
        <v>108</v>
      </c>
    </row>
    <row r="57" spans="1:2" ht="30" customHeight="1">
      <c r="A57" s="2">
        <v>56</v>
      </c>
      <c r="B57" s="4" t="s">
        <v>108</v>
      </c>
    </row>
    <row r="58" spans="1:2" ht="30" customHeight="1">
      <c r="A58" s="2">
        <v>56</v>
      </c>
      <c r="B58" s="4" t="s">
        <v>108</v>
      </c>
    </row>
    <row r="59" spans="1:2" ht="30" customHeight="1">
      <c r="A59" s="2">
        <v>56</v>
      </c>
      <c r="B59" s="4" t="s">
        <v>108</v>
      </c>
    </row>
    <row r="60" spans="1:2" ht="30" customHeight="1">
      <c r="A60" s="2">
        <v>56</v>
      </c>
      <c r="B60" s="4" t="s">
        <v>108</v>
      </c>
    </row>
    <row r="61" spans="1:2" ht="30" customHeight="1">
      <c r="A61" s="2">
        <v>56</v>
      </c>
      <c r="B61" s="4" t="s">
        <v>108</v>
      </c>
    </row>
    <row r="62" spans="1:2" ht="30" customHeight="1">
      <c r="A62" s="2">
        <v>56</v>
      </c>
      <c r="B62" s="4" t="s">
        <v>108</v>
      </c>
    </row>
    <row r="63" spans="1:2" ht="30" customHeight="1">
      <c r="A63" s="2">
        <v>56</v>
      </c>
      <c r="B63" s="4" t="s">
        <v>108</v>
      </c>
    </row>
    <row r="64" spans="1:2" ht="30" customHeight="1">
      <c r="A64" s="2">
        <v>56</v>
      </c>
      <c r="B64" s="4" t="s">
        <v>108</v>
      </c>
    </row>
    <row r="65" spans="1:2" ht="30" customHeight="1">
      <c r="A65" s="2">
        <v>68</v>
      </c>
      <c r="B65" s="4" t="s">
        <v>53</v>
      </c>
    </row>
    <row r="66" spans="1:2" ht="30" customHeight="1">
      <c r="A66" s="2">
        <v>76</v>
      </c>
      <c r="B66" s="4" t="s">
        <v>53</v>
      </c>
    </row>
    <row r="67" spans="1:2" ht="30" customHeight="1">
      <c r="A67" s="2">
        <v>76</v>
      </c>
      <c r="B67" s="4" t="s">
        <v>53</v>
      </c>
    </row>
    <row r="68" spans="1:2" ht="30" customHeight="1">
      <c r="A68" s="2">
        <v>76</v>
      </c>
      <c r="B68" s="4" t="s">
        <v>53</v>
      </c>
    </row>
    <row r="69" spans="1:2" ht="30" customHeight="1">
      <c r="A69" s="2">
        <v>76</v>
      </c>
      <c r="B69" s="4" t="s">
        <v>53</v>
      </c>
    </row>
    <row r="70" spans="1:2" ht="30" customHeight="1">
      <c r="A70" s="2">
        <v>76</v>
      </c>
      <c r="B70" s="4" t="s">
        <v>53</v>
      </c>
    </row>
    <row r="71" spans="1:2" ht="30" customHeight="1">
      <c r="A71" s="2">
        <v>76</v>
      </c>
      <c r="B71" s="4" t="s">
        <v>53</v>
      </c>
    </row>
    <row r="72" spans="1:2" ht="30" customHeight="1">
      <c r="A72" s="2">
        <v>76</v>
      </c>
      <c r="B72" s="4" t="s">
        <v>53</v>
      </c>
    </row>
    <row r="73" spans="1:2" ht="30" customHeight="1">
      <c r="A73" s="2">
        <v>76</v>
      </c>
      <c r="B73" s="4" t="s">
        <v>53</v>
      </c>
    </row>
    <row r="74" spans="1:2" ht="30" customHeight="1">
      <c r="A74" s="2">
        <v>76</v>
      </c>
      <c r="B74" s="4" t="s">
        <v>53</v>
      </c>
    </row>
    <row r="75" spans="1:2" ht="30" customHeight="1">
      <c r="A75" s="2">
        <v>76</v>
      </c>
      <c r="B75" s="4" t="s">
        <v>53</v>
      </c>
    </row>
    <row r="76" spans="1:2" ht="30" customHeight="1">
      <c r="A76" s="2">
        <v>76</v>
      </c>
      <c r="B76" s="4" t="s">
        <v>53</v>
      </c>
    </row>
    <row r="77" spans="1:2" ht="30" customHeight="1">
      <c r="A77" s="2">
        <v>76</v>
      </c>
      <c r="B77" s="4" t="s">
        <v>53</v>
      </c>
    </row>
    <row r="78" spans="1:2" ht="30" customHeight="1">
      <c r="A78" s="2">
        <v>76</v>
      </c>
      <c r="B78" s="4" t="s">
        <v>53</v>
      </c>
    </row>
    <row r="79" spans="1:2" ht="30" customHeight="1">
      <c r="A79" s="2">
        <v>76</v>
      </c>
      <c r="B79" s="4" t="s">
        <v>53</v>
      </c>
    </row>
    <row r="80" spans="1:2" ht="30" customHeight="1">
      <c r="A80" s="2">
        <v>76</v>
      </c>
      <c r="B80" s="4" t="s">
        <v>53</v>
      </c>
    </row>
    <row r="81" spans="1:2" ht="30" customHeight="1">
      <c r="A81" s="2">
        <v>76</v>
      </c>
      <c r="B81" s="4" t="s">
        <v>53</v>
      </c>
    </row>
    <row r="82" spans="1:2" ht="30" customHeight="1">
      <c r="A82" s="2">
        <v>124</v>
      </c>
      <c r="B82" s="4" t="s">
        <v>66</v>
      </c>
    </row>
    <row r="83" spans="1:2" ht="30" customHeight="1">
      <c r="A83" s="2">
        <v>124</v>
      </c>
      <c r="B83" s="4" t="s">
        <v>66</v>
      </c>
    </row>
    <row r="84" spans="1:2" ht="30" customHeight="1">
      <c r="A84" s="2">
        <v>124</v>
      </c>
      <c r="B84" s="4" t="s">
        <v>66</v>
      </c>
    </row>
    <row r="85" spans="1:2" ht="30" customHeight="1">
      <c r="A85" s="2">
        <v>124</v>
      </c>
      <c r="B85" s="4" t="s">
        <v>66</v>
      </c>
    </row>
    <row r="86" spans="1:2" ht="30" customHeight="1">
      <c r="A86" s="2">
        <v>124</v>
      </c>
      <c r="B86" s="4" t="s">
        <v>66</v>
      </c>
    </row>
    <row r="87" spans="1:2" ht="30" customHeight="1">
      <c r="A87" s="2">
        <v>124</v>
      </c>
      <c r="B87" s="4" t="s">
        <v>66</v>
      </c>
    </row>
    <row r="88" spans="1:2" ht="30" customHeight="1">
      <c r="A88" s="2">
        <v>124</v>
      </c>
      <c r="B88" s="4" t="s">
        <v>66</v>
      </c>
    </row>
    <row r="89" spans="1:2" ht="30" customHeight="1">
      <c r="A89" s="2">
        <v>124</v>
      </c>
      <c r="B89" s="4" t="s">
        <v>66</v>
      </c>
    </row>
    <row r="90" spans="1:2" ht="30" customHeight="1">
      <c r="A90" s="2">
        <v>124</v>
      </c>
      <c r="B90" s="4" t="s">
        <v>66</v>
      </c>
    </row>
    <row r="91" spans="1:2" ht="30" customHeight="1">
      <c r="A91" s="2">
        <v>124</v>
      </c>
      <c r="B91" s="4" t="s">
        <v>66</v>
      </c>
    </row>
    <row r="92" spans="1:2" ht="30" customHeight="1">
      <c r="A92" s="2">
        <v>124</v>
      </c>
      <c r="B92" s="4" t="s">
        <v>66</v>
      </c>
    </row>
    <row r="93" spans="1:2" ht="30" customHeight="1">
      <c r="A93" s="2">
        <v>124</v>
      </c>
      <c r="B93" s="4" t="s">
        <v>66</v>
      </c>
    </row>
    <row r="94" spans="1:2" ht="30" customHeight="1">
      <c r="A94" s="2">
        <v>124</v>
      </c>
      <c r="B94" s="4" t="s">
        <v>66</v>
      </c>
    </row>
    <row r="95" spans="1:2" ht="30" customHeight="1">
      <c r="A95" s="2">
        <v>124</v>
      </c>
      <c r="B95" s="4" t="s">
        <v>66</v>
      </c>
    </row>
    <row r="96" spans="1:2" ht="30" customHeight="1">
      <c r="A96" s="2">
        <v>124</v>
      </c>
      <c r="B96" s="4" t="s">
        <v>66</v>
      </c>
    </row>
    <row r="97" spans="1:2" ht="30" customHeight="1">
      <c r="A97" s="2">
        <v>124</v>
      </c>
      <c r="B97" s="4" t="s">
        <v>66</v>
      </c>
    </row>
    <row r="98" spans="1:2" ht="30" customHeight="1">
      <c r="A98" s="2">
        <v>124</v>
      </c>
      <c r="B98" s="4" t="s">
        <v>66</v>
      </c>
    </row>
    <row r="99" spans="1:2" ht="30" customHeight="1">
      <c r="A99" s="2">
        <v>124</v>
      </c>
      <c r="B99" s="4" t="s">
        <v>66</v>
      </c>
    </row>
    <row r="100" spans="1:2" ht="30" customHeight="1">
      <c r="A100" s="2">
        <v>124</v>
      </c>
      <c r="B100" s="4" t="s">
        <v>66</v>
      </c>
    </row>
    <row r="101" spans="1:2" ht="30" customHeight="1">
      <c r="A101" s="2">
        <v>124</v>
      </c>
      <c r="B101" s="4" t="s">
        <v>66</v>
      </c>
    </row>
    <row r="102" spans="1:2" ht="30" customHeight="1">
      <c r="A102" s="2">
        <v>124</v>
      </c>
      <c r="B102" s="4" t="s">
        <v>66</v>
      </c>
    </row>
    <row r="103" spans="1:2" ht="30" customHeight="1">
      <c r="A103" s="2">
        <v>124</v>
      </c>
      <c r="B103" s="4" t="s">
        <v>66</v>
      </c>
    </row>
    <row r="104" spans="1:2" ht="30" customHeight="1">
      <c r="A104" s="2">
        <v>124</v>
      </c>
      <c r="B104" s="4" t="s">
        <v>66</v>
      </c>
    </row>
    <row r="105" spans="1:2" ht="30" customHeight="1">
      <c r="A105" s="2">
        <v>124</v>
      </c>
      <c r="B105" s="4" t="s">
        <v>66</v>
      </c>
    </row>
    <row r="106" spans="1:2" ht="30" customHeight="1">
      <c r="A106" s="2">
        <v>124</v>
      </c>
      <c r="B106" s="4" t="s">
        <v>66</v>
      </c>
    </row>
    <row r="107" spans="1:2" ht="30" customHeight="1">
      <c r="A107" s="2">
        <v>124</v>
      </c>
      <c r="B107" s="4" t="s">
        <v>66</v>
      </c>
    </row>
    <row r="108" spans="1:2" ht="30" customHeight="1">
      <c r="A108" s="2">
        <v>156</v>
      </c>
      <c r="B108" s="4" t="s">
        <v>70</v>
      </c>
    </row>
    <row r="109" spans="1:2" ht="30" customHeight="1">
      <c r="A109" s="2">
        <v>156</v>
      </c>
      <c r="B109" s="4" t="s">
        <v>70</v>
      </c>
    </row>
    <row r="110" spans="1:2" ht="30" customHeight="1">
      <c r="A110" s="2">
        <v>156</v>
      </c>
      <c r="B110" s="4" t="s">
        <v>70</v>
      </c>
    </row>
    <row r="111" spans="1:2" ht="30" customHeight="1">
      <c r="A111" s="2">
        <v>156</v>
      </c>
      <c r="B111" s="4" t="s">
        <v>70</v>
      </c>
    </row>
    <row r="112" spans="1:2" ht="30" customHeight="1">
      <c r="A112" s="2">
        <v>344</v>
      </c>
      <c r="B112" s="4" t="s">
        <v>70</v>
      </c>
    </row>
    <row r="113" spans="1:2" ht="30" customHeight="1">
      <c r="A113" s="2">
        <v>344</v>
      </c>
      <c r="B113" s="4" t="s">
        <v>70</v>
      </c>
    </row>
    <row r="114" spans="1:2" ht="30" customHeight="1">
      <c r="A114" s="2">
        <v>344</v>
      </c>
      <c r="B114" s="4" t="s">
        <v>70</v>
      </c>
    </row>
    <row r="115" spans="1:2" ht="30" customHeight="1">
      <c r="A115" s="2">
        <v>170</v>
      </c>
      <c r="B115" s="4" t="s">
        <v>53</v>
      </c>
    </row>
    <row r="116" spans="1:2" ht="30" customHeight="1">
      <c r="A116" s="2">
        <v>170</v>
      </c>
      <c r="B116" s="4" t="s">
        <v>53</v>
      </c>
    </row>
    <row r="117" spans="1:2" ht="30" customHeight="1">
      <c r="A117" s="2">
        <v>170</v>
      </c>
      <c r="B117" s="4" t="s">
        <v>53</v>
      </c>
    </row>
    <row r="118" spans="1:2" ht="30" customHeight="1">
      <c r="A118" s="2">
        <v>191</v>
      </c>
      <c r="B118" s="4" t="s">
        <v>76</v>
      </c>
    </row>
    <row r="119" spans="1:2" ht="30" customHeight="1">
      <c r="A119" s="2">
        <v>203</v>
      </c>
      <c r="B119" s="4" t="s">
        <v>102</v>
      </c>
    </row>
    <row r="120" spans="1:2" ht="30" customHeight="1">
      <c r="A120" s="2">
        <v>203</v>
      </c>
      <c r="B120" s="4" t="s">
        <v>102</v>
      </c>
    </row>
    <row r="121" spans="1:2" ht="30" customHeight="1">
      <c r="A121" s="2">
        <v>203</v>
      </c>
      <c r="B121" s="4" t="s">
        <v>102</v>
      </c>
    </row>
    <row r="122" spans="1:2" ht="30" customHeight="1">
      <c r="A122" s="2">
        <v>208</v>
      </c>
      <c r="B122" s="4" t="s">
        <v>125</v>
      </c>
    </row>
    <row r="123" spans="1:2" ht="30" customHeight="1">
      <c r="A123" s="2">
        <v>208</v>
      </c>
      <c r="B123" s="4" t="s">
        <v>125</v>
      </c>
    </row>
    <row r="124" spans="1:2" ht="30" customHeight="1">
      <c r="A124" s="2">
        <v>208</v>
      </c>
      <c r="B124" s="4" t="s">
        <v>125</v>
      </c>
    </row>
    <row r="125" spans="1:2" ht="30" customHeight="1">
      <c r="A125" s="2">
        <v>208</v>
      </c>
      <c r="B125" s="4" t="s">
        <v>125</v>
      </c>
    </row>
    <row r="126" spans="1:2" ht="30" customHeight="1">
      <c r="A126" s="2">
        <v>208</v>
      </c>
      <c r="B126" s="4" t="s">
        <v>125</v>
      </c>
    </row>
    <row r="127" spans="1:2" ht="30" customHeight="1">
      <c r="A127" s="2">
        <v>208</v>
      </c>
      <c r="B127" s="4" t="s">
        <v>125</v>
      </c>
    </row>
    <row r="128" spans="1:2" ht="30" customHeight="1">
      <c r="A128" s="2">
        <v>208</v>
      </c>
      <c r="B128" s="4" t="s">
        <v>125</v>
      </c>
    </row>
    <row r="129" spans="1:2" ht="30" customHeight="1">
      <c r="A129" s="2">
        <v>208</v>
      </c>
      <c r="B129" s="4" t="s">
        <v>125</v>
      </c>
    </row>
    <row r="130" spans="1:2" ht="30" customHeight="1">
      <c r="A130" s="2">
        <v>233</v>
      </c>
      <c r="B130" s="4" t="s">
        <v>125</v>
      </c>
    </row>
    <row r="131" spans="1:2" ht="30" customHeight="1">
      <c r="A131" s="2">
        <v>233</v>
      </c>
      <c r="B131" s="4" t="s">
        <v>125</v>
      </c>
    </row>
    <row r="132" spans="1:2" ht="30" customHeight="1">
      <c r="A132" s="2">
        <v>233</v>
      </c>
      <c r="B132" s="4" t="s">
        <v>125</v>
      </c>
    </row>
    <row r="133" spans="1:2" ht="30" customHeight="1">
      <c r="A133" s="2">
        <v>246</v>
      </c>
      <c r="B133" s="4" t="s">
        <v>125</v>
      </c>
    </row>
    <row r="134" spans="1:2" ht="30" customHeight="1">
      <c r="A134" s="2">
        <v>246</v>
      </c>
      <c r="B134" s="4" t="s">
        <v>125</v>
      </c>
    </row>
    <row r="135" spans="1:2" ht="30" customHeight="1">
      <c r="A135" s="2">
        <v>246</v>
      </c>
      <c r="B135" s="4" t="s">
        <v>125</v>
      </c>
    </row>
    <row r="136" spans="1:2" ht="30" customHeight="1">
      <c r="A136" s="2">
        <v>246</v>
      </c>
      <c r="B136" s="4" t="s">
        <v>125</v>
      </c>
    </row>
    <row r="137" spans="1:2" ht="30" customHeight="1">
      <c r="A137" s="2">
        <v>246</v>
      </c>
      <c r="B137" s="4" t="s">
        <v>125</v>
      </c>
    </row>
    <row r="138" spans="1:2" ht="30" customHeight="1">
      <c r="A138" s="2">
        <v>246</v>
      </c>
      <c r="B138" s="4" t="s">
        <v>125</v>
      </c>
    </row>
    <row r="139" spans="1:2" ht="30" customHeight="1">
      <c r="A139" s="2">
        <v>246</v>
      </c>
      <c r="B139" s="4" t="s">
        <v>125</v>
      </c>
    </row>
    <row r="140" spans="1:2" ht="30" customHeight="1">
      <c r="A140" s="2">
        <v>246</v>
      </c>
      <c r="B140" s="4" t="s">
        <v>125</v>
      </c>
    </row>
    <row r="141" spans="1:2" ht="30" customHeight="1">
      <c r="A141" s="2">
        <v>246</v>
      </c>
      <c r="B141" s="4" t="s">
        <v>125</v>
      </c>
    </row>
    <row r="142" spans="1:2" ht="30" customHeight="1">
      <c r="A142" s="2">
        <v>246</v>
      </c>
      <c r="B142" s="4" t="s">
        <v>125</v>
      </c>
    </row>
    <row r="143" spans="1:2" ht="30" customHeight="1">
      <c r="A143" s="2">
        <v>246</v>
      </c>
      <c r="B143" s="4" t="s">
        <v>125</v>
      </c>
    </row>
    <row r="144" spans="1:2" ht="30" customHeight="1">
      <c r="A144" s="2">
        <v>246</v>
      </c>
      <c r="B144" s="4" t="s">
        <v>125</v>
      </c>
    </row>
    <row r="145" spans="1:2" ht="30" customHeight="1">
      <c r="A145" s="2">
        <v>246</v>
      </c>
      <c r="B145" s="4" t="s">
        <v>125</v>
      </c>
    </row>
    <row r="146" spans="1:2" ht="30" customHeight="1">
      <c r="A146" s="2">
        <v>246</v>
      </c>
      <c r="B146" s="4" t="s">
        <v>125</v>
      </c>
    </row>
    <row r="147" spans="1:2" ht="30" customHeight="1">
      <c r="A147" s="2">
        <v>246</v>
      </c>
      <c r="B147" s="4" t="s">
        <v>125</v>
      </c>
    </row>
    <row r="148" spans="1:2" ht="30" customHeight="1">
      <c r="A148" s="2">
        <v>246</v>
      </c>
      <c r="B148" s="4" t="s">
        <v>125</v>
      </c>
    </row>
    <row r="149" spans="1:2" ht="30" customHeight="1">
      <c r="A149" s="2">
        <v>246</v>
      </c>
      <c r="B149" s="4" t="s">
        <v>125</v>
      </c>
    </row>
    <row r="150" spans="1:2" ht="30" customHeight="1">
      <c r="A150" s="2">
        <v>246</v>
      </c>
      <c r="B150" s="4" t="s">
        <v>125</v>
      </c>
    </row>
    <row r="151" spans="1:2" ht="30" customHeight="1">
      <c r="A151" s="2">
        <v>246</v>
      </c>
      <c r="B151" s="4" t="s">
        <v>125</v>
      </c>
    </row>
    <row r="152" spans="1:2" ht="30" customHeight="1">
      <c r="A152" s="2">
        <v>246</v>
      </c>
      <c r="B152" s="4" t="s">
        <v>125</v>
      </c>
    </row>
    <row r="153" spans="1:2" ht="30" customHeight="1">
      <c r="A153" s="2">
        <v>246</v>
      </c>
      <c r="B153" s="4" t="s">
        <v>125</v>
      </c>
    </row>
    <row r="154" spans="1:2" ht="30" customHeight="1">
      <c r="A154" s="2">
        <v>246</v>
      </c>
      <c r="B154" s="4" t="s">
        <v>125</v>
      </c>
    </row>
    <row r="155" spans="1:2" ht="30" customHeight="1">
      <c r="A155" s="2">
        <v>246</v>
      </c>
      <c r="B155" s="4" t="s">
        <v>125</v>
      </c>
    </row>
    <row r="156" spans="1:2" ht="30" customHeight="1">
      <c r="A156" s="2">
        <v>246</v>
      </c>
      <c r="B156" s="4" t="s">
        <v>125</v>
      </c>
    </row>
    <row r="157" spans="1:2" ht="30" customHeight="1">
      <c r="A157" s="2">
        <v>246</v>
      </c>
      <c r="B157" s="4" t="s">
        <v>125</v>
      </c>
    </row>
    <row r="158" spans="1:2" ht="30" customHeight="1">
      <c r="A158" s="2">
        <v>246</v>
      </c>
      <c r="B158" s="4" t="s">
        <v>125</v>
      </c>
    </row>
    <row r="159" spans="1:2" ht="30" customHeight="1">
      <c r="A159" s="2">
        <v>246</v>
      </c>
      <c r="B159" s="4" t="s">
        <v>125</v>
      </c>
    </row>
    <row r="160" spans="1:2" ht="30" customHeight="1">
      <c r="A160" s="2">
        <v>246</v>
      </c>
      <c r="B160" s="4" t="s">
        <v>125</v>
      </c>
    </row>
    <row r="161" spans="1:2" ht="30" customHeight="1">
      <c r="A161" s="2">
        <v>250</v>
      </c>
      <c r="B161" s="4" t="s">
        <v>108</v>
      </c>
    </row>
    <row r="162" spans="1:2" ht="30" customHeight="1">
      <c r="A162" s="2">
        <v>250</v>
      </c>
      <c r="B162" s="4" t="s">
        <v>108</v>
      </c>
    </row>
    <row r="163" spans="1:2" ht="30" customHeight="1">
      <c r="A163" s="2">
        <v>250</v>
      </c>
      <c r="B163" s="4" t="s">
        <v>108</v>
      </c>
    </row>
    <row r="164" spans="1:2" ht="30" customHeight="1">
      <c r="A164" s="2">
        <v>250</v>
      </c>
      <c r="B164" s="4" t="s">
        <v>108</v>
      </c>
    </row>
    <row r="165" spans="1:2" ht="30" customHeight="1">
      <c r="A165" s="2">
        <v>250</v>
      </c>
      <c r="B165" s="4" t="s">
        <v>108</v>
      </c>
    </row>
    <row r="166" spans="1:2" ht="30" customHeight="1">
      <c r="A166" s="2">
        <v>250</v>
      </c>
      <c r="B166" s="4" t="s">
        <v>108</v>
      </c>
    </row>
    <row r="167" spans="1:2" ht="30" customHeight="1">
      <c r="A167" s="2">
        <v>250</v>
      </c>
      <c r="B167" s="4" t="s">
        <v>108</v>
      </c>
    </row>
    <row r="168" spans="1:2" ht="30" customHeight="1">
      <c r="A168" s="2">
        <v>250</v>
      </c>
      <c r="B168" s="4" t="s">
        <v>108</v>
      </c>
    </row>
    <row r="169" spans="1:2" ht="30" customHeight="1">
      <c r="A169" s="2">
        <v>250</v>
      </c>
      <c r="B169" s="4" t="s">
        <v>108</v>
      </c>
    </row>
    <row r="170" spans="1:2" ht="30" customHeight="1">
      <c r="A170" s="2">
        <v>250</v>
      </c>
      <c r="B170" s="4" t="s">
        <v>108</v>
      </c>
    </row>
    <row r="171" spans="1:2" ht="30" customHeight="1">
      <c r="A171" s="2">
        <v>250</v>
      </c>
      <c r="B171" s="4" t="s">
        <v>108</v>
      </c>
    </row>
    <row r="172" spans="1:2" ht="30" customHeight="1">
      <c r="A172" s="2">
        <v>250</v>
      </c>
      <c r="B172" s="4" t="s">
        <v>108</v>
      </c>
    </row>
    <row r="173" spans="1:2" ht="30" customHeight="1">
      <c r="A173" s="2">
        <v>250</v>
      </c>
      <c r="B173" s="4" t="s">
        <v>108</v>
      </c>
    </row>
    <row r="174" spans="1:2" ht="30" customHeight="1">
      <c r="A174" s="2">
        <v>250</v>
      </c>
      <c r="B174" s="4" t="s">
        <v>108</v>
      </c>
    </row>
    <row r="175" spans="1:2" ht="30" customHeight="1">
      <c r="A175" s="2">
        <v>250</v>
      </c>
      <c r="B175" s="4" t="s">
        <v>108</v>
      </c>
    </row>
    <row r="176" spans="1:2" ht="30" customHeight="1">
      <c r="A176" s="2">
        <v>250</v>
      </c>
      <c r="B176" s="4" t="s">
        <v>108</v>
      </c>
    </row>
    <row r="177" spans="1:2" ht="30" customHeight="1">
      <c r="A177" s="2">
        <v>250</v>
      </c>
      <c r="B177" s="4" t="s">
        <v>108</v>
      </c>
    </row>
    <row r="178" spans="1:2" ht="30" customHeight="1">
      <c r="A178" s="2">
        <v>276</v>
      </c>
      <c r="B178" s="4" t="s">
        <v>108</v>
      </c>
    </row>
    <row r="179" spans="1:2" ht="30" customHeight="1">
      <c r="A179" s="2">
        <v>276</v>
      </c>
      <c r="B179" s="4" t="s">
        <v>108</v>
      </c>
    </row>
    <row r="180" spans="1:2" ht="30" customHeight="1">
      <c r="A180" s="2">
        <v>276</v>
      </c>
      <c r="B180" s="4" t="s">
        <v>108</v>
      </c>
    </row>
    <row r="181" spans="1:2" ht="30" customHeight="1">
      <c r="A181" s="2">
        <v>276</v>
      </c>
      <c r="B181" s="4" t="s">
        <v>108</v>
      </c>
    </row>
    <row r="182" spans="1:2" ht="30" customHeight="1">
      <c r="A182" s="2">
        <v>276</v>
      </c>
      <c r="B182" s="4" t="s">
        <v>108</v>
      </c>
    </row>
    <row r="183" spans="1:2" ht="30" customHeight="1">
      <c r="A183" s="2">
        <v>276</v>
      </c>
      <c r="B183" s="4" t="s">
        <v>108</v>
      </c>
    </row>
    <row r="184" spans="1:2" ht="30" customHeight="1">
      <c r="A184" s="2">
        <v>276</v>
      </c>
      <c r="B184" s="4" t="s">
        <v>108</v>
      </c>
    </row>
    <row r="185" spans="1:2" ht="30" customHeight="1">
      <c r="A185" s="2">
        <v>276</v>
      </c>
      <c r="B185" s="4" t="s">
        <v>108</v>
      </c>
    </row>
    <row r="186" spans="1:2" ht="30" customHeight="1">
      <c r="A186" s="2">
        <v>276</v>
      </c>
      <c r="B186" s="4" t="s">
        <v>108</v>
      </c>
    </row>
    <row r="187" spans="1:2" ht="30" customHeight="1">
      <c r="A187" s="2">
        <v>276</v>
      </c>
      <c r="B187" s="4" t="s">
        <v>108</v>
      </c>
    </row>
    <row r="188" spans="1:2" ht="30" customHeight="1">
      <c r="A188" s="2">
        <v>276</v>
      </c>
      <c r="B188" s="4" t="s">
        <v>108</v>
      </c>
    </row>
    <row r="189" spans="1:2" ht="30" customHeight="1">
      <c r="A189" s="2">
        <v>276</v>
      </c>
      <c r="B189" s="4" t="s">
        <v>108</v>
      </c>
    </row>
    <row r="190" spans="1:2" ht="30" customHeight="1">
      <c r="A190" s="2">
        <v>276</v>
      </c>
      <c r="B190" s="4" t="s">
        <v>108</v>
      </c>
    </row>
    <row r="191" spans="1:2" ht="30" customHeight="1">
      <c r="A191" s="2">
        <v>276</v>
      </c>
      <c r="B191" s="4" t="s">
        <v>108</v>
      </c>
    </row>
    <row r="192" spans="1:2" ht="30" customHeight="1">
      <c r="A192" s="2">
        <v>276</v>
      </c>
      <c r="B192" s="4" t="s">
        <v>108</v>
      </c>
    </row>
    <row r="193" spans="1:2" ht="30" customHeight="1">
      <c r="A193" s="2">
        <v>276</v>
      </c>
      <c r="B193" s="4" t="s">
        <v>108</v>
      </c>
    </row>
    <row r="194" spans="1:2" ht="30" customHeight="1">
      <c r="A194" s="2">
        <v>276</v>
      </c>
      <c r="B194" s="4" t="s">
        <v>108</v>
      </c>
    </row>
    <row r="195" spans="1:2" ht="30" customHeight="1">
      <c r="A195" s="2">
        <v>276</v>
      </c>
      <c r="B195" s="4" t="s">
        <v>108</v>
      </c>
    </row>
    <row r="196" spans="1:2" ht="30" customHeight="1">
      <c r="A196" s="2">
        <v>276</v>
      </c>
      <c r="B196" s="4" t="s">
        <v>108</v>
      </c>
    </row>
    <row r="197" spans="1:2" ht="30" customHeight="1">
      <c r="A197" s="2">
        <v>276</v>
      </c>
      <c r="B197" s="4" t="s">
        <v>108</v>
      </c>
    </row>
    <row r="198" spans="1:2" ht="30" customHeight="1">
      <c r="A198" s="2">
        <v>276</v>
      </c>
      <c r="B198" s="4" t="s">
        <v>108</v>
      </c>
    </row>
    <row r="199" spans="1:2" ht="30" customHeight="1">
      <c r="A199" s="2">
        <v>276</v>
      </c>
      <c r="B199" s="4" t="s">
        <v>108</v>
      </c>
    </row>
    <row r="200" spans="1:2" ht="30" customHeight="1">
      <c r="A200" s="2">
        <v>288</v>
      </c>
      <c r="B200" s="4" t="s">
        <v>56</v>
      </c>
    </row>
    <row r="201" spans="1:2" ht="30" customHeight="1">
      <c r="A201" s="2">
        <v>300</v>
      </c>
      <c r="B201" s="4" t="s">
        <v>56</v>
      </c>
    </row>
    <row r="202" spans="1:2" ht="30" customHeight="1">
      <c r="A202" s="2">
        <v>300</v>
      </c>
      <c r="B202" s="4" t="s">
        <v>56</v>
      </c>
    </row>
    <row r="203" spans="1:2" ht="30" customHeight="1">
      <c r="A203" s="2">
        <v>348</v>
      </c>
      <c r="B203" s="4" t="s">
        <v>102</v>
      </c>
    </row>
    <row r="204" spans="1:2" ht="30" customHeight="1">
      <c r="A204" s="2">
        <v>348</v>
      </c>
      <c r="B204" s="4" t="s">
        <v>102</v>
      </c>
    </row>
    <row r="205" spans="1:2" ht="30" customHeight="1">
      <c r="A205" s="2">
        <v>348</v>
      </c>
      <c r="B205" s="4" t="s">
        <v>102</v>
      </c>
    </row>
    <row r="206" spans="1:2" ht="30" customHeight="1">
      <c r="A206" s="2">
        <v>352</v>
      </c>
      <c r="B206" s="4" t="s">
        <v>125</v>
      </c>
    </row>
    <row r="207" spans="1:2" ht="30" customHeight="1">
      <c r="A207" s="2">
        <v>352</v>
      </c>
      <c r="B207" s="4" t="s">
        <v>125</v>
      </c>
    </row>
    <row r="208" spans="1:2" ht="30" customHeight="1">
      <c r="A208" s="2">
        <v>356</v>
      </c>
      <c r="B208" s="4" t="s">
        <v>73</v>
      </c>
    </row>
    <row r="209" spans="1:2" ht="30" customHeight="1">
      <c r="A209" s="2">
        <v>356</v>
      </c>
      <c r="B209" s="4" t="s">
        <v>73</v>
      </c>
    </row>
    <row r="210" spans="1:2" ht="30" customHeight="1">
      <c r="A210" s="2">
        <v>356</v>
      </c>
      <c r="B210" s="4" t="s">
        <v>73</v>
      </c>
    </row>
    <row r="211" spans="1:2" ht="30" customHeight="1">
      <c r="A211" s="2">
        <v>356</v>
      </c>
      <c r="B211" s="4" t="s">
        <v>73</v>
      </c>
    </row>
    <row r="212" spans="1:2" ht="30" customHeight="1">
      <c r="A212" s="2">
        <v>356</v>
      </c>
      <c r="B212" s="4" t="s">
        <v>73</v>
      </c>
    </row>
    <row r="213" spans="1:2" ht="30" customHeight="1">
      <c r="A213" s="2">
        <v>356</v>
      </c>
      <c r="B213" s="4" t="s">
        <v>73</v>
      </c>
    </row>
    <row r="214" spans="1:2" ht="30" customHeight="1">
      <c r="A214" s="2">
        <v>356</v>
      </c>
      <c r="B214" s="4" t="s">
        <v>73</v>
      </c>
    </row>
    <row r="215" spans="1:2" ht="30" customHeight="1">
      <c r="A215" s="2">
        <v>356</v>
      </c>
      <c r="B215" s="4" t="s">
        <v>73</v>
      </c>
    </row>
    <row r="216" spans="1:2" ht="30" customHeight="1">
      <c r="A216" s="2">
        <v>356</v>
      </c>
      <c r="B216" s="4" t="s">
        <v>73</v>
      </c>
    </row>
    <row r="217" spans="1:2" ht="30" customHeight="1">
      <c r="A217" s="2">
        <v>356</v>
      </c>
      <c r="B217" s="4" t="s">
        <v>73</v>
      </c>
    </row>
    <row r="218" spans="1:2" ht="30" customHeight="1">
      <c r="A218" s="2">
        <v>356</v>
      </c>
      <c r="B218" s="4" t="s">
        <v>73</v>
      </c>
    </row>
    <row r="219" spans="1:2" ht="30" customHeight="1">
      <c r="A219" s="2">
        <v>356</v>
      </c>
      <c r="B219" s="4" t="s">
        <v>73</v>
      </c>
    </row>
    <row r="220" spans="1:2" ht="30" customHeight="1">
      <c r="A220" s="2">
        <v>356</v>
      </c>
      <c r="B220" s="4" t="s">
        <v>73</v>
      </c>
    </row>
    <row r="221" spans="1:2" ht="45" customHeight="1">
      <c r="A221" s="2">
        <v>360</v>
      </c>
      <c r="B221" s="4" t="s">
        <v>74</v>
      </c>
    </row>
    <row r="222" spans="1:2" ht="45" customHeight="1">
      <c r="A222" s="2">
        <v>360</v>
      </c>
      <c r="B222" s="4" t="s">
        <v>74</v>
      </c>
    </row>
    <row r="223" spans="1:2" ht="45" customHeight="1">
      <c r="A223" s="2">
        <v>360</v>
      </c>
      <c r="B223" s="4" t="s">
        <v>74</v>
      </c>
    </row>
    <row r="224" spans="1:2" ht="45" customHeight="1">
      <c r="A224" s="2">
        <v>360</v>
      </c>
      <c r="B224" s="4" t="s">
        <v>74</v>
      </c>
    </row>
    <row r="225" spans="1:2" ht="45" customHeight="1">
      <c r="A225" s="2">
        <v>360</v>
      </c>
      <c r="B225" s="4" t="s">
        <v>74</v>
      </c>
    </row>
    <row r="226" spans="1:2" ht="45" customHeight="1">
      <c r="A226" s="2">
        <v>360</v>
      </c>
      <c r="B226" s="4" t="s">
        <v>74</v>
      </c>
    </row>
    <row r="227" spans="1:2" ht="45" customHeight="1">
      <c r="A227" s="2">
        <v>360</v>
      </c>
      <c r="B227" s="4" t="s">
        <v>74</v>
      </c>
    </row>
    <row r="228" spans="1:2" ht="45" customHeight="1">
      <c r="A228" s="2">
        <v>360</v>
      </c>
      <c r="B228" s="4" t="s">
        <v>74</v>
      </c>
    </row>
    <row r="229" spans="1:2" ht="30" customHeight="1">
      <c r="A229" s="2">
        <v>372</v>
      </c>
      <c r="B229" s="4" t="s">
        <v>125</v>
      </c>
    </row>
    <row r="230" spans="1:2" ht="30" customHeight="1">
      <c r="A230" s="2">
        <v>372</v>
      </c>
      <c r="B230" s="4" t="s">
        <v>125</v>
      </c>
    </row>
    <row r="231" spans="1:2" ht="30" customHeight="1">
      <c r="A231" s="2">
        <v>372</v>
      </c>
      <c r="B231" s="4" t="s">
        <v>125</v>
      </c>
    </row>
    <row r="232" spans="1:2" ht="30" customHeight="1">
      <c r="A232" s="2">
        <v>372</v>
      </c>
      <c r="B232" s="4" t="s">
        <v>125</v>
      </c>
    </row>
    <row r="233" spans="1:2" ht="30" customHeight="1">
      <c r="A233" s="2">
        <v>372</v>
      </c>
      <c r="B233" s="4" t="s">
        <v>125</v>
      </c>
    </row>
    <row r="234" spans="1:2" ht="30" customHeight="1">
      <c r="A234" s="2">
        <v>372</v>
      </c>
      <c r="B234" s="4" t="s">
        <v>125</v>
      </c>
    </row>
    <row r="235" spans="1:2" ht="30" customHeight="1">
      <c r="A235" s="2">
        <v>372</v>
      </c>
      <c r="B235" s="4" t="s">
        <v>125</v>
      </c>
    </row>
    <row r="236" spans="1:2" ht="30" customHeight="1">
      <c r="A236" s="2">
        <v>372</v>
      </c>
      <c r="B236" s="4" t="s">
        <v>125</v>
      </c>
    </row>
    <row r="237" spans="1:2" ht="30" customHeight="1">
      <c r="A237" s="2">
        <v>380</v>
      </c>
      <c r="B237" s="4" t="s">
        <v>76</v>
      </c>
    </row>
    <row r="238" spans="1:2" ht="30" customHeight="1">
      <c r="A238" s="2">
        <v>380</v>
      </c>
      <c r="B238" s="4" t="s">
        <v>76</v>
      </c>
    </row>
    <row r="239" spans="1:2" ht="30" customHeight="1">
      <c r="A239" s="2">
        <v>380</v>
      </c>
      <c r="B239" s="4" t="s">
        <v>76</v>
      </c>
    </row>
    <row r="240" spans="1:2" ht="30" customHeight="1">
      <c r="A240" s="2">
        <v>380</v>
      </c>
      <c r="B240" s="4" t="s">
        <v>76</v>
      </c>
    </row>
    <row r="241" spans="1:2" ht="30" customHeight="1">
      <c r="A241" s="2">
        <v>380</v>
      </c>
      <c r="B241" s="4" t="s">
        <v>76</v>
      </c>
    </row>
    <row r="242" spans="1:2" ht="30" customHeight="1">
      <c r="A242" s="2">
        <v>380</v>
      </c>
      <c r="B242" s="4" t="s">
        <v>76</v>
      </c>
    </row>
    <row r="243" spans="1:2" ht="30" customHeight="1">
      <c r="A243" s="2">
        <v>380</v>
      </c>
      <c r="B243" s="4" t="s">
        <v>76</v>
      </c>
    </row>
    <row r="244" spans="1:2" ht="30" customHeight="1">
      <c r="A244" s="2">
        <v>380</v>
      </c>
      <c r="B244" s="4" t="s">
        <v>76</v>
      </c>
    </row>
    <row r="245" spans="1:2" ht="30" customHeight="1">
      <c r="A245" s="2">
        <v>380</v>
      </c>
      <c r="B245" s="4" t="s">
        <v>76</v>
      </c>
    </row>
    <row r="246" spans="1:2" ht="30" customHeight="1">
      <c r="A246" s="2">
        <v>380</v>
      </c>
      <c r="B246" s="4" t="s">
        <v>76</v>
      </c>
    </row>
    <row r="247" spans="1:2" ht="30" customHeight="1">
      <c r="A247" s="2">
        <v>380</v>
      </c>
      <c r="B247" s="4" t="s">
        <v>76</v>
      </c>
    </row>
    <row r="248" spans="1:2" ht="30" customHeight="1">
      <c r="A248" s="2">
        <v>380</v>
      </c>
      <c r="B248" s="4" t="s">
        <v>76</v>
      </c>
    </row>
    <row r="249" spans="1:2" ht="30" customHeight="1">
      <c r="A249" s="2">
        <v>380</v>
      </c>
      <c r="B249" s="4" t="s">
        <v>76</v>
      </c>
    </row>
    <row r="250" spans="1:2" ht="30" customHeight="1">
      <c r="A250" s="2">
        <v>380</v>
      </c>
      <c r="B250" s="4" t="s">
        <v>76</v>
      </c>
    </row>
    <row r="251" spans="1:2" ht="30" customHeight="1">
      <c r="A251" s="2">
        <v>380</v>
      </c>
      <c r="B251" s="4" t="s">
        <v>76</v>
      </c>
    </row>
    <row r="252" spans="1:2" ht="30" customHeight="1">
      <c r="A252" s="2">
        <v>380</v>
      </c>
      <c r="B252" s="4" t="s">
        <v>76</v>
      </c>
    </row>
    <row r="253" spans="1:2" ht="30" customHeight="1">
      <c r="A253" s="2">
        <v>380</v>
      </c>
      <c r="B253" s="4" t="s">
        <v>76</v>
      </c>
    </row>
    <row r="254" spans="1:2" ht="30" customHeight="1">
      <c r="A254" s="2">
        <v>380</v>
      </c>
      <c r="B254" s="4" t="s">
        <v>76</v>
      </c>
    </row>
    <row r="255" spans="1:2" ht="30" customHeight="1">
      <c r="A255" s="2">
        <v>380</v>
      </c>
      <c r="B255" s="4" t="s">
        <v>76</v>
      </c>
    </row>
    <row r="256" spans="1:2" ht="30" customHeight="1">
      <c r="A256" s="2">
        <v>380</v>
      </c>
      <c r="B256" s="4" t="s">
        <v>76</v>
      </c>
    </row>
    <row r="257" spans="1:2" ht="30" customHeight="1">
      <c r="A257" s="2">
        <v>380</v>
      </c>
      <c r="B257" s="4" t="s">
        <v>76</v>
      </c>
    </row>
    <row r="258" spans="1:2" ht="30" customHeight="1">
      <c r="A258" s="2">
        <v>380</v>
      </c>
      <c r="B258" s="4" t="s">
        <v>76</v>
      </c>
    </row>
    <row r="259" spans="1:2" ht="30" customHeight="1">
      <c r="A259" s="2">
        <v>380</v>
      </c>
      <c r="B259" s="4" t="s">
        <v>76</v>
      </c>
    </row>
    <row r="260" spans="1:2" ht="30" customHeight="1">
      <c r="A260" s="2">
        <v>380</v>
      </c>
      <c r="B260" s="4" t="s">
        <v>76</v>
      </c>
    </row>
    <row r="261" spans="1:2" ht="30" customHeight="1">
      <c r="A261" s="2">
        <v>380</v>
      </c>
      <c r="B261" s="4" t="s">
        <v>76</v>
      </c>
    </row>
    <row r="262" spans="1:2" ht="30" customHeight="1">
      <c r="A262" s="2">
        <v>380</v>
      </c>
      <c r="B262" s="4" t="s">
        <v>76</v>
      </c>
    </row>
    <row r="263" spans="1:2" ht="30" customHeight="1">
      <c r="A263" s="2">
        <v>380</v>
      </c>
      <c r="B263" s="4" t="s">
        <v>76</v>
      </c>
    </row>
    <row r="264" spans="1:2" ht="30" customHeight="1">
      <c r="A264" s="2">
        <v>380</v>
      </c>
      <c r="B264" s="4" t="s">
        <v>76</v>
      </c>
    </row>
    <row r="265" spans="1:2" ht="30" customHeight="1">
      <c r="A265" s="2">
        <v>380</v>
      </c>
      <c r="B265" s="4" t="s">
        <v>76</v>
      </c>
    </row>
    <row r="266" spans="1:2" ht="30" customHeight="1">
      <c r="A266" s="2">
        <v>380</v>
      </c>
      <c r="B266" s="4" t="s">
        <v>76</v>
      </c>
    </row>
    <row r="267" spans="1:2" ht="30" customHeight="1">
      <c r="A267" s="2">
        <v>380</v>
      </c>
      <c r="B267" s="4" t="s">
        <v>76</v>
      </c>
    </row>
    <row r="268" spans="1:2" ht="30" customHeight="1">
      <c r="A268" s="2">
        <v>380</v>
      </c>
      <c r="B268" s="4" t="s">
        <v>76</v>
      </c>
    </row>
    <row r="269" spans="1:2" ht="30" customHeight="1">
      <c r="A269" s="2">
        <v>380</v>
      </c>
      <c r="B269" s="4" t="s">
        <v>76</v>
      </c>
    </row>
    <row r="270" spans="1:2" ht="30" customHeight="1">
      <c r="A270" s="2">
        <v>380</v>
      </c>
      <c r="B270" s="4" t="s">
        <v>76</v>
      </c>
    </row>
    <row r="271" spans="1:2" ht="30" customHeight="1">
      <c r="A271" s="2">
        <v>380</v>
      </c>
      <c r="B271" s="4" t="s">
        <v>76</v>
      </c>
    </row>
    <row r="272" spans="1:2" ht="30" customHeight="1">
      <c r="A272" s="2">
        <v>380</v>
      </c>
      <c r="B272" s="4" t="s">
        <v>76</v>
      </c>
    </row>
    <row r="273" spans="1:2" ht="30" customHeight="1">
      <c r="A273" s="2">
        <v>380</v>
      </c>
      <c r="B273" s="4" t="s">
        <v>76</v>
      </c>
    </row>
    <row r="274" spans="1:2" ht="30" customHeight="1">
      <c r="A274" s="2">
        <v>380</v>
      </c>
      <c r="B274" s="4" t="s">
        <v>76</v>
      </c>
    </row>
    <row r="275" spans="1:2" ht="30" customHeight="1">
      <c r="A275" s="2">
        <v>380</v>
      </c>
      <c r="B275" s="4" t="s">
        <v>76</v>
      </c>
    </row>
    <row r="276" spans="1:2" ht="30" customHeight="1">
      <c r="A276" s="2">
        <v>380</v>
      </c>
      <c r="B276" s="4" t="s">
        <v>76</v>
      </c>
    </row>
    <row r="277" spans="1:2" ht="30" customHeight="1">
      <c r="A277" s="2">
        <v>380</v>
      </c>
      <c r="B277" s="4" t="s">
        <v>76</v>
      </c>
    </row>
    <row r="278" spans="1:2" ht="30" customHeight="1">
      <c r="A278" s="2">
        <v>380</v>
      </c>
      <c r="B278" s="4" t="s">
        <v>76</v>
      </c>
    </row>
    <row r="279" spans="1:2" ht="30" customHeight="1">
      <c r="A279" s="2">
        <v>380</v>
      </c>
      <c r="B279" s="4" t="s">
        <v>76</v>
      </c>
    </row>
    <row r="280" spans="1:2" ht="30" customHeight="1">
      <c r="A280" s="2">
        <v>380</v>
      </c>
      <c r="B280" s="4" t="s">
        <v>76</v>
      </c>
    </row>
    <row r="281" spans="1:2" ht="30" customHeight="1">
      <c r="A281" s="2">
        <v>392</v>
      </c>
      <c r="B281" s="4" t="s">
        <v>70</v>
      </c>
    </row>
    <row r="282" spans="1:2" ht="30" customHeight="1">
      <c r="A282" s="2">
        <v>392</v>
      </c>
      <c r="B282" s="4" t="s">
        <v>70</v>
      </c>
    </row>
    <row r="283" spans="1:2" ht="30" customHeight="1">
      <c r="A283" s="2">
        <v>392</v>
      </c>
      <c r="B283" s="4" t="s">
        <v>70</v>
      </c>
    </row>
    <row r="284" spans="1:2" ht="30" customHeight="1">
      <c r="A284" s="2">
        <v>392</v>
      </c>
      <c r="B284" s="4" t="s">
        <v>70</v>
      </c>
    </row>
    <row r="285" spans="1:2" ht="30" customHeight="1">
      <c r="A285" s="2">
        <v>404</v>
      </c>
      <c r="B285" s="4" t="s">
        <v>59</v>
      </c>
    </row>
    <row r="286" spans="1:2" ht="30" customHeight="1">
      <c r="A286" s="2">
        <v>404</v>
      </c>
      <c r="B286" s="4" t="s">
        <v>59</v>
      </c>
    </row>
    <row r="287" spans="1:2" ht="30" customHeight="1">
      <c r="A287" s="2">
        <v>404</v>
      </c>
      <c r="B287" s="4" t="s">
        <v>59</v>
      </c>
    </row>
    <row r="288" spans="1:2" ht="30" customHeight="1">
      <c r="A288" s="2">
        <v>404</v>
      </c>
      <c r="B288" s="4" t="s">
        <v>59</v>
      </c>
    </row>
    <row r="289" spans="1:2" ht="30" customHeight="1">
      <c r="A289" s="2">
        <v>404</v>
      </c>
      <c r="B289" s="4" t="s">
        <v>59</v>
      </c>
    </row>
    <row r="290" spans="1:2" ht="30" customHeight="1">
      <c r="A290" s="2">
        <v>428</v>
      </c>
      <c r="B290" s="4" t="s">
        <v>125</v>
      </c>
    </row>
    <row r="291" spans="1:2" ht="30" customHeight="1">
      <c r="A291" s="2">
        <v>440</v>
      </c>
      <c r="B291" s="4" t="s">
        <v>125</v>
      </c>
    </row>
    <row r="292" spans="1:2" ht="30" customHeight="1">
      <c r="A292" s="2">
        <v>440</v>
      </c>
      <c r="B292" s="4" t="s">
        <v>125</v>
      </c>
    </row>
    <row r="293" spans="1:2" ht="30" customHeight="1">
      <c r="A293" s="2">
        <v>440</v>
      </c>
      <c r="B293" s="4" t="s">
        <v>125</v>
      </c>
    </row>
    <row r="294" spans="1:2" ht="30" customHeight="1">
      <c r="A294" s="2">
        <v>440</v>
      </c>
      <c r="B294" s="4" t="s">
        <v>125</v>
      </c>
    </row>
    <row r="295" spans="1:2" ht="30" customHeight="1">
      <c r="A295" s="2">
        <v>440</v>
      </c>
      <c r="B295" s="4" t="s">
        <v>125</v>
      </c>
    </row>
    <row r="296" spans="1:2" ht="30" customHeight="1">
      <c r="A296" s="2">
        <v>440</v>
      </c>
      <c r="B296" s="4" t="s">
        <v>125</v>
      </c>
    </row>
    <row r="297" spans="1:2" ht="30" customHeight="1">
      <c r="A297" s="2">
        <v>442</v>
      </c>
      <c r="B297" s="4" t="s">
        <v>108</v>
      </c>
    </row>
    <row r="298" spans="1:2" ht="30" customHeight="1">
      <c r="A298" s="2">
        <v>484</v>
      </c>
      <c r="B298" s="4" t="s">
        <v>58</v>
      </c>
    </row>
    <row r="299" spans="1:2" ht="30" customHeight="1">
      <c r="A299" s="2">
        <v>484</v>
      </c>
      <c r="B299" s="4" t="s">
        <v>58</v>
      </c>
    </row>
    <row r="300" spans="1:2" ht="30" customHeight="1">
      <c r="A300" s="2">
        <v>484</v>
      </c>
      <c r="B300" s="4" t="s">
        <v>58</v>
      </c>
    </row>
    <row r="301" spans="1:2" ht="30" customHeight="1">
      <c r="A301" s="2">
        <v>528</v>
      </c>
      <c r="B301" s="4" t="s">
        <v>108</v>
      </c>
    </row>
    <row r="302" spans="1:2" ht="30" customHeight="1">
      <c r="A302" s="2">
        <v>528</v>
      </c>
      <c r="B302" s="4" t="s">
        <v>108</v>
      </c>
    </row>
    <row r="303" spans="1:2" ht="30" customHeight="1">
      <c r="A303" s="2">
        <v>528</v>
      </c>
      <c r="B303" s="4" t="s">
        <v>108</v>
      </c>
    </row>
    <row r="304" spans="1:2" ht="30" customHeight="1">
      <c r="A304" s="2">
        <v>528</v>
      </c>
      <c r="B304" s="4" t="s">
        <v>108</v>
      </c>
    </row>
    <row r="305" spans="1:2" ht="30" customHeight="1">
      <c r="A305" s="2">
        <v>528</v>
      </c>
      <c r="B305" s="4" t="s">
        <v>108</v>
      </c>
    </row>
    <row r="306" spans="1:2" ht="30" customHeight="1">
      <c r="A306" s="2">
        <v>528</v>
      </c>
      <c r="B306" s="4" t="s">
        <v>108</v>
      </c>
    </row>
    <row r="307" spans="1:2" ht="30" customHeight="1">
      <c r="A307" s="2">
        <v>528</v>
      </c>
      <c r="B307" s="4" t="s">
        <v>108</v>
      </c>
    </row>
    <row r="308" spans="1:2" ht="30" customHeight="1">
      <c r="A308" s="2">
        <v>528</v>
      </c>
      <c r="B308" s="4" t="s">
        <v>108</v>
      </c>
    </row>
    <row r="309" spans="1:2" ht="12" customHeight="1">
      <c r="A309" s="2">
        <v>554</v>
      </c>
      <c r="B309" s="4" t="s">
        <v>55</v>
      </c>
    </row>
    <row r="310" spans="1:2" ht="12" customHeight="1">
      <c r="A310" s="2">
        <v>554</v>
      </c>
      <c r="B310" s="4" t="s">
        <v>55</v>
      </c>
    </row>
    <row r="311" spans="1:2" ht="12" customHeight="1">
      <c r="A311" s="2">
        <v>554</v>
      </c>
      <c r="B311" s="4" t="s">
        <v>55</v>
      </c>
    </row>
    <row r="312" spans="1:2" ht="12" customHeight="1">
      <c r="A312" s="2">
        <v>554</v>
      </c>
      <c r="B312" s="4" t="s">
        <v>55</v>
      </c>
    </row>
    <row r="313" spans="1:2" ht="12" customHeight="1">
      <c r="A313" s="2">
        <v>554</v>
      </c>
      <c r="B313" s="4" t="s">
        <v>55</v>
      </c>
    </row>
    <row r="314" spans="1:2" ht="12" customHeight="1">
      <c r="A314" s="2">
        <v>554</v>
      </c>
      <c r="B314" s="4" t="s">
        <v>55</v>
      </c>
    </row>
    <row r="315" spans="1:2" ht="30" customHeight="1">
      <c r="A315" s="2">
        <v>566</v>
      </c>
      <c r="B315" s="4" t="s">
        <v>56</v>
      </c>
    </row>
    <row r="316" spans="1:2" ht="30" customHeight="1">
      <c r="A316" s="2">
        <v>578</v>
      </c>
      <c r="B316" s="4" t="s">
        <v>125</v>
      </c>
    </row>
    <row r="317" spans="1:2" ht="30" customHeight="1">
      <c r="A317" s="2">
        <v>578</v>
      </c>
      <c r="B317" s="4" t="s">
        <v>125</v>
      </c>
    </row>
    <row r="318" spans="1:2" ht="30" customHeight="1">
      <c r="A318" s="2">
        <v>578</v>
      </c>
      <c r="B318" s="4" t="s">
        <v>125</v>
      </c>
    </row>
    <row r="319" spans="1:2" ht="30" customHeight="1">
      <c r="A319" s="2">
        <v>578</v>
      </c>
      <c r="B319" s="4" t="s">
        <v>125</v>
      </c>
    </row>
    <row r="320" spans="1:2" ht="30" customHeight="1">
      <c r="A320" s="2">
        <v>578</v>
      </c>
      <c r="B320" s="4" t="s">
        <v>125</v>
      </c>
    </row>
    <row r="321" spans="1:2" ht="30" customHeight="1">
      <c r="A321" s="2">
        <v>578</v>
      </c>
      <c r="B321" s="4" t="s">
        <v>125</v>
      </c>
    </row>
    <row r="322" spans="1:2" ht="30" customHeight="1">
      <c r="A322" s="2">
        <v>578</v>
      </c>
      <c r="B322" s="4" t="s">
        <v>125</v>
      </c>
    </row>
    <row r="323" spans="1:2" ht="30" customHeight="1">
      <c r="A323" s="2">
        <v>578</v>
      </c>
      <c r="B323" s="4" t="s">
        <v>125</v>
      </c>
    </row>
    <row r="324" spans="1:2" ht="30" customHeight="1">
      <c r="A324" s="2">
        <v>578</v>
      </c>
      <c r="B324" s="4" t="s">
        <v>125</v>
      </c>
    </row>
    <row r="325" spans="1:2" ht="30" customHeight="1">
      <c r="A325" s="2">
        <v>586</v>
      </c>
      <c r="B325" s="4" t="s">
        <v>73</v>
      </c>
    </row>
    <row r="326" spans="1:2" ht="30" customHeight="1">
      <c r="A326" s="2">
        <v>604</v>
      </c>
      <c r="B326" s="4" t="s">
        <v>53</v>
      </c>
    </row>
    <row r="327" spans="1:2" ht="30" customHeight="1">
      <c r="A327" s="2">
        <v>604</v>
      </c>
      <c r="B327" s="4" t="s">
        <v>53</v>
      </c>
    </row>
    <row r="328" spans="1:2" ht="30" customHeight="1">
      <c r="A328" s="2">
        <v>604</v>
      </c>
      <c r="B328" s="4" t="s">
        <v>53</v>
      </c>
    </row>
    <row r="329" spans="1:2" ht="30" customHeight="1">
      <c r="A329" s="2">
        <v>604</v>
      </c>
      <c r="B329" s="4" t="s">
        <v>53</v>
      </c>
    </row>
    <row r="330" spans="1:2" ht="30" customHeight="1">
      <c r="A330" s="2">
        <v>604</v>
      </c>
      <c r="B330" s="4" t="s">
        <v>53</v>
      </c>
    </row>
    <row r="331" spans="1:2" ht="30" customHeight="1">
      <c r="A331" s="2">
        <v>604</v>
      </c>
      <c r="B331" s="4" t="s">
        <v>53</v>
      </c>
    </row>
    <row r="332" spans="1:2" ht="12" customHeight="1">
      <c r="A332" s="2">
        <v>616</v>
      </c>
      <c r="B332" s="4" t="s">
        <v>102</v>
      </c>
    </row>
    <row r="333" spans="1:2" ht="12" customHeight="1">
      <c r="A333" s="2">
        <v>616</v>
      </c>
      <c r="B333" s="4" t="s">
        <v>102</v>
      </c>
    </row>
    <row r="334" spans="1:2" ht="12" customHeight="1">
      <c r="A334" s="2">
        <v>620</v>
      </c>
      <c r="B334" s="4" t="s">
        <v>76</v>
      </c>
    </row>
    <row r="335" spans="1:2" ht="12" customHeight="1">
      <c r="A335" s="2">
        <v>620</v>
      </c>
      <c r="B335" s="4" t="s">
        <v>76</v>
      </c>
    </row>
    <row r="336" spans="1:2" ht="12" customHeight="1">
      <c r="A336" s="2">
        <v>620</v>
      </c>
      <c r="B336" s="4" t="s">
        <v>76</v>
      </c>
    </row>
    <row r="337" spans="1:2" ht="12" customHeight="1">
      <c r="A337" s="2">
        <v>620</v>
      </c>
      <c r="B337" s="4" t="s">
        <v>76</v>
      </c>
    </row>
    <row r="338" spans="1:2" ht="12" customHeight="1">
      <c r="A338" s="2">
        <v>620</v>
      </c>
      <c r="B338" s="4" t="s">
        <v>76</v>
      </c>
    </row>
    <row r="339" spans="1:2" ht="12" customHeight="1">
      <c r="A339" s="2">
        <v>620</v>
      </c>
      <c r="B339" s="4" t="s">
        <v>76</v>
      </c>
    </row>
    <row r="340" spans="1:2" ht="12" customHeight="1">
      <c r="A340" s="2">
        <v>620</v>
      </c>
      <c r="B340" s="4" t="s">
        <v>76</v>
      </c>
    </row>
    <row r="341" spans="1:2" ht="12" customHeight="1">
      <c r="A341" s="2">
        <v>620</v>
      </c>
      <c r="B341" s="4" t="s">
        <v>76</v>
      </c>
    </row>
    <row r="342" spans="1:2" ht="12" customHeight="1">
      <c r="A342" s="2">
        <v>620</v>
      </c>
      <c r="B342" s="4" t="s">
        <v>76</v>
      </c>
    </row>
    <row r="343" spans="1:2" ht="12" customHeight="1">
      <c r="A343" s="2">
        <v>620</v>
      </c>
      <c r="B343" s="4" t="s">
        <v>76</v>
      </c>
    </row>
    <row r="344" spans="1:2" ht="12" customHeight="1">
      <c r="A344" s="2">
        <v>620</v>
      </c>
      <c r="B344" s="4" t="s">
        <v>76</v>
      </c>
    </row>
    <row r="345" spans="1:2" ht="12" customHeight="1">
      <c r="A345" s="2">
        <v>620</v>
      </c>
      <c r="B345" s="4" t="s">
        <v>76</v>
      </c>
    </row>
    <row r="346" spans="1:2" ht="12" customHeight="1">
      <c r="A346" s="2">
        <v>620</v>
      </c>
      <c r="B346" s="4" t="s">
        <v>76</v>
      </c>
    </row>
    <row r="347" spans="1:2" ht="12" customHeight="1">
      <c r="A347" s="2">
        <v>620</v>
      </c>
      <c r="B347" s="4" t="s">
        <v>76</v>
      </c>
    </row>
    <row r="348" spans="1:2" ht="12" customHeight="1">
      <c r="A348" s="2">
        <v>620</v>
      </c>
      <c r="B348" s="4" t="s">
        <v>76</v>
      </c>
    </row>
    <row r="349" spans="1:2" ht="12" customHeight="1">
      <c r="A349" s="2">
        <v>620</v>
      </c>
      <c r="B349" s="4" t="s">
        <v>76</v>
      </c>
    </row>
    <row r="350" spans="1:2" ht="12" customHeight="1">
      <c r="A350" s="2">
        <v>620</v>
      </c>
      <c r="B350" s="4" t="s">
        <v>76</v>
      </c>
    </row>
    <row r="351" spans="1:2" ht="12" customHeight="1">
      <c r="A351" s="2">
        <v>620</v>
      </c>
      <c r="B351" s="4" t="s">
        <v>76</v>
      </c>
    </row>
    <row r="352" spans="1:2" ht="12" customHeight="1">
      <c r="A352" s="2">
        <v>620</v>
      </c>
      <c r="B352" s="4" t="s">
        <v>76</v>
      </c>
    </row>
    <row r="353" spans="1:2" ht="12" customHeight="1">
      <c r="A353" s="2">
        <v>620</v>
      </c>
      <c r="B353" s="4" t="s">
        <v>76</v>
      </c>
    </row>
    <row r="354" spans="1:2" ht="12" customHeight="1">
      <c r="A354" s="2">
        <v>620</v>
      </c>
      <c r="B354" s="4" t="s">
        <v>76</v>
      </c>
    </row>
    <row r="355" spans="1:2" ht="30" customHeight="1">
      <c r="A355" s="2">
        <v>643</v>
      </c>
      <c r="B355" s="4" t="s">
        <v>102</v>
      </c>
    </row>
    <row r="356" spans="1:2" ht="30" customHeight="1">
      <c r="A356" s="2">
        <v>643</v>
      </c>
      <c r="B356" s="4" t="s">
        <v>102</v>
      </c>
    </row>
    <row r="357" spans="1:2" ht="30" customHeight="1">
      <c r="A357" s="2">
        <v>643</v>
      </c>
      <c r="B357" s="4" t="s">
        <v>102</v>
      </c>
    </row>
    <row r="358" spans="1:2" ht="30" customHeight="1">
      <c r="A358" s="2">
        <v>643</v>
      </c>
      <c r="B358" s="4" t="s">
        <v>102</v>
      </c>
    </row>
    <row r="359" spans="1:2" ht="30" customHeight="1">
      <c r="A359" s="2">
        <v>682</v>
      </c>
      <c r="B359" s="4" t="s">
        <v>96</v>
      </c>
    </row>
    <row r="360" spans="1:2" ht="12" customHeight="1">
      <c r="A360" s="2">
        <v>702</v>
      </c>
      <c r="B360" s="4" t="s">
        <v>74</v>
      </c>
    </row>
    <row r="361" spans="1:2" ht="12" customHeight="1">
      <c r="A361" s="2">
        <v>702</v>
      </c>
      <c r="B361" s="4" t="s">
        <v>74</v>
      </c>
    </row>
    <row r="362" spans="1:2" ht="12" customHeight="1">
      <c r="A362" s="2">
        <v>702</v>
      </c>
      <c r="B362" s="4" t="s">
        <v>74</v>
      </c>
    </row>
    <row r="363" spans="1:2" ht="12" customHeight="1">
      <c r="A363" s="2">
        <v>703</v>
      </c>
      <c r="B363" s="4" t="s">
        <v>102</v>
      </c>
    </row>
    <row r="364" spans="1:2" ht="12" customHeight="1">
      <c r="A364" s="2">
        <v>705</v>
      </c>
      <c r="B364" s="4" t="s">
        <v>76</v>
      </c>
    </row>
    <row r="365" spans="1:2" ht="12" customHeight="1">
      <c r="A365" s="2">
        <v>705</v>
      </c>
      <c r="B365" s="4" t="s">
        <v>76</v>
      </c>
    </row>
    <row r="366" spans="1:2" ht="12" customHeight="1">
      <c r="A366" s="2">
        <v>705</v>
      </c>
      <c r="B366" s="4" t="s">
        <v>76</v>
      </c>
    </row>
    <row r="367" spans="1:2" ht="30" customHeight="1">
      <c r="A367" s="2">
        <v>710</v>
      </c>
      <c r="B367" s="4" t="s">
        <v>316</v>
      </c>
    </row>
    <row r="368" spans="1:2" ht="30" customHeight="1">
      <c r="A368" s="2">
        <v>710</v>
      </c>
      <c r="B368" s="4" t="s">
        <v>316</v>
      </c>
    </row>
    <row r="369" spans="1:2" ht="30" customHeight="1">
      <c r="A369" s="2">
        <v>710</v>
      </c>
      <c r="B369" s="4" t="s">
        <v>316</v>
      </c>
    </row>
    <row r="370" spans="1:2" ht="30" customHeight="1">
      <c r="A370" s="2">
        <v>710</v>
      </c>
      <c r="B370" s="4" t="s">
        <v>316</v>
      </c>
    </row>
    <row r="371" spans="1:2" ht="30" customHeight="1">
      <c r="A371" s="2">
        <v>710</v>
      </c>
      <c r="B371" s="4" t="s">
        <v>316</v>
      </c>
    </row>
    <row r="372" spans="1:2" ht="30" customHeight="1">
      <c r="A372" s="2">
        <v>710</v>
      </c>
      <c r="B372" s="4" t="s">
        <v>316</v>
      </c>
    </row>
    <row r="373" spans="1:2" ht="30" customHeight="1">
      <c r="A373" s="2">
        <v>710</v>
      </c>
      <c r="B373" s="4" t="s">
        <v>316</v>
      </c>
    </row>
    <row r="374" spans="1:2" ht="30" customHeight="1">
      <c r="A374" s="2">
        <v>724</v>
      </c>
      <c r="B374" s="4" t="s">
        <v>76</v>
      </c>
    </row>
    <row r="375" spans="1:2" ht="30" customHeight="1">
      <c r="A375" s="2">
        <v>724</v>
      </c>
      <c r="B375" s="4" t="s">
        <v>76</v>
      </c>
    </row>
    <row r="376" spans="1:2" ht="30" customHeight="1">
      <c r="A376" s="2">
        <v>724</v>
      </c>
      <c r="B376" s="4" t="s">
        <v>76</v>
      </c>
    </row>
    <row r="377" spans="1:2" ht="30" customHeight="1">
      <c r="A377" s="2">
        <v>724</v>
      </c>
      <c r="B377" s="4" t="s">
        <v>76</v>
      </c>
    </row>
    <row r="378" spans="1:2" ht="30" customHeight="1">
      <c r="A378" s="2">
        <v>724</v>
      </c>
      <c r="B378" s="4" t="s">
        <v>76</v>
      </c>
    </row>
    <row r="379" spans="1:2" ht="30" customHeight="1">
      <c r="A379" s="2">
        <v>724</v>
      </c>
      <c r="B379" s="4" t="s">
        <v>76</v>
      </c>
    </row>
    <row r="380" spans="1:2" ht="30" customHeight="1">
      <c r="A380" s="2">
        <v>724</v>
      </c>
      <c r="B380" s="4" t="s">
        <v>76</v>
      </c>
    </row>
    <row r="381" spans="1:2" ht="30" customHeight="1">
      <c r="A381" s="2">
        <v>724</v>
      </c>
      <c r="B381" s="4" t="s">
        <v>76</v>
      </c>
    </row>
    <row r="382" spans="1:2" ht="30" customHeight="1">
      <c r="A382" s="2">
        <v>724</v>
      </c>
      <c r="B382" s="4" t="s">
        <v>76</v>
      </c>
    </row>
    <row r="383" spans="1:2" ht="30" customHeight="1">
      <c r="A383" s="2">
        <v>724</v>
      </c>
      <c r="B383" s="4" t="s">
        <v>76</v>
      </c>
    </row>
    <row r="384" spans="1:2" ht="30" customHeight="1">
      <c r="A384" s="2">
        <v>724</v>
      </c>
      <c r="B384" s="4" t="s">
        <v>76</v>
      </c>
    </row>
    <row r="385" spans="1:2" ht="30" customHeight="1">
      <c r="A385" s="2">
        <v>724</v>
      </c>
      <c r="B385" s="4" t="s">
        <v>76</v>
      </c>
    </row>
    <row r="386" spans="1:2" ht="30" customHeight="1">
      <c r="A386" s="2">
        <v>724</v>
      </c>
      <c r="B386" s="4" t="s">
        <v>76</v>
      </c>
    </row>
    <row r="387" spans="1:2" ht="30" customHeight="1">
      <c r="A387" s="2">
        <v>724</v>
      </c>
      <c r="B387" s="4" t="s">
        <v>76</v>
      </c>
    </row>
    <row r="388" spans="1:2" ht="30" customHeight="1">
      <c r="A388" s="2">
        <v>724</v>
      </c>
      <c r="B388" s="4" t="s">
        <v>76</v>
      </c>
    </row>
    <row r="389" spans="1:2" ht="30" customHeight="1">
      <c r="A389" s="2">
        <v>724</v>
      </c>
      <c r="B389" s="4" t="s">
        <v>76</v>
      </c>
    </row>
    <row r="390" spans="1:2" ht="30" customHeight="1">
      <c r="A390" s="2">
        <v>724</v>
      </c>
      <c r="B390" s="4" t="s">
        <v>76</v>
      </c>
    </row>
    <row r="391" spans="1:2" ht="30" customHeight="1">
      <c r="A391" s="2">
        <v>724</v>
      </c>
      <c r="B391" s="4" t="s">
        <v>76</v>
      </c>
    </row>
    <row r="392" spans="1:2" ht="30" customHeight="1">
      <c r="A392" s="2">
        <v>724</v>
      </c>
      <c r="B392" s="4" t="s">
        <v>76</v>
      </c>
    </row>
    <row r="393" spans="1:2" ht="30" customHeight="1">
      <c r="A393" s="2">
        <v>724</v>
      </c>
      <c r="B393" s="4" t="s">
        <v>76</v>
      </c>
    </row>
    <row r="394" spans="1:2" ht="30" customHeight="1">
      <c r="A394" s="2">
        <v>724</v>
      </c>
      <c r="B394" s="4" t="s">
        <v>76</v>
      </c>
    </row>
    <row r="395" spans="1:2" ht="30" customHeight="1">
      <c r="A395" s="2">
        <v>724</v>
      </c>
      <c r="B395" s="4" t="s">
        <v>76</v>
      </c>
    </row>
    <row r="396" spans="1:2" ht="30" customHeight="1">
      <c r="A396" s="2">
        <v>724</v>
      </c>
      <c r="B396" s="4" t="s">
        <v>76</v>
      </c>
    </row>
    <row r="397" spans="1:2" ht="30" customHeight="1">
      <c r="A397" s="2">
        <v>724</v>
      </c>
      <c r="B397" s="4" t="s">
        <v>76</v>
      </c>
    </row>
    <row r="398" spans="1:2" ht="30" customHeight="1">
      <c r="A398" s="2">
        <v>724</v>
      </c>
      <c r="B398" s="4" t="s">
        <v>76</v>
      </c>
    </row>
    <row r="399" spans="1:2" ht="30" customHeight="1">
      <c r="A399" s="2">
        <v>724</v>
      </c>
      <c r="B399" s="4" t="s">
        <v>76</v>
      </c>
    </row>
    <row r="400" spans="1:2" ht="30" customHeight="1">
      <c r="A400" s="2">
        <v>752</v>
      </c>
      <c r="B400" s="4" t="s">
        <v>125</v>
      </c>
    </row>
    <row r="401" spans="1:2" ht="30" customHeight="1">
      <c r="A401" s="2">
        <v>752</v>
      </c>
      <c r="B401" s="4" t="s">
        <v>125</v>
      </c>
    </row>
    <row r="402" spans="1:2" ht="30" customHeight="1">
      <c r="A402" s="2">
        <v>752</v>
      </c>
      <c r="B402" s="4" t="s">
        <v>125</v>
      </c>
    </row>
    <row r="403" spans="1:2" ht="30" customHeight="1">
      <c r="A403" s="2">
        <v>752</v>
      </c>
      <c r="B403" s="4" t="s">
        <v>125</v>
      </c>
    </row>
    <row r="404" spans="1:2" ht="30" customHeight="1">
      <c r="A404" s="2">
        <v>752</v>
      </c>
      <c r="B404" s="4" t="s">
        <v>125</v>
      </c>
    </row>
    <row r="405" spans="1:2" ht="30" customHeight="1">
      <c r="A405" s="2">
        <v>752</v>
      </c>
      <c r="B405" s="4" t="s">
        <v>125</v>
      </c>
    </row>
    <row r="406" spans="1:2" ht="30" customHeight="1">
      <c r="A406" s="2">
        <v>752</v>
      </c>
      <c r="B406" s="4" t="s">
        <v>125</v>
      </c>
    </row>
    <row r="407" spans="1:2" ht="30" customHeight="1">
      <c r="A407" s="2">
        <v>752</v>
      </c>
      <c r="B407" s="4" t="s">
        <v>125</v>
      </c>
    </row>
    <row r="408" spans="1:2" ht="30" customHeight="1">
      <c r="A408" s="2">
        <v>752</v>
      </c>
      <c r="B408" s="4" t="s">
        <v>125</v>
      </c>
    </row>
    <row r="409" spans="1:2" ht="30" customHeight="1">
      <c r="A409" s="2">
        <v>752</v>
      </c>
      <c r="B409" s="4" t="s">
        <v>125</v>
      </c>
    </row>
    <row r="410" spans="1:2" ht="30" customHeight="1">
      <c r="A410" s="2">
        <v>752</v>
      </c>
      <c r="B410" s="4" t="s">
        <v>125</v>
      </c>
    </row>
    <row r="411" spans="1:2" ht="30" customHeight="1">
      <c r="A411" s="2">
        <v>756</v>
      </c>
      <c r="B411" s="4" t="s">
        <v>108</v>
      </c>
    </row>
    <row r="412" spans="1:2" ht="30" customHeight="1">
      <c r="A412" s="2">
        <v>756</v>
      </c>
      <c r="B412" s="4" t="s">
        <v>108</v>
      </c>
    </row>
    <row r="413" spans="1:2" ht="30" customHeight="1">
      <c r="A413" s="2">
        <v>756</v>
      </c>
      <c r="B413" s="4" t="s">
        <v>108</v>
      </c>
    </row>
    <row r="414" spans="1:2" ht="30" customHeight="1">
      <c r="A414" s="2">
        <v>756</v>
      </c>
      <c r="B414" s="4" t="s">
        <v>108</v>
      </c>
    </row>
    <row r="415" spans="1:2" ht="30" customHeight="1">
      <c r="A415" s="2">
        <v>756</v>
      </c>
      <c r="B415" s="4" t="s">
        <v>108</v>
      </c>
    </row>
    <row r="416" spans="1:2" ht="30" customHeight="1">
      <c r="A416" s="2">
        <v>756</v>
      </c>
      <c r="B416" s="4" t="s">
        <v>108</v>
      </c>
    </row>
    <row r="417" spans="1:2" ht="30" customHeight="1">
      <c r="A417" s="2">
        <v>756</v>
      </c>
      <c r="B417" s="4" t="s">
        <v>108</v>
      </c>
    </row>
    <row r="418" spans="1:2" ht="30" customHeight="1">
      <c r="A418" s="2">
        <v>756</v>
      </c>
      <c r="B418" s="4" t="s">
        <v>108</v>
      </c>
    </row>
    <row r="419" spans="1:2" ht="30" customHeight="1">
      <c r="A419" s="2" t="s">
        <v>391</v>
      </c>
      <c r="B419" s="4" t="s">
        <v>70</v>
      </c>
    </row>
    <row r="420" spans="1:2" ht="30" customHeight="1">
      <c r="A420" s="2">
        <v>792</v>
      </c>
      <c r="B420" s="4" t="s">
        <v>76</v>
      </c>
    </row>
    <row r="421" spans="1:2" ht="30" customHeight="1">
      <c r="A421" s="2">
        <v>792</v>
      </c>
      <c r="B421" s="4" t="s">
        <v>76</v>
      </c>
    </row>
    <row r="422" spans="1:2" ht="30" customHeight="1">
      <c r="A422" s="2">
        <v>792</v>
      </c>
      <c r="B422" s="4" t="s">
        <v>76</v>
      </c>
    </row>
    <row r="423" spans="1:2" ht="30" customHeight="1">
      <c r="A423" s="2">
        <v>792</v>
      </c>
      <c r="B423" s="4" t="s">
        <v>76</v>
      </c>
    </row>
    <row r="424" spans="1:2" ht="30" customHeight="1">
      <c r="A424" s="2">
        <v>792</v>
      </c>
      <c r="B424" s="4" t="s">
        <v>76</v>
      </c>
    </row>
    <row r="425" spans="1:2" ht="30" customHeight="1">
      <c r="A425" s="2">
        <v>792</v>
      </c>
      <c r="B425" s="4" t="s">
        <v>76</v>
      </c>
    </row>
    <row r="426" spans="1:2" ht="30" customHeight="1">
      <c r="A426" s="2">
        <v>792</v>
      </c>
      <c r="B426" s="4" t="s">
        <v>76</v>
      </c>
    </row>
    <row r="427" spans="1:2" ht="30" customHeight="1">
      <c r="A427" s="2">
        <v>792</v>
      </c>
      <c r="B427" s="4" t="s">
        <v>76</v>
      </c>
    </row>
    <row r="428" spans="1:2" ht="30" customHeight="1">
      <c r="A428" s="2">
        <v>792</v>
      </c>
      <c r="B428" s="4" t="s">
        <v>76</v>
      </c>
    </row>
    <row r="429" spans="1:2" ht="30" customHeight="1">
      <c r="A429" s="2">
        <v>792</v>
      </c>
      <c r="B429" s="4" t="s">
        <v>76</v>
      </c>
    </row>
    <row r="430" spans="1:2" ht="30" customHeight="1">
      <c r="A430" s="2">
        <v>792</v>
      </c>
      <c r="B430" s="4" t="s">
        <v>76</v>
      </c>
    </row>
    <row r="431" spans="1:2" ht="30" customHeight="1">
      <c r="A431" s="2">
        <v>792</v>
      </c>
      <c r="B431" s="4" t="s">
        <v>76</v>
      </c>
    </row>
    <row r="432" spans="1:2" ht="30" customHeight="1">
      <c r="A432" s="2">
        <v>792</v>
      </c>
      <c r="B432" s="4" t="s">
        <v>76</v>
      </c>
    </row>
    <row r="433" spans="1:2" ht="30" customHeight="1">
      <c r="A433" s="2">
        <v>792</v>
      </c>
      <c r="B433" s="4" t="s">
        <v>76</v>
      </c>
    </row>
    <row r="434" spans="1:2" ht="30" customHeight="1">
      <c r="A434" s="2">
        <v>792</v>
      </c>
      <c r="B434" s="4" t="s">
        <v>76</v>
      </c>
    </row>
    <row r="435" spans="1:2" ht="30" customHeight="1">
      <c r="A435" s="2">
        <v>792</v>
      </c>
      <c r="B435" s="4" t="s">
        <v>76</v>
      </c>
    </row>
    <row r="436" spans="1:2" ht="30" customHeight="1">
      <c r="A436" s="2">
        <v>792</v>
      </c>
      <c r="B436" s="4" t="s">
        <v>76</v>
      </c>
    </row>
    <row r="437" spans="1:2" ht="30" customHeight="1">
      <c r="A437" s="2">
        <v>792</v>
      </c>
      <c r="B437" s="4" t="s">
        <v>76</v>
      </c>
    </row>
    <row r="438" spans="1:2" ht="30" customHeight="1">
      <c r="A438" s="2">
        <v>792</v>
      </c>
      <c r="B438" s="4" t="s">
        <v>76</v>
      </c>
    </row>
    <row r="439" spans="1:2" ht="30" customHeight="1">
      <c r="A439" s="2">
        <v>792</v>
      </c>
      <c r="B439" s="4" t="s">
        <v>76</v>
      </c>
    </row>
    <row r="440" spans="1:2" ht="30" customHeight="1">
      <c r="A440" s="2">
        <v>792</v>
      </c>
      <c r="B440" s="4" t="s">
        <v>76</v>
      </c>
    </row>
    <row r="441" spans="1:2" ht="30" customHeight="1">
      <c r="A441" s="2">
        <v>792</v>
      </c>
      <c r="B441" s="4" t="s">
        <v>76</v>
      </c>
    </row>
    <row r="442" spans="1:2" ht="30" customHeight="1">
      <c r="A442" s="2">
        <v>792</v>
      </c>
      <c r="B442" s="4" t="s">
        <v>76</v>
      </c>
    </row>
    <row r="443" spans="1:2" ht="30" customHeight="1">
      <c r="A443" s="2">
        <v>792</v>
      </c>
      <c r="B443" s="4" t="s">
        <v>76</v>
      </c>
    </row>
    <row r="444" spans="1:2" ht="30" customHeight="1">
      <c r="A444" s="2">
        <v>792</v>
      </c>
      <c r="B444" s="4" t="s">
        <v>76</v>
      </c>
    </row>
    <row r="445" spans="1:2" ht="30" customHeight="1">
      <c r="A445" s="2">
        <v>792</v>
      </c>
      <c r="B445" s="4" t="s">
        <v>76</v>
      </c>
    </row>
    <row r="446" spans="1:2" ht="30" customHeight="1">
      <c r="A446" s="2">
        <v>792</v>
      </c>
      <c r="B446" s="4" t="s">
        <v>76</v>
      </c>
    </row>
    <row r="447" spans="1:2" ht="30" customHeight="1">
      <c r="A447" s="2">
        <v>792</v>
      </c>
      <c r="B447" s="4" t="s">
        <v>76</v>
      </c>
    </row>
    <row r="448" spans="1:2" ht="30" customHeight="1">
      <c r="A448" s="2">
        <v>804</v>
      </c>
      <c r="B448" s="4" t="s">
        <v>102</v>
      </c>
    </row>
    <row r="449" spans="1:2" ht="30" customHeight="1">
      <c r="A449" s="2">
        <v>804</v>
      </c>
      <c r="B449" s="4" t="s">
        <v>102</v>
      </c>
    </row>
    <row r="450" spans="1:2" ht="30" customHeight="1">
      <c r="A450" s="2">
        <v>804</v>
      </c>
      <c r="B450" s="4" t="s">
        <v>102</v>
      </c>
    </row>
    <row r="451" spans="1:2" ht="30" customHeight="1">
      <c r="A451" s="2">
        <v>804</v>
      </c>
      <c r="B451" s="4" t="s">
        <v>102</v>
      </c>
    </row>
    <row r="452" spans="1:2" ht="30" customHeight="1">
      <c r="A452" s="2">
        <v>804</v>
      </c>
      <c r="B452" s="4" t="s">
        <v>102</v>
      </c>
    </row>
    <row r="453" spans="1:2" ht="30" customHeight="1">
      <c r="A453" s="2">
        <v>804</v>
      </c>
      <c r="B453" s="4" t="s">
        <v>102</v>
      </c>
    </row>
    <row r="454" spans="1:2" ht="30" customHeight="1">
      <c r="A454" s="2">
        <v>804</v>
      </c>
      <c r="B454" s="4" t="s">
        <v>102</v>
      </c>
    </row>
    <row r="455" spans="1:2" ht="30" customHeight="1">
      <c r="A455" s="2">
        <v>804</v>
      </c>
      <c r="B455" s="4" t="s">
        <v>102</v>
      </c>
    </row>
    <row r="456" spans="1:2" ht="30" customHeight="1">
      <c r="A456" s="2">
        <v>804</v>
      </c>
      <c r="B456" s="4" t="s">
        <v>102</v>
      </c>
    </row>
    <row r="457" spans="1:2" ht="30" customHeight="1">
      <c r="A457" s="2">
        <v>804</v>
      </c>
      <c r="B457" s="4" t="s">
        <v>102</v>
      </c>
    </row>
    <row r="458" spans="1:2" ht="30" customHeight="1">
      <c r="A458" s="2">
        <v>804</v>
      </c>
      <c r="B458" s="4" t="s">
        <v>102</v>
      </c>
    </row>
    <row r="459" spans="1:2" ht="30" customHeight="1">
      <c r="A459" s="2">
        <v>826</v>
      </c>
      <c r="B459" s="4" t="s">
        <v>125</v>
      </c>
    </row>
    <row r="460" spans="1:2" ht="30" customHeight="1">
      <c r="A460" s="2">
        <v>826</v>
      </c>
      <c r="B460" s="4" t="s">
        <v>125</v>
      </c>
    </row>
    <row r="461" spans="1:2" ht="30" customHeight="1">
      <c r="A461" s="2">
        <v>826</v>
      </c>
      <c r="B461" s="4" t="s">
        <v>125</v>
      </c>
    </row>
    <row r="462" spans="1:2" ht="30" customHeight="1">
      <c r="A462" s="2">
        <v>826</v>
      </c>
      <c r="B462" s="4" t="s">
        <v>125</v>
      </c>
    </row>
    <row r="463" spans="1:2" ht="30" customHeight="1">
      <c r="A463" s="2">
        <v>826</v>
      </c>
      <c r="B463" s="4" t="s">
        <v>125</v>
      </c>
    </row>
    <row r="464" spans="1:2" ht="30" customHeight="1">
      <c r="A464" s="2">
        <v>826</v>
      </c>
      <c r="B464" s="4" t="s">
        <v>125</v>
      </c>
    </row>
    <row r="465" spans="1:2" ht="30" customHeight="1">
      <c r="A465" s="2">
        <v>826</v>
      </c>
      <c r="B465" s="4" t="s">
        <v>125</v>
      </c>
    </row>
    <row r="466" spans="1:2" ht="30" customHeight="1">
      <c r="A466" s="2">
        <v>826</v>
      </c>
      <c r="B466" s="4" t="s">
        <v>125</v>
      </c>
    </row>
    <row r="467" spans="1:2" ht="30" customHeight="1">
      <c r="A467" s="2">
        <v>826</v>
      </c>
      <c r="B467" s="4" t="s">
        <v>125</v>
      </c>
    </row>
    <row r="468" spans="1:2" ht="30" customHeight="1">
      <c r="A468" s="2">
        <v>826</v>
      </c>
      <c r="B468" s="4" t="s">
        <v>125</v>
      </c>
    </row>
    <row r="469" spans="1:2" ht="30" customHeight="1">
      <c r="A469" s="2">
        <v>826</v>
      </c>
      <c r="B469" s="4" t="s">
        <v>125</v>
      </c>
    </row>
    <row r="470" spans="1:2" ht="30" customHeight="1">
      <c r="A470" s="2">
        <v>826</v>
      </c>
      <c r="B470" s="4" t="s">
        <v>125</v>
      </c>
    </row>
    <row r="471" spans="1:2" ht="30" customHeight="1">
      <c r="A471" s="2">
        <v>826</v>
      </c>
      <c r="B471" s="4" t="s">
        <v>125</v>
      </c>
    </row>
    <row r="472" spans="1:2" ht="30" customHeight="1">
      <c r="A472" s="2">
        <v>826</v>
      </c>
      <c r="B472" s="4" t="s">
        <v>125</v>
      </c>
    </row>
    <row r="473" spans="1:2" ht="30" customHeight="1">
      <c r="A473" s="2">
        <v>826</v>
      </c>
      <c r="B473" s="4" t="s">
        <v>125</v>
      </c>
    </row>
    <row r="474" spans="1:2" ht="30" customHeight="1">
      <c r="A474" s="2">
        <v>826</v>
      </c>
      <c r="B474" s="4" t="s">
        <v>125</v>
      </c>
    </row>
    <row r="475" spans="1:2" ht="30" customHeight="1">
      <c r="A475" s="2">
        <v>826</v>
      </c>
      <c r="B475" s="4" t="s">
        <v>125</v>
      </c>
    </row>
    <row r="476" spans="1:2" ht="30" customHeight="1">
      <c r="A476" s="2">
        <v>826</v>
      </c>
      <c r="B476" s="4" t="s">
        <v>125</v>
      </c>
    </row>
    <row r="477" spans="1:2" ht="30" customHeight="1">
      <c r="A477" s="2">
        <v>826</v>
      </c>
      <c r="B477" s="4" t="s">
        <v>125</v>
      </c>
    </row>
    <row r="478" spans="1:2" ht="30" customHeight="1">
      <c r="A478" s="2">
        <v>826</v>
      </c>
      <c r="B478" s="4" t="s">
        <v>125</v>
      </c>
    </row>
    <row r="479" spans="1:2" ht="30" customHeight="1">
      <c r="A479" s="2">
        <v>826</v>
      </c>
      <c r="B479" s="4" t="s">
        <v>125</v>
      </c>
    </row>
    <row r="480" spans="1:2" ht="30" customHeight="1">
      <c r="A480" s="2">
        <v>826</v>
      </c>
      <c r="B480" s="4" t="s">
        <v>125</v>
      </c>
    </row>
    <row r="481" spans="1:2" ht="30" customHeight="1">
      <c r="A481" s="2">
        <v>826</v>
      </c>
      <c r="B481" s="4" t="s">
        <v>125</v>
      </c>
    </row>
    <row r="482" spans="1:2" ht="30" customHeight="1">
      <c r="A482" s="2">
        <v>826</v>
      </c>
      <c r="B482" s="4" t="s">
        <v>125</v>
      </c>
    </row>
    <row r="483" spans="1:2" ht="30" customHeight="1">
      <c r="A483" s="2">
        <v>826</v>
      </c>
      <c r="B483" s="4" t="s">
        <v>125</v>
      </c>
    </row>
    <row r="484" spans="1:2" ht="30" customHeight="1">
      <c r="A484" s="2">
        <v>826</v>
      </c>
      <c r="B484" s="4" t="s">
        <v>125</v>
      </c>
    </row>
    <row r="485" spans="1:2" ht="30" customHeight="1">
      <c r="A485" s="2">
        <v>826</v>
      </c>
      <c r="B485" s="4" t="s">
        <v>125</v>
      </c>
    </row>
    <row r="486" spans="1:2" ht="30" customHeight="1">
      <c r="A486" s="2">
        <v>826</v>
      </c>
      <c r="B486" s="4" t="s">
        <v>125</v>
      </c>
    </row>
    <row r="487" spans="1:2" ht="30" customHeight="1">
      <c r="A487" s="2">
        <v>826</v>
      </c>
      <c r="B487" s="4" t="s">
        <v>125</v>
      </c>
    </row>
    <row r="488" spans="1:2" ht="30" customHeight="1">
      <c r="A488" s="2">
        <v>826</v>
      </c>
      <c r="B488" s="4" t="s">
        <v>125</v>
      </c>
    </row>
    <row r="489" spans="1:2" ht="30" customHeight="1">
      <c r="A489" s="2">
        <v>826</v>
      </c>
      <c r="B489" s="4" t="s">
        <v>125</v>
      </c>
    </row>
    <row r="490" spans="1:2" ht="30" customHeight="1">
      <c r="A490" s="2">
        <v>826</v>
      </c>
      <c r="B490" s="4" t="s">
        <v>125</v>
      </c>
    </row>
    <row r="491" spans="1:2" ht="30" customHeight="1">
      <c r="A491" s="2">
        <v>826</v>
      </c>
      <c r="B491" s="4" t="s">
        <v>125</v>
      </c>
    </row>
    <row r="492" spans="1:2" ht="30" customHeight="1">
      <c r="A492" s="2">
        <v>826</v>
      </c>
      <c r="B492" s="4" t="s">
        <v>125</v>
      </c>
    </row>
    <row r="493" spans="1:2" ht="30" customHeight="1">
      <c r="A493" s="2">
        <v>826</v>
      </c>
      <c r="B493" s="4" t="s">
        <v>125</v>
      </c>
    </row>
    <row r="494" spans="1:2" ht="30" customHeight="1">
      <c r="A494" s="2">
        <v>826</v>
      </c>
      <c r="B494" s="4" t="s">
        <v>125</v>
      </c>
    </row>
    <row r="495" spans="1:2" ht="30" customHeight="1">
      <c r="A495" s="2">
        <v>826</v>
      </c>
      <c r="B495" s="4" t="s">
        <v>125</v>
      </c>
    </row>
    <row r="496" spans="1:2" ht="30" customHeight="1">
      <c r="A496" s="2">
        <v>826</v>
      </c>
      <c r="B496" s="4" t="s">
        <v>125</v>
      </c>
    </row>
    <row r="497" spans="1:2" ht="30" customHeight="1">
      <c r="A497" s="2">
        <v>826</v>
      </c>
      <c r="B497" s="4" t="s">
        <v>125</v>
      </c>
    </row>
    <row r="498" spans="1:2" ht="30" customHeight="1">
      <c r="A498" s="2">
        <v>826</v>
      </c>
      <c r="B498" s="4" t="s">
        <v>125</v>
      </c>
    </row>
    <row r="499" spans="1:2" ht="30" customHeight="1">
      <c r="A499" s="2">
        <v>826</v>
      </c>
      <c r="B499" s="4" t="s">
        <v>125</v>
      </c>
    </row>
    <row r="500" spans="1:2" ht="30" customHeight="1">
      <c r="A500" s="2">
        <v>826</v>
      </c>
      <c r="B500" s="4" t="s">
        <v>125</v>
      </c>
    </row>
    <row r="501" spans="1:2" ht="30" customHeight="1">
      <c r="A501" s="2">
        <v>826</v>
      </c>
      <c r="B501" s="4" t="s">
        <v>125</v>
      </c>
    </row>
    <row r="502" spans="1:2" ht="30" customHeight="1">
      <c r="A502" s="2">
        <v>826</v>
      </c>
      <c r="B502" s="4" t="s">
        <v>125</v>
      </c>
    </row>
    <row r="503" spans="1:2" ht="30" customHeight="1">
      <c r="A503" s="2">
        <v>826</v>
      </c>
      <c r="B503" s="4" t="s">
        <v>125</v>
      </c>
    </row>
    <row r="504" spans="1:2" ht="30" customHeight="1">
      <c r="A504" s="2">
        <v>826</v>
      </c>
      <c r="B504" s="4" t="s">
        <v>125</v>
      </c>
    </row>
    <row r="505" spans="1:2" ht="30" customHeight="1">
      <c r="A505" s="2">
        <v>826</v>
      </c>
      <c r="B505" s="4" t="s">
        <v>125</v>
      </c>
    </row>
    <row r="506" spans="1:2" ht="30" customHeight="1">
      <c r="A506" s="2">
        <v>826</v>
      </c>
      <c r="B506" s="4" t="s">
        <v>125</v>
      </c>
    </row>
    <row r="507" spans="1:2" ht="30" customHeight="1">
      <c r="A507" s="2">
        <v>826</v>
      </c>
      <c r="B507" s="4" t="s">
        <v>125</v>
      </c>
    </row>
    <row r="508" spans="1:2" ht="30" customHeight="1">
      <c r="A508" s="2">
        <v>826</v>
      </c>
      <c r="B508" s="4" t="s">
        <v>125</v>
      </c>
    </row>
    <row r="509" spans="1:2" ht="30" customHeight="1">
      <c r="A509" s="2">
        <v>826</v>
      </c>
      <c r="B509" s="4" t="s">
        <v>125</v>
      </c>
    </row>
    <row r="510" spans="1:2" ht="30" customHeight="1">
      <c r="A510" s="2">
        <v>826</v>
      </c>
      <c r="B510" s="4" t="s">
        <v>125</v>
      </c>
    </row>
    <row r="511" spans="1:2" ht="30" customHeight="1">
      <c r="A511" s="2">
        <v>826</v>
      </c>
      <c r="B511" s="4" t="s">
        <v>125</v>
      </c>
    </row>
    <row r="512" spans="1:2" ht="30" customHeight="1">
      <c r="A512" s="2">
        <v>826</v>
      </c>
      <c r="B512" s="4" t="s">
        <v>125</v>
      </c>
    </row>
    <row r="513" spans="1:2" ht="30" customHeight="1">
      <c r="A513" s="2">
        <v>826</v>
      </c>
      <c r="B513" s="4" t="s">
        <v>125</v>
      </c>
    </row>
    <row r="514" spans="1:2" ht="30" customHeight="1">
      <c r="A514" s="2">
        <v>826</v>
      </c>
      <c r="B514" s="4" t="s">
        <v>125</v>
      </c>
    </row>
    <row r="515" spans="1:2" ht="30" customHeight="1">
      <c r="A515" s="2">
        <v>826</v>
      </c>
      <c r="B515" s="4" t="s">
        <v>125</v>
      </c>
    </row>
    <row r="516" spans="1:2" ht="30" customHeight="1">
      <c r="A516" s="2">
        <v>826</v>
      </c>
      <c r="B516" s="4" t="s">
        <v>125</v>
      </c>
    </row>
    <row r="517" spans="1:2" ht="30" customHeight="1">
      <c r="A517" s="2">
        <v>826</v>
      </c>
      <c r="B517" s="4" t="s">
        <v>125</v>
      </c>
    </row>
    <row r="518" spans="1:2" ht="30" customHeight="1">
      <c r="A518" s="2">
        <v>826</v>
      </c>
      <c r="B518" s="4" t="s">
        <v>125</v>
      </c>
    </row>
    <row r="519" spans="1:2" ht="30" customHeight="1">
      <c r="A519" s="2">
        <v>826</v>
      </c>
      <c r="B519" s="4" t="s">
        <v>125</v>
      </c>
    </row>
    <row r="520" spans="1:2" ht="30" customHeight="1">
      <c r="A520" s="2">
        <v>826</v>
      </c>
      <c r="B520" s="4" t="s">
        <v>125</v>
      </c>
    </row>
    <row r="521" spans="1:2" ht="30" customHeight="1">
      <c r="A521" s="2">
        <v>826</v>
      </c>
      <c r="B521" s="4" t="s">
        <v>125</v>
      </c>
    </row>
    <row r="522" spans="1:2" ht="30" customHeight="1">
      <c r="A522" s="2">
        <v>826</v>
      </c>
      <c r="B522" s="4" t="s">
        <v>125</v>
      </c>
    </row>
    <row r="523" spans="1:2" ht="30" customHeight="1">
      <c r="A523" s="2">
        <v>826</v>
      </c>
      <c r="B523" s="4" t="s">
        <v>125</v>
      </c>
    </row>
    <row r="524" spans="1:2" ht="30" customHeight="1">
      <c r="A524" s="2">
        <v>826</v>
      </c>
      <c r="B524" s="4" t="s">
        <v>125</v>
      </c>
    </row>
    <row r="525" spans="1:2" ht="30" customHeight="1">
      <c r="A525" s="2">
        <v>826</v>
      </c>
      <c r="B525" s="4" t="s">
        <v>125</v>
      </c>
    </row>
    <row r="526" spans="1:2" ht="30" customHeight="1">
      <c r="A526" s="2">
        <v>826</v>
      </c>
      <c r="B526" s="4" t="s">
        <v>125</v>
      </c>
    </row>
    <row r="527" spans="1:2" ht="30" customHeight="1">
      <c r="A527" s="2">
        <v>826</v>
      </c>
      <c r="B527" s="4" t="s">
        <v>125</v>
      </c>
    </row>
    <row r="528" spans="1:2" ht="30" customHeight="1">
      <c r="A528" s="2">
        <v>826</v>
      </c>
      <c r="B528" s="4" t="s">
        <v>125</v>
      </c>
    </row>
    <row r="529" spans="1:2" ht="30" customHeight="1">
      <c r="A529" s="2">
        <v>826</v>
      </c>
      <c r="B529" s="4" t="s">
        <v>125</v>
      </c>
    </row>
    <row r="530" spans="1:2" ht="30" customHeight="1">
      <c r="A530" s="2">
        <v>826</v>
      </c>
      <c r="B530" s="4" t="s">
        <v>125</v>
      </c>
    </row>
    <row r="531" spans="1:2" ht="30" customHeight="1">
      <c r="A531" s="2">
        <v>826</v>
      </c>
      <c r="B531" s="4" t="s">
        <v>125</v>
      </c>
    </row>
    <row r="532" spans="1:2" ht="30" customHeight="1">
      <c r="A532" s="2">
        <v>826</v>
      </c>
      <c r="B532" s="4" t="s">
        <v>125</v>
      </c>
    </row>
    <row r="533" spans="1:2" ht="30" customHeight="1">
      <c r="A533" s="2">
        <v>826</v>
      </c>
      <c r="B533" s="4" t="s">
        <v>125</v>
      </c>
    </row>
    <row r="534" spans="1:2" ht="30" customHeight="1">
      <c r="A534" s="2">
        <v>826</v>
      </c>
      <c r="B534" s="4" t="s">
        <v>125</v>
      </c>
    </row>
    <row r="535" spans="1:2" ht="30" customHeight="1">
      <c r="A535" s="2">
        <v>826</v>
      </c>
      <c r="B535" s="4" t="s">
        <v>125</v>
      </c>
    </row>
    <row r="536" spans="1:2" ht="30" customHeight="1">
      <c r="A536" s="2">
        <v>826</v>
      </c>
      <c r="B536" s="4" t="s">
        <v>125</v>
      </c>
    </row>
    <row r="537" spans="1:2" ht="30" customHeight="1">
      <c r="A537" s="2">
        <v>826</v>
      </c>
      <c r="B537" s="4" t="s">
        <v>125</v>
      </c>
    </row>
    <row r="538" spans="1:2" ht="30" customHeight="1">
      <c r="A538" s="2">
        <v>826</v>
      </c>
      <c r="B538" s="4" t="s">
        <v>125</v>
      </c>
    </row>
    <row r="539" spans="1:2" ht="30" customHeight="1">
      <c r="A539" s="2">
        <v>826</v>
      </c>
      <c r="B539" s="4" t="s">
        <v>125</v>
      </c>
    </row>
    <row r="540" spans="1:2" ht="30" customHeight="1">
      <c r="A540" s="2">
        <v>826</v>
      </c>
      <c r="B540" s="4" t="s">
        <v>125</v>
      </c>
    </row>
    <row r="541" spans="1:2" ht="30" customHeight="1">
      <c r="A541" s="2">
        <v>826</v>
      </c>
      <c r="B541" s="4" t="s">
        <v>125</v>
      </c>
    </row>
    <row r="542" spans="1:2" ht="30" customHeight="1">
      <c r="A542" s="2">
        <v>826</v>
      </c>
      <c r="B542" s="4" t="s">
        <v>125</v>
      </c>
    </row>
    <row r="543" spans="1:2" ht="30" customHeight="1">
      <c r="A543" s="2">
        <v>826</v>
      </c>
      <c r="B543" s="4" t="s">
        <v>125</v>
      </c>
    </row>
    <row r="544" spans="1:2" ht="30" customHeight="1">
      <c r="A544" s="2">
        <v>826</v>
      </c>
      <c r="B544" s="4" t="s">
        <v>125</v>
      </c>
    </row>
    <row r="545" spans="1:2" ht="30" customHeight="1">
      <c r="A545" s="2">
        <v>826</v>
      </c>
      <c r="B545" s="4" t="s">
        <v>125</v>
      </c>
    </row>
    <row r="546" spans="1:2" ht="30" customHeight="1">
      <c r="A546" s="2">
        <v>826</v>
      </c>
      <c r="B546" s="4" t="s">
        <v>125</v>
      </c>
    </row>
    <row r="547" spans="1:2" ht="30" customHeight="1">
      <c r="A547" s="2">
        <v>826</v>
      </c>
      <c r="B547" s="4" t="s">
        <v>125</v>
      </c>
    </row>
    <row r="548" spans="1:2" ht="30" customHeight="1">
      <c r="A548" s="2">
        <v>826</v>
      </c>
      <c r="B548" s="4" t="s">
        <v>125</v>
      </c>
    </row>
    <row r="549" spans="1:2" ht="30" customHeight="1">
      <c r="A549" s="2">
        <v>826</v>
      </c>
      <c r="B549" s="4" t="s">
        <v>125</v>
      </c>
    </row>
    <row r="550" spans="1:2" ht="30" customHeight="1">
      <c r="A550" s="2">
        <v>826</v>
      </c>
      <c r="B550" s="4" t="s">
        <v>125</v>
      </c>
    </row>
    <row r="551" spans="1:2" ht="30" customHeight="1">
      <c r="A551" s="2">
        <v>840</v>
      </c>
      <c r="B551" s="4" t="s">
        <v>66</v>
      </c>
    </row>
    <row r="552" spans="1:2" ht="30" customHeight="1">
      <c r="A552" s="2">
        <v>840</v>
      </c>
      <c r="B552" s="4" t="s">
        <v>66</v>
      </c>
    </row>
    <row r="553" spans="1:2" ht="30" customHeight="1">
      <c r="A553" s="2">
        <v>840</v>
      </c>
      <c r="B553" s="4" t="s">
        <v>66</v>
      </c>
    </row>
    <row r="554" spans="1:2" ht="30" customHeight="1">
      <c r="A554" s="2">
        <v>840</v>
      </c>
      <c r="B554" s="4" t="s">
        <v>66</v>
      </c>
    </row>
    <row r="555" spans="1:2" ht="30" customHeight="1">
      <c r="A555" s="2">
        <v>840</v>
      </c>
      <c r="B555" s="4" t="s">
        <v>66</v>
      </c>
    </row>
    <row r="556" spans="1:2" ht="30" customHeight="1">
      <c r="A556" s="2">
        <v>840</v>
      </c>
      <c r="B556" s="4" t="s">
        <v>66</v>
      </c>
    </row>
    <row r="557" spans="1:2" ht="30" customHeight="1">
      <c r="A557" s="2">
        <v>840</v>
      </c>
      <c r="B557" s="4" t="s">
        <v>66</v>
      </c>
    </row>
    <row r="558" spans="1:2" ht="30" customHeight="1">
      <c r="A558" s="2">
        <v>840</v>
      </c>
      <c r="B558" s="4" t="s">
        <v>66</v>
      </c>
    </row>
    <row r="559" spans="1:2" ht="30" customHeight="1">
      <c r="A559" s="2">
        <v>840</v>
      </c>
      <c r="B559" s="4" t="s">
        <v>66</v>
      </c>
    </row>
    <row r="560" spans="1:2" ht="30" customHeight="1">
      <c r="A560" s="2">
        <v>840</v>
      </c>
      <c r="B560" s="4" t="s">
        <v>66</v>
      </c>
    </row>
    <row r="561" spans="1:2" ht="30" customHeight="1">
      <c r="A561" s="2">
        <v>840</v>
      </c>
      <c r="B561" s="4" t="s">
        <v>66</v>
      </c>
    </row>
    <row r="562" spans="1:2" ht="30" customHeight="1">
      <c r="A562" s="2">
        <v>840</v>
      </c>
      <c r="B562" s="4" t="s">
        <v>66</v>
      </c>
    </row>
    <row r="563" spans="1:2" ht="30" customHeight="1">
      <c r="A563" s="2">
        <v>840</v>
      </c>
      <c r="B563" s="4" t="s">
        <v>66</v>
      </c>
    </row>
    <row r="564" spans="1:2" ht="30" customHeight="1">
      <c r="A564" s="2">
        <v>840</v>
      </c>
      <c r="B564" s="4" t="s">
        <v>66</v>
      </c>
    </row>
    <row r="565" spans="1:2" ht="30" customHeight="1">
      <c r="A565" s="2">
        <v>840</v>
      </c>
      <c r="B565" s="4" t="s">
        <v>66</v>
      </c>
    </row>
    <row r="566" spans="1:2" ht="30" customHeight="1">
      <c r="A566" s="2">
        <v>840</v>
      </c>
      <c r="B566" s="4" t="s">
        <v>66</v>
      </c>
    </row>
    <row r="567" spans="1:2" ht="30" customHeight="1">
      <c r="A567" s="2">
        <v>840</v>
      </c>
      <c r="B567" s="4" t="s">
        <v>66</v>
      </c>
    </row>
    <row r="568" spans="1:2" ht="30" customHeight="1">
      <c r="A568" s="2">
        <v>840</v>
      </c>
      <c r="B568" s="4" t="s">
        <v>66</v>
      </c>
    </row>
    <row r="569" spans="1:2" ht="30" customHeight="1">
      <c r="A569" s="2">
        <v>840</v>
      </c>
      <c r="B569" s="4" t="s">
        <v>66</v>
      </c>
    </row>
    <row r="570" spans="1:2" ht="30" customHeight="1">
      <c r="A570" s="2">
        <v>840</v>
      </c>
      <c r="B570" s="4" t="s">
        <v>66</v>
      </c>
    </row>
    <row r="571" spans="1:2" ht="30" customHeight="1">
      <c r="A571" s="2">
        <v>840</v>
      </c>
      <c r="B571" s="4" t="s">
        <v>66</v>
      </c>
    </row>
    <row r="572" spans="1:2" ht="30" customHeight="1">
      <c r="A572" s="2">
        <v>840</v>
      </c>
      <c r="B572" s="4" t="s">
        <v>66</v>
      </c>
    </row>
    <row r="573" spans="1:2" ht="30" customHeight="1">
      <c r="A573" s="2">
        <v>840</v>
      </c>
      <c r="B573" s="4" t="s">
        <v>66</v>
      </c>
    </row>
    <row r="574" spans="1:2" ht="30" customHeight="1">
      <c r="A574" s="2">
        <v>840</v>
      </c>
      <c r="B574" s="4" t="s">
        <v>66</v>
      </c>
    </row>
    <row r="575" spans="1:2" ht="30" customHeight="1">
      <c r="A575" s="2">
        <v>840</v>
      </c>
      <c r="B575" s="4" t="s">
        <v>66</v>
      </c>
    </row>
    <row r="576" spans="1:2" ht="30" customHeight="1">
      <c r="A576" s="2">
        <v>840</v>
      </c>
      <c r="B576" s="4" t="s">
        <v>66</v>
      </c>
    </row>
    <row r="577" spans="1:2" ht="30" customHeight="1">
      <c r="A577" s="2">
        <v>840</v>
      </c>
      <c r="B577" s="4" t="s">
        <v>66</v>
      </c>
    </row>
    <row r="578" spans="1:2" ht="30" customHeight="1">
      <c r="A578" s="2">
        <v>840</v>
      </c>
      <c r="B578" s="4" t="s">
        <v>66</v>
      </c>
    </row>
    <row r="579" spans="1:2" ht="30" customHeight="1">
      <c r="A579" s="2">
        <v>840</v>
      </c>
      <c r="B579" s="4" t="s">
        <v>66</v>
      </c>
    </row>
    <row r="580" spans="1:2" ht="30" customHeight="1">
      <c r="A580" s="2">
        <v>840</v>
      </c>
      <c r="B580" s="4" t="s">
        <v>66</v>
      </c>
    </row>
    <row r="581" spans="1:2" ht="30" customHeight="1">
      <c r="A581" s="2">
        <v>840</v>
      </c>
      <c r="B581" s="4" t="s">
        <v>66</v>
      </c>
    </row>
    <row r="582" spans="1:2" ht="30" customHeight="1">
      <c r="A582" s="2">
        <v>840</v>
      </c>
      <c r="B582" s="4" t="s">
        <v>66</v>
      </c>
    </row>
    <row r="583" spans="1:2" ht="30" customHeight="1">
      <c r="A583" s="2">
        <v>840</v>
      </c>
      <c r="B583" s="4" t="s">
        <v>66</v>
      </c>
    </row>
    <row r="584" spans="1:2" ht="30" customHeight="1">
      <c r="A584" s="2">
        <v>840</v>
      </c>
      <c r="B584" s="4" t="s">
        <v>66</v>
      </c>
    </row>
    <row r="585" spans="1:2" ht="30" customHeight="1">
      <c r="A585" s="2">
        <v>840</v>
      </c>
      <c r="B585" s="4" t="s">
        <v>66</v>
      </c>
    </row>
    <row r="586" spans="1:2" ht="30" customHeight="1">
      <c r="A586" s="2">
        <v>840</v>
      </c>
      <c r="B586" s="4" t="s">
        <v>66</v>
      </c>
    </row>
    <row r="587" spans="1:2" ht="30" customHeight="1">
      <c r="A587" s="2">
        <v>840</v>
      </c>
      <c r="B587" s="4" t="s">
        <v>66</v>
      </c>
    </row>
    <row r="588" spans="1:2" ht="30" customHeight="1">
      <c r="A588" s="2">
        <v>840</v>
      </c>
      <c r="B588" s="4" t="s">
        <v>66</v>
      </c>
    </row>
    <row r="589" spans="1:2" ht="30" customHeight="1">
      <c r="A589" s="2">
        <v>840</v>
      </c>
      <c r="B589" s="4" t="s">
        <v>66</v>
      </c>
    </row>
    <row r="590" spans="1:2" ht="30" customHeight="1">
      <c r="A590" s="2">
        <v>840</v>
      </c>
      <c r="B590" s="4" t="s">
        <v>66</v>
      </c>
    </row>
    <row r="591" spans="1:2" ht="30" customHeight="1">
      <c r="A591" s="2">
        <v>840</v>
      </c>
      <c r="B591" s="4" t="s">
        <v>66</v>
      </c>
    </row>
    <row r="592" spans="1:2" ht="30" customHeight="1">
      <c r="A592" s="2">
        <v>840</v>
      </c>
      <c r="B592" s="4" t="s">
        <v>66</v>
      </c>
    </row>
    <row r="593" spans="1:2" ht="30" customHeight="1">
      <c r="A593" s="2">
        <v>840</v>
      </c>
      <c r="B593" s="4" t="s">
        <v>66</v>
      </c>
    </row>
    <row r="594" spans="1:2" ht="30" customHeight="1">
      <c r="A594" s="2">
        <v>840</v>
      </c>
      <c r="B594" s="4" t="s">
        <v>66</v>
      </c>
    </row>
    <row r="595" spans="1:2" ht="30" customHeight="1">
      <c r="A595" s="2">
        <v>840</v>
      </c>
      <c r="B595" s="4" t="s">
        <v>66</v>
      </c>
    </row>
    <row r="596" spans="1:2" ht="30" customHeight="1">
      <c r="A596" s="2">
        <v>840</v>
      </c>
      <c r="B596" s="4" t="s">
        <v>66</v>
      </c>
    </row>
    <row r="597" spans="1:2" ht="30" customHeight="1">
      <c r="A597" s="2">
        <v>840</v>
      </c>
      <c r="B597" s="4" t="s">
        <v>66</v>
      </c>
    </row>
    <row r="598" spans="1:2" ht="30" customHeight="1">
      <c r="A598" s="2">
        <v>840</v>
      </c>
      <c r="B598" s="4" t="s">
        <v>66</v>
      </c>
    </row>
    <row r="599" spans="1:2" ht="30" customHeight="1">
      <c r="A599" s="2">
        <v>840</v>
      </c>
      <c r="B599" s="4" t="s">
        <v>66</v>
      </c>
    </row>
    <row r="600" spans="1:2" ht="30" customHeight="1">
      <c r="A600" s="2">
        <v>840</v>
      </c>
      <c r="B600" s="4" t="s">
        <v>66</v>
      </c>
    </row>
    <row r="601" spans="1:2" ht="30" customHeight="1">
      <c r="A601" s="2">
        <v>840</v>
      </c>
      <c r="B601" s="4" t="s">
        <v>66</v>
      </c>
    </row>
    <row r="602" spans="1:2" ht="30" customHeight="1">
      <c r="A602" s="2">
        <v>840</v>
      </c>
      <c r="B602" s="4" t="s">
        <v>66</v>
      </c>
    </row>
    <row r="603" spans="1:2" ht="30" customHeight="1">
      <c r="A603" s="2">
        <v>840</v>
      </c>
      <c r="B603" s="4" t="s">
        <v>66</v>
      </c>
    </row>
    <row r="604" spans="1:2" ht="30" customHeight="1">
      <c r="A604" s="2">
        <v>840</v>
      </c>
      <c r="B604" s="4" t="s">
        <v>66</v>
      </c>
    </row>
    <row r="605" spans="1:2" ht="30" customHeight="1">
      <c r="A605" s="2">
        <v>840</v>
      </c>
      <c r="B605" s="4" t="s">
        <v>66</v>
      </c>
    </row>
    <row r="606" spans="1:2" ht="30" customHeight="1">
      <c r="A606" s="2">
        <v>840</v>
      </c>
      <c r="B606" s="4" t="s">
        <v>66</v>
      </c>
    </row>
    <row r="607" spans="1:2" ht="30" customHeight="1">
      <c r="A607" s="2">
        <v>840</v>
      </c>
      <c r="B607" s="4" t="s">
        <v>66</v>
      </c>
    </row>
    <row r="608" spans="1:2" ht="30" customHeight="1">
      <c r="A608" s="2">
        <v>840</v>
      </c>
      <c r="B608" s="4" t="s">
        <v>66</v>
      </c>
    </row>
    <row r="609" spans="1:2" ht="30" customHeight="1">
      <c r="A609" s="2">
        <v>840</v>
      </c>
      <c r="B609" s="4" t="s">
        <v>66</v>
      </c>
    </row>
    <row r="610" spans="1:2" ht="30" customHeight="1">
      <c r="A610" s="2">
        <v>840</v>
      </c>
      <c r="B610" s="4" t="s">
        <v>66</v>
      </c>
    </row>
    <row r="611" spans="1:2" ht="30" customHeight="1">
      <c r="A611" s="2">
        <v>840</v>
      </c>
      <c r="B611" s="4" t="s">
        <v>66</v>
      </c>
    </row>
    <row r="612" spans="1:2" ht="30" customHeight="1">
      <c r="A612" s="2">
        <v>840</v>
      </c>
      <c r="B612" s="4" t="s">
        <v>66</v>
      </c>
    </row>
    <row r="613" spans="1:2" ht="30" customHeight="1">
      <c r="A613" s="2">
        <v>840</v>
      </c>
      <c r="B613" s="4" t="s">
        <v>66</v>
      </c>
    </row>
    <row r="614" spans="1:2" ht="30" customHeight="1">
      <c r="A614" s="2">
        <v>840</v>
      </c>
      <c r="B614" s="4" t="s">
        <v>66</v>
      </c>
    </row>
    <row r="615" spans="1:2" ht="30" customHeight="1">
      <c r="A615" s="2">
        <v>840</v>
      </c>
      <c r="B615" s="4" t="s">
        <v>66</v>
      </c>
    </row>
    <row r="616" spans="1:2" ht="30" customHeight="1">
      <c r="A616" s="2">
        <v>840</v>
      </c>
      <c r="B616" s="4" t="s">
        <v>66</v>
      </c>
    </row>
    <row r="617" spans="1:2" ht="30" customHeight="1">
      <c r="A617" s="2">
        <v>840</v>
      </c>
      <c r="B617" s="4" t="s">
        <v>66</v>
      </c>
    </row>
    <row r="618" spans="1:2" ht="30" customHeight="1">
      <c r="A618" s="2">
        <v>840</v>
      </c>
      <c r="B618" s="4" t="s">
        <v>66</v>
      </c>
    </row>
    <row r="619" spans="1:2" ht="30" customHeight="1">
      <c r="A619" s="2">
        <v>840</v>
      </c>
      <c r="B619" s="4" t="s">
        <v>66</v>
      </c>
    </row>
    <row r="620" spans="1:2" ht="30" customHeight="1">
      <c r="A620" s="2">
        <v>840</v>
      </c>
      <c r="B620" s="4" t="s">
        <v>66</v>
      </c>
    </row>
    <row r="621" spans="1:2" ht="30" customHeight="1">
      <c r="A621" s="2">
        <v>840</v>
      </c>
      <c r="B621" s="4" t="s">
        <v>66</v>
      </c>
    </row>
    <row r="622" spans="1:2" ht="30" customHeight="1">
      <c r="A622" s="2">
        <v>840</v>
      </c>
      <c r="B622" s="4" t="s">
        <v>66</v>
      </c>
    </row>
    <row r="623" spans="1:2" ht="30" customHeight="1">
      <c r="A623" s="2">
        <v>840</v>
      </c>
      <c r="B623" s="4" t="s">
        <v>66</v>
      </c>
    </row>
    <row r="624" spans="1:2" ht="30" customHeight="1">
      <c r="A624" s="2">
        <v>840</v>
      </c>
      <c r="B624" s="4" t="s">
        <v>66</v>
      </c>
    </row>
    <row r="625" spans="1:2" ht="30" customHeight="1">
      <c r="A625" s="2">
        <v>840</v>
      </c>
      <c r="B625" s="4" t="s">
        <v>66</v>
      </c>
    </row>
    <row r="626" spans="1:2" ht="30" customHeight="1">
      <c r="A626" s="2">
        <v>840</v>
      </c>
      <c r="B626" s="4" t="s">
        <v>66</v>
      </c>
    </row>
    <row r="627" spans="1:2" ht="30" customHeight="1">
      <c r="A627" s="2">
        <v>840</v>
      </c>
      <c r="B627" s="4" t="s">
        <v>66</v>
      </c>
    </row>
    <row r="628" spans="1:2" ht="30" customHeight="1">
      <c r="A628" s="2">
        <v>840</v>
      </c>
      <c r="B628" s="4" t="s">
        <v>66</v>
      </c>
    </row>
    <row r="629" spans="1:2" ht="30" customHeight="1">
      <c r="A629" s="2">
        <v>840</v>
      </c>
      <c r="B629" s="4" t="s">
        <v>66</v>
      </c>
    </row>
    <row r="630" spans="1:2" ht="30" customHeight="1">
      <c r="A630" s="2">
        <v>840</v>
      </c>
      <c r="B630" s="4" t="s">
        <v>66</v>
      </c>
    </row>
    <row r="631" spans="1:2" ht="30" customHeight="1">
      <c r="A631" s="2">
        <v>840</v>
      </c>
      <c r="B631" s="4" t="s">
        <v>66</v>
      </c>
    </row>
    <row r="632" spans="1:2" ht="30" customHeight="1">
      <c r="A632" s="2">
        <v>840</v>
      </c>
      <c r="B632" s="4" t="s">
        <v>66</v>
      </c>
    </row>
    <row r="633" spans="1:2" ht="30" customHeight="1">
      <c r="A633" s="2">
        <v>840</v>
      </c>
      <c r="B633" s="4" t="s">
        <v>66</v>
      </c>
    </row>
    <row r="634" spans="1:2" ht="30" customHeight="1">
      <c r="A634" s="2">
        <v>840</v>
      </c>
      <c r="B634" s="4" t="s">
        <v>66</v>
      </c>
    </row>
    <row r="635" spans="1:2" ht="30" customHeight="1">
      <c r="A635" s="2">
        <v>840</v>
      </c>
      <c r="B635" s="4" t="s">
        <v>66</v>
      </c>
    </row>
    <row r="636" spans="1:2" ht="30" customHeight="1">
      <c r="A636" s="2">
        <v>840</v>
      </c>
      <c r="B636" s="4" t="s">
        <v>66</v>
      </c>
    </row>
    <row r="637" spans="1:2" ht="30" customHeight="1">
      <c r="A637" s="2">
        <v>840</v>
      </c>
      <c r="B637" s="4" t="s">
        <v>66</v>
      </c>
    </row>
    <row r="638" spans="1:2" ht="30" customHeight="1">
      <c r="A638" s="2">
        <v>840</v>
      </c>
      <c r="B638" s="4" t="s">
        <v>66</v>
      </c>
    </row>
    <row r="639" spans="1:2" ht="30" customHeight="1">
      <c r="A639" s="2">
        <v>840</v>
      </c>
      <c r="B639" s="4" t="s">
        <v>66</v>
      </c>
    </row>
    <row r="640" spans="1:2" ht="30" customHeight="1">
      <c r="A640" s="2">
        <v>840</v>
      </c>
      <c r="B640" s="4" t="s">
        <v>66</v>
      </c>
    </row>
    <row r="641" spans="1:2" ht="30" customHeight="1">
      <c r="A641" s="2">
        <v>840</v>
      </c>
      <c r="B641" s="4" t="s">
        <v>66</v>
      </c>
    </row>
    <row r="642" spans="1:2" ht="30" customHeight="1">
      <c r="A642" s="2">
        <v>840</v>
      </c>
      <c r="B642" s="4" t="s">
        <v>66</v>
      </c>
    </row>
    <row r="643" spans="1:2" ht="30" customHeight="1">
      <c r="A643" s="2">
        <v>840</v>
      </c>
      <c r="B643" s="4" t="s">
        <v>66</v>
      </c>
    </row>
    <row r="644" spans="1:2" ht="30" customHeight="1">
      <c r="A644" s="2">
        <v>840</v>
      </c>
      <c r="B644" s="4" t="s">
        <v>66</v>
      </c>
    </row>
    <row r="645" spans="1:2" ht="30" customHeight="1">
      <c r="A645" s="2">
        <v>840</v>
      </c>
      <c r="B645" s="4" t="s">
        <v>66</v>
      </c>
    </row>
    <row r="646" spans="1:2" ht="30" customHeight="1">
      <c r="A646" s="2">
        <v>840</v>
      </c>
      <c r="B646" s="4" t="s">
        <v>66</v>
      </c>
    </row>
    <row r="647" spans="1:2" ht="30" customHeight="1">
      <c r="A647" s="2">
        <v>840</v>
      </c>
      <c r="B647" s="4" t="s">
        <v>66</v>
      </c>
    </row>
    <row r="648" spans="1:2" ht="30" customHeight="1">
      <c r="A648" s="2">
        <v>840</v>
      </c>
      <c r="B648" s="4" t="s">
        <v>66</v>
      </c>
    </row>
    <row r="649" spans="1:2" ht="30" customHeight="1">
      <c r="A649" s="2">
        <v>840</v>
      </c>
      <c r="B649" s="4" t="s">
        <v>66</v>
      </c>
    </row>
    <row r="650" spans="1:2" ht="30" customHeight="1">
      <c r="A650" s="2">
        <v>840</v>
      </c>
      <c r="B650" s="4" t="s">
        <v>66</v>
      </c>
    </row>
    <row r="651" spans="1:2" ht="30" customHeight="1">
      <c r="A651" s="2">
        <v>840</v>
      </c>
      <c r="B651" s="4" t="s">
        <v>66</v>
      </c>
    </row>
    <row r="652" spans="1:2" ht="30" customHeight="1">
      <c r="A652" s="2">
        <v>840</v>
      </c>
      <c r="B652" s="4" t="s">
        <v>66</v>
      </c>
    </row>
    <row r="653" spans="1:2" ht="30" customHeight="1">
      <c r="A653" s="2">
        <v>840</v>
      </c>
      <c r="B653" s="4" t="s">
        <v>66</v>
      </c>
    </row>
    <row r="654" spans="1:2" ht="30" customHeight="1">
      <c r="A654" s="2">
        <v>840</v>
      </c>
      <c r="B654" s="4" t="s">
        <v>66</v>
      </c>
    </row>
    <row r="655" spans="1:2" ht="30" customHeight="1">
      <c r="A655" s="2">
        <v>840</v>
      </c>
      <c r="B655" s="4" t="s">
        <v>66</v>
      </c>
    </row>
    <row r="656" spans="1:2" ht="30" customHeight="1">
      <c r="A656" s="2">
        <v>840</v>
      </c>
      <c r="B656" s="4" t="s">
        <v>66</v>
      </c>
    </row>
    <row r="657" spans="1:2" ht="30" customHeight="1">
      <c r="A657" s="2">
        <v>840</v>
      </c>
      <c r="B657" s="4" t="s">
        <v>66</v>
      </c>
    </row>
    <row r="658" spans="1:2" ht="30" customHeight="1">
      <c r="A658" s="2">
        <v>840</v>
      </c>
      <c r="B658" s="4" t="s">
        <v>66</v>
      </c>
    </row>
    <row r="659" spans="1:2" ht="30" customHeight="1">
      <c r="A659" s="2">
        <v>840</v>
      </c>
      <c r="B659" s="4" t="s">
        <v>66</v>
      </c>
    </row>
    <row r="660" spans="1:2" ht="30" customHeight="1">
      <c r="A660" s="2">
        <v>840</v>
      </c>
      <c r="B660" s="4" t="s">
        <v>66</v>
      </c>
    </row>
    <row r="661" spans="1:2" ht="30" customHeight="1">
      <c r="A661" s="2">
        <v>840</v>
      </c>
      <c r="B661" s="4" t="s">
        <v>66</v>
      </c>
    </row>
    <row r="662" spans="1:2" ht="30" customHeight="1">
      <c r="A662" s="2">
        <v>840</v>
      </c>
      <c r="B662" s="4" t="s">
        <v>66</v>
      </c>
    </row>
    <row r="663" spans="1:2" ht="30" customHeight="1">
      <c r="A663" s="2">
        <v>840</v>
      </c>
      <c r="B663" s="4" t="s">
        <v>66</v>
      </c>
    </row>
    <row r="664" spans="1:2" ht="30" customHeight="1">
      <c r="A664" s="2">
        <v>840</v>
      </c>
      <c r="B664" s="4" t="s">
        <v>66</v>
      </c>
    </row>
    <row r="665" spans="1:2" ht="30" customHeight="1">
      <c r="A665" s="2">
        <v>840</v>
      </c>
      <c r="B665" s="4" t="s">
        <v>66</v>
      </c>
    </row>
    <row r="666" spans="1:2" ht="30" customHeight="1">
      <c r="A666" s="2">
        <v>840</v>
      </c>
      <c r="B666" s="4" t="s">
        <v>66</v>
      </c>
    </row>
    <row r="667" spans="1:2" ht="30" customHeight="1">
      <c r="A667" s="2">
        <v>840</v>
      </c>
      <c r="B667" s="4" t="s">
        <v>66</v>
      </c>
    </row>
    <row r="668" spans="1:2" ht="30" customHeight="1">
      <c r="A668" s="2">
        <v>840</v>
      </c>
      <c r="B668" s="4" t="s">
        <v>66</v>
      </c>
    </row>
    <row r="669" spans="1:2" ht="30" customHeight="1">
      <c r="A669" s="2">
        <v>840</v>
      </c>
      <c r="B669" s="4" t="s">
        <v>66</v>
      </c>
    </row>
    <row r="670" spans="1:2" ht="30" customHeight="1">
      <c r="A670" s="2">
        <v>840</v>
      </c>
      <c r="B670" s="4" t="s">
        <v>66</v>
      </c>
    </row>
    <row r="671" spans="1:2" ht="30" customHeight="1">
      <c r="A671" s="2">
        <v>840</v>
      </c>
      <c r="B671" s="4" t="s">
        <v>66</v>
      </c>
    </row>
    <row r="672" spans="1:2" ht="30" customHeight="1">
      <c r="A672" s="2">
        <v>840</v>
      </c>
      <c r="B672" s="4" t="s">
        <v>66</v>
      </c>
    </row>
    <row r="673" spans="1:2" ht="30" customHeight="1">
      <c r="A673" s="2">
        <v>862</v>
      </c>
      <c r="B673" s="4" t="s">
        <v>53</v>
      </c>
    </row>
    <row r="674" spans="1:2" ht="30" customHeight="1">
      <c r="A674" s="2">
        <v>862</v>
      </c>
      <c r="B674" s="4" t="s">
        <v>53</v>
      </c>
    </row>
    <row r="675" spans="1:2" ht="30" customHeight="1">
      <c r="A675" s="2">
        <v>862</v>
      </c>
      <c r="B675" s="4" t="s">
        <v>53</v>
      </c>
    </row>
    <row r="676" spans="1:2" ht="45" customHeight="1">
      <c r="A676" s="2">
        <v>704</v>
      </c>
      <c r="B676" s="4" t="s">
        <v>74</v>
      </c>
    </row>
    <row r="677" spans="1:2" ht="30" customHeight="1">
      <c r="A677" s="2">
        <v>716</v>
      </c>
      <c r="B677" s="4" t="s">
        <v>59</v>
      </c>
    </row>
    <row r="678" spans="1:2" ht="30" customHeight="1">
      <c r="A678" s="2">
        <v>716</v>
      </c>
      <c r="B678" s="4" t="s">
        <v>59</v>
      </c>
    </row>
    <row r="679" spans="1:2" ht="12" customHeight="1"/>
    <row r="680" spans="1:2" ht="12" customHeight="1"/>
    <row r="681" spans="1:2" ht="12" customHeight="1"/>
    <row r="682" spans="1:2" ht="12" customHeight="1"/>
    <row r="683" spans="1:2" ht="12" customHeight="1"/>
    <row r="684" spans="1:2" ht="12" customHeight="1"/>
    <row r="685" spans="1:2" ht="12" customHeight="1"/>
    <row r="686" spans="1:2" ht="12" customHeight="1"/>
    <row r="687" spans="1:2" ht="12" customHeight="1"/>
    <row r="688" spans="1:2"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row r="954" ht="12" customHeight="1"/>
    <row r="955" ht="12" customHeight="1"/>
    <row r="956" ht="12" customHeight="1"/>
    <row r="957" ht="12" customHeight="1"/>
    <row r="958" ht="12" customHeight="1"/>
    <row r="959" ht="12" customHeight="1"/>
    <row r="960" ht="12" customHeight="1"/>
    <row r="961" ht="12" customHeight="1"/>
    <row r="962" ht="12" customHeight="1"/>
    <row r="963" ht="12" customHeight="1"/>
    <row r="964" ht="12" customHeight="1"/>
    <row r="965" ht="12" customHeight="1"/>
    <row r="966" ht="12" customHeight="1"/>
    <row r="967" ht="12" customHeight="1"/>
    <row r="968" ht="12" customHeight="1"/>
    <row r="969" ht="12" customHeight="1"/>
    <row r="970" ht="12" customHeight="1"/>
    <row r="971" ht="12" customHeight="1"/>
    <row r="972" ht="12" customHeight="1"/>
    <row r="973" ht="12" customHeight="1"/>
    <row r="974" ht="12" customHeight="1"/>
    <row r="975" ht="12" customHeight="1"/>
    <row r="976" ht="12" customHeight="1"/>
    <row r="977" ht="12" customHeight="1"/>
    <row r="978" ht="12" customHeight="1"/>
    <row r="979" ht="12" customHeight="1"/>
    <row r="980" ht="12" customHeight="1"/>
    <row r="981" ht="12" customHeight="1"/>
    <row r="982" ht="12" customHeight="1"/>
    <row r="983" ht="12" customHeight="1"/>
    <row r="984" ht="12" customHeight="1"/>
    <row r="985" ht="12" customHeight="1"/>
    <row r="986" ht="12" customHeight="1"/>
    <row r="987" ht="12" customHeight="1"/>
    <row r="988" ht="12" customHeight="1"/>
    <row r="989" ht="12" customHeight="1"/>
    <row r="990" ht="12" customHeight="1"/>
    <row r="991" ht="12" customHeight="1"/>
    <row r="992" ht="12" customHeight="1"/>
    <row r="993" ht="12" customHeight="1"/>
    <row r="994" ht="12" customHeight="1"/>
    <row r="995" ht="12" customHeight="1"/>
    <row r="996" ht="12" customHeight="1"/>
    <row r="997" ht="12" customHeight="1"/>
    <row r="998" ht="12" customHeight="1"/>
    <row r="999" ht="12" customHeight="1"/>
    <row r="1000" ht="12" customHeight="1"/>
  </sheetData>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08"/>
  <sheetViews>
    <sheetView topLeftCell="A384" workbookViewId="0">
      <selection activeCell="A408" sqref="A408:XFD408"/>
    </sheetView>
  </sheetViews>
  <sheetFormatPr baseColWidth="10" defaultRowHeight="12" x14ac:dyDescent="0"/>
  <sheetData>
    <row r="1" spans="1:50">
      <c r="A1" s="1" t="s">
        <v>0</v>
      </c>
      <c r="B1" s="1" t="s">
        <v>1</v>
      </c>
      <c r="C1" s="6" t="s">
        <v>2</v>
      </c>
      <c r="D1" s="6" t="s">
        <v>3</v>
      </c>
      <c r="E1" s="6" t="s">
        <v>4</v>
      </c>
      <c r="F1" s="6" t="s">
        <v>5</v>
      </c>
      <c r="G1" s="6" t="s">
        <v>6</v>
      </c>
      <c r="H1" s="6" t="s">
        <v>7</v>
      </c>
      <c r="I1" s="6" t="s">
        <v>8</v>
      </c>
      <c r="J1" s="6" t="s">
        <v>9</v>
      </c>
      <c r="K1" s="6" t="s">
        <v>10</v>
      </c>
      <c r="L1" s="6" t="s">
        <v>11</v>
      </c>
      <c r="M1" s="6" t="s">
        <v>12</v>
      </c>
      <c r="N1" s="6" t="s">
        <v>13</v>
      </c>
      <c r="O1" s="6" t="s">
        <v>14</v>
      </c>
      <c r="P1" s="6" t="s">
        <v>15</v>
      </c>
      <c r="Q1" s="6" t="s">
        <v>16</v>
      </c>
      <c r="R1" s="6" t="s">
        <v>17</v>
      </c>
      <c r="S1" s="6" t="s">
        <v>18</v>
      </c>
      <c r="T1" s="6" t="s">
        <v>19</v>
      </c>
      <c r="U1" s="6" t="s">
        <v>2516</v>
      </c>
      <c r="V1" s="6" t="s">
        <v>20</v>
      </c>
      <c r="W1" s="6" t="s">
        <v>21</v>
      </c>
      <c r="X1" s="6" t="s">
        <v>22</v>
      </c>
      <c r="Y1" s="6" t="s">
        <v>23</v>
      </c>
      <c r="Z1" s="6" t="s">
        <v>24</v>
      </c>
      <c r="AA1" s="6" t="s">
        <v>25</v>
      </c>
      <c r="AB1" s="6" t="s">
        <v>26</v>
      </c>
      <c r="AC1" s="6" t="s">
        <v>27</v>
      </c>
      <c r="AD1" s="6" t="s">
        <v>28</v>
      </c>
      <c r="AE1" s="6" t="s">
        <v>29</v>
      </c>
      <c r="AF1" s="6" t="s">
        <v>30</v>
      </c>
      <c r="AG1" s="6" t="s">
        <v>31</v>
      </c>
      <c r="AH1" s="6" t="s">
        <v>32</v>
      </c>
      <c r="AI1" s="6" t="s">
        <v>33</v>
      </c>
      <c r="AJ1" s="6" t="s">
        <v>34</v>
      </c>
      <c r="AK1" s="6" t="s">
        <v>35</v>
      </c>
      <c r="AL1" s="6" t="s">
        <v>36</v>
      </c>
      <c r="AM1" s="6" t="s">
        <v>37</v>
      </c>
      <c r="AN1" s="6" t="s">
        <v>38</v>
      </c>
      <c r="AO1" s="6" t="s">
        <v>39</v>
      </c>
      <c r="AP1" s="6" t="s">
        <v>40</v>
      </c>
      <c r="AQ1" s="6" t="s">
        <v>41</v>
      </c>
      <c r="AR1" s="6" t="s">
        <v>42</v>
      </c>
      <c r="AS1" s="6" t="s">
        <v>43</v>
      </c>
      <c r="AT1" s="6" t="s">
        <v>44</v>
      </c>
      <c r="AU1" s="6" t="s">
        <v>45</v>
      </c>
      <c r="AV1" s="6" t="s">
        <v>46</v>
      </c>
      <c r="AW1" s="6" t="s">
        <v>47</v>
      </c>
      <c r="AX1" s="6" t="s">
        <v>48</v>
      </c>
    </row>
    <row r="2" spans="1:50">
      <c r="A2" s="6">
        <v>775</v>
      </c>
      <c r="B2" s="5" t="s">
        <v>2519</v>
      </c>
      <c r="C2" s="6">
        <v>5</v>
      </c>
      <c r="D2" s="6" t="s">
        <v>98</v>
      </c>
      <c r="E2" s="6">
        <v>383</v>
      </c>
      <c r="F2" s="6" t="s">
        <v>100</v>
      </c>
      <c r="G2" s="6">
        <v>42145.450532407405</v>
      </c>
      <c r="H2" s="6">
        <v>42156.501643518517</v>
      </c>
      <c r="I2" s="6">
        <v>42145.450532407405</v>
      </c>
      <c r="J2" s="6" t="s">
        <v>103</v>
      </c>
      <c r="K2" s="6" t="s">
        <v>105</v>
      </c>
      <c r="L2" s="6" t="s">
        <v>107</v>
      </c>
      <c r="N2" s="6" t="s">
        <v>109</v>
      </c>
      <c r="O2" s="6" t="s">
        <v>112</v>
      </c>
      <c r="Q2" s="6">
        <v>12</v>
      </c>
      <c r="R2" s="6" t="s">
        <v>57</v>
      </c>
      <c r="S2" s="7">
        <v>12</v>
      </c>
      <c r="T2" s="7" t="s">
        <v>51</v>
      </c>
      <c r="U2" s="6" t="s">
        <v>50</v>
      </c>
      <c r="V2" s="6" t="s">
        <v>158</v>
      </c>
      <c r="W2" s="6" t="s">
        <v>160</v>
      </c>
      <c r="X2" s="6" t="s">
        <v>107</v>
      </c>
      <c r="Y2" s="8" t="s">
        <v>2520</v>
      </c>
      <c r="AA2" s="8" t="s">
        <v>2521</v>
      </c>
      <c r="AB2" s="6">
        <v>41944</v>
      </c>
      <c r="AE2" s="6" t="s">
        <v>177</v>
      </c>
      <c r="AF2" s="6" t="s">
        <v>178</v>
      </c>
      <c r="AG2" s="6" t="s">
        <v>180</v>
      </c>
      <c r="AH2" s="6" t="s">
        <v>181</v>
      </c>
      <c r="AI2" s="6" t="s">
        <v>182</v>
      </c>
      <c r="AJ2" s="6" t="s">
        <v>183</v>
      </c>
      <c r="AK2" s="6" t="s">
        <v>185</v>
      </c>
      <c r="AL2" s="6" t="s">
        <v>178</v>
      </c>
      <c r="AM2" s="6" t="s">
        <v>185</v>
      </c>
      <c r="AN2" s="6" t="s">
        <v>187</v>
      </c>
      <c r="AO2" s="6" t="s">
        <v>189</v>
      </c>
      <c r="AP2" s="6" t="s">
        <v>190</v>
      </c>
      <c r="AQ2" s="6" t="s">
        <v>185</v>
      </c>
      <c r="AR2" s="6" t="s">
        <v>185</v>
      </c>
      <c r="AS2" s="6" t="s">
        <v>193</v>
      </c>
      <c r="AT2" s="6" t="s">
        <v>193</v>
      </c>
      <c r="AU2" s="6" t="s">
        <v>189</v>
      </c>
      <c r="AV2" s="6" t="s">
        <v>195</v>
      </c>
      <c r="AW2" s="6" t="s">
        <v>178</v>
      </c>
      <c r="AX2" s="6" t="s">
        <v>198</v>
      </c>
    </row>
    <row r="3" spans="1:50">
      <c r="A3" s="6">
        <v>602</v>
      </c>
      <c r="B3" s="5" t="s">
        <v>2522</v>
      </c>
      <c r="C3" s="6">
        <v>3</v>
      </c>
      <c r="D3" s="6" t="s">
        <v>98</v>
      </c>
      <c r="E3" s="6">
        <v>1</v>
      </c>
      <c r="F3" s="6" t="s">
        <v>347</v>
      </c>
      <c r="G3" s="6">
        <v>41988.924212962964</v>
      </c>
      <c r="H3" s="6">
        <v>41988.924212962964</v>
      </c>
      <c r="I3" s="6">
        <v>41988.924212962964</v>
      </c>
      <c r="J3" s="6" t="s">
        <v>103</v>
      </c>
      <c r="K3" s="6" t="s">
        <v>105</v>
      </c>
      <c r="L3" s="6" t="s">
        <v>350</v>
      </c>
      <c r="M3" s="6" t="s">
        <v>352</v>
      </c>
      <c r="N3" s="6" t="s">
        <v>354</v>
      </c>
      <c r="O3" s="6" t="s">
        <v>356</v>
      </c>
      <c r="P3" s="6" t="s">
        <v>215</v>
      </c>
      <c r="Q3" s="6">
        <v>32</v>
      </c>
      <c r="R3" s="6" t="s">
        <v>72</v>
      </c>
      <c r="S3" s="7">
        <v>32</v>
      </c>
      <c r="T3" s="7" t="s">
        <v>2517</v>
      </c>
      <c r="U3" s="6" t="s">
        <v>53</v>
      </c>
      <c r="V3" s="6" t="s">
        <v>158</v>
      </c>
      <c r="W3" s="6" t="s">
        <v>364</v>
      </c>
      <c r="X3" s="6" t="s">
        <v>350</v>
      </c>
      <c r="Y3" s="8" t="s">
        <v>2523</v>
      </c>
      <c r="AB3" s="6">
        <v>41052</v>
      </c>
      <c r="AE3" s="6" t="s">
        <v>177</v>
      </c>
      <c r="AF3" s="6" t="s">
        <v>178</v>
      </c>
      <c r="AG3" s="6" t="s">
        <v>370</v>
      </c>
      <c r="AH3" s="6" t="s">
        <v>244</v>
      </c>
      <c r="AI3" s="6" t="s">
        <v>371</v>
      </c>
      <c r="AJ3" s="6" t="s">
        <v>244</v>
      </c>
      <c r="AK3" s="6" t="s">
        <v>244</v>
      </c>
      <c r="AL3" s="6" t="s">
        <v>247</v>
      </c>
      <c r="AM3" s="6" t="s">
        <v>244</v>
      </c>
      <c r="AN3" s="6" t="s">
        <v>247</v>
      </c>
      <c r="AO3" s="6" t="s">
        <v>244</v>
      </c>
      <c r="AP3" s="6" t="s">
        <v>247</v>
      </c>
      <c r="AQ3" s="6" t="s">
        <v>288</v>
      </c>
      <c r="AR3" s="6" t="s">
        <v>288</v>
      </c>
      <c r="AS3" s="6" t="s">
        <v>244</v>
      </c>
      <c r="AT3" s="6" t="s">
        <v>244</v>
      </c>
      <c r="AU3" s="6" t="s">
        <v>288</v>
      </c>
      <c r="AV3" s="6" t="s">
        <v>339</v>
      </c>
      <c r="AW3" s="6" t="s">
        <v>244</v>
      </c>
      <c r="AX3" s="6" t="s">
        <v>247</v>
      </c>
    </row>
    <row r="4" spans="1:50">
      <c r="A4" s="6">
        <v>604</v>
      </c>
      <c r="B4" s="5" t="s">
        <v>2524</v>
      </c>
      <c r="C4" s="6">
        <v>6</v>
      </c>
      <c r="D4" s="6" t="s">
        <v>98</v>
      </c>
      <c r="E4" s="6">
        <v>350</v>
      </c>
      <c r="F4" s="6" t="s">
        <v>380</v>
      </c>
      <c r="G4" s="6">
        <v>41988.924212962964</v>
      </c>
      <c r="H4" s="6">
        <v>42093.65425925926</v>
      </c>
      <c r="I4" s="6">
        <v>41988.924212962964</v>
      </c>
      <c r="J4" s="6" t="s">
        <v>103</v>
      </c>
      <c r="K4" s="6" t="s">
        <v>105</v>
      </c>
      <c r="L4" s="6" t="s">
        <v>381</v>
      </c>
      <c r="M4" s="6" t="s">
        <v>352</v>
      </c>
      <c r="N4" s="6" t="s">
        <v>382</v>
      </c>
      <c r="O4" s="6" t="s">
        <v>383</v>
      </c>
      <c r="P4" s="6" t="s">
        <v>215</v>
      </c>
      <c r="Q4" s="6">
        <v>32</v>
      </c>
      <c r="R4" s="6" t="s">
        <v>72</v>
      </c>
      <c r="S4" s="7">
        <v>32</v>
      </c>
      <c r="T4" s="7" t="s">
        <v>2517</v>
      </c>
      <c r="U4" s="6" t="s">
        <v>53</v>
      </c>
      <c r="V4" s="6" t="s">
        <v>158</v>
      </c>
      <c r="W4" s="6" t="s">
        <v>384</v>
      </c>
      <c r="X4" s="6" t="s">
        <v>381</v>
      </c>
      <c r="Y4" s="8" t="s">
        <v>2525</v>
      </c>
      <c r="Z4" s="8" t="s">
        <v>2526</v>
      </c>
      <c r="AA4" s="8" t="s">
        <v>2527</v>
      </c>
      <c r="AB4" s="6">
        <v>40598</v>
      </c>
      <c r="AE4" s="6" t="s">
        <v>177</v>
      </c>
      <c r="AF4" s="6" t="s">
        <v>178</v>
      </c>
      <c r="AG4" s="6" t="s">
        <v>180</v>
      </c>
      <c r="AH4" s="6" t="s">
        <v>377</v>
      </c>
      <c r="AI4" s="6" t="s">
        <v>385</v>
      </c>
      <c r="AJ4" s="6" t="s">
        <v>183</v>
      </c>
      <c r="AK4" s="6" t="s">
        <v>244</v>
      </c>
      <c r="AL4" s="6" t="s">
        <v>178</v>
      </c>
      <c r="AM4" s="6" t="s">
        <v>244</v>
      </c>
      <c r="AN4" s="6" t="s">
        <v>378</v>
      </c>
      <c r="AO4" s="6" t="s">
        <v>244</v>
      </c>
      <c r="AP4" s="6" t="s">
        <v>386</v>
      </c>
      <c r="AQ4" s="6" t="s">
        <v>288</v>
      </c>
      <c r="AR4" s="6" t="s">
        <v>288</v>
      </c>
      <c r="AS4" s="6" t="s">
        <v>193</v>
      </c>
      <c r="AT4" s="6" t="s">
        <v>193</v>
      </c>
      <c r="AU4" s="6" t="s">
        <v>244</v>
      </c>
      <c r="AV4" s="6" t="s">
        <v>339</v>
      </c>
      <c r="AW4" s="6" t="s">
        <v>244</v>
      </c>
      <c r="AX4" s="6" t="s">
        <v>247</v>
      </c>
    </row>
    <row r="5" spans="1:50">
      <c r="A5" s="6">
        <v>605</v>
      </c>
      <c r="B5" s="5" t="s">
        <v>2528</v>
      </c>
      <c r="C5" s="6">
        <v>7</v>
      </c>
      <c r="D5" s="6" t="s">
        <v>98</v>
      </c>
      <c r="E5" s="6">
        <v>351</v>
      </c>
      <c r="F5" s="6" t="s">
        <v>387</v>
      </c>
      <c r="G5" s="6">
        <v>41988.924212962964</v>
      </c>
      <c r="H5" s="6">
        <v>42060.707245370373</v>
      </c>
      <c r="I5" s="6">
        <v>41988.924212962964</v>
      </c>
      <c r="J5" s="6" t="s">
        <v>103</v>
      </c>
      <c r="K5" s="6" t="s">
        <v>105</v>
      </c>
      <c r="L5" s="6" t="s">
        <v>388</v>
      </c>
      <c r="M5" s="6" t="s">
        <v>352</v>
      </c>
      <c r="N5" s="6" t="s">
        <v>389</v>
      </c>
      <c r="O5" s="6" t="s">
        <v>390</v>
      </c>
      <c r="P5" s="6" t="s">
        <v>215</v>
      </c>
      <c r="Q5" s="6">
        <v>32</v>
      </c>
      <c r="R5" s="6" t="s">
        <v>72</v>
      </c>
      <c r="S5" s="7">
        <v>32</v>
      </c>
      <c r="T5" s="7" t="s">
        <v>2517</v>
      </c>
      <c r="U5" s="6" t="s">
        <v>53</v>
      </c>
      <c r="V5" s="6" t="s">
        <v>158</v>
      </c>
      <c r="W5" s="6" t="s">
        <v>384</v>
      </c>
      <c r="X5" s="6" t="s">
        <v>388</v>
      </c>
      <c r="Y5" s="8" t="s">
        <v>2529</v>
      </c>
      <c r="Z5" s="8" t="s">
        <v>2530</v>
      </c>
      <c r="AA5" s="8" t="s">
        <v>2531</v>
      </c>
      <c r="AB5" s="6">
        <v>41862</v>
      </c>
      <c r="AC5" s="6">
        <v>42005</v>
      </c>
      <c r="AE5" s="6" t="s">
        <v>177</v>
      </c>
      <c r="AF5" s="6" t="s">
        <v>178</v>
      </c>
      <c r="AG5" s="6" t="s">
        <v>180</v>
      </c>
      <c r="AH5" s="6" t="s">
        <v>392</v>
      </c>
      <c r="AI5" s="6" t="s">
        <v>182</v>
      </c>
      <c r="AJ5" s="6" t="s">
        <v>393</v>
      </c>
      <c r="AK5" s="6" t="s">
        <v>189</v>
      </c>
      <c r="AL5" s="6" t="s">
        <v>178</v>
      </c>
      <c r="AM5" s="6" t="s">
        <v>185</v>
      </c>
      <c r="AN5" s="6" t="s">
        <v>392</v>
      </c>
      <c r="AO5" s="6" t="s">
        <v>185</v>
      </c>
      <c r="AP5" s="6" t="s">
        <v>394</v>
      </c>
      <c r="AQ5" s="6" t="s">
        <v>189</v>
      </c>
      <c r="AR5" s="6" t="s">
        <v>185</v>
      </c>
      <c r="AS5" s="6" t="s">
        <v>244</v>
      </c>
      <c r="AT5" s="6" t="s">
        <v>395</v>
      </c>
      <c r="AU5" s="6" t="s">
        <v>185</v>
      </c>
      <c r="AV5" s="6" t="s">
        <v>195</v>
      </c>
      <c r="AW5" s="6" t="s">
        <v>244</v>
      </c>
      <c r="AX5" s="6" t="s">
        <v>247</v>
      </c>
    </row>
    <row r="6" spans="1:50">
      <c r="A6" s="6">
        <v>565</v>
      </c>
      <c r="B6" s="5" t="s">
        <v>2532</v>
      </c>
      <c r="C6" s="6">
        <v>5</v>
      </c>
      <c r="D6" s="6" t="s">
        <v>98</v>
      </c>
      <c r="E6" s="6">
        <v>341</v>
      </c>
      <c r="F6" s="6" t="s">
        <v>400</v>
      </c>
      <c r="G6" s="6">
        <v>41988.924155092594</v>
      </c>
      <c r="H6" s="6">
        <v>42046.981747685182</v>
      </c>
      <c r="I6" s="6">
        <v>41988.924155092594</v>
      </c>
      <c r="J6" s="6" t="s">
        <v>103</v>
      </c>
      <c r="K6" s="6" t="s">
        <v>105</v>
      </c>
      <c r="L6" s="6" t="s">
        <v>401</v>
      </c>
      <c r="M6" s="6" t="s">
        <v>374</v>
      </c>
      <c r="N6" s="6" t="s">
        <v>402</v>
      </c>
      <c r="O6" s="6" t="s">
        <v>403</v>
      </c>
      <c r="P6" s="6" t="s">
        <v>215</v>
      </c>
      <c r="Q6" s="6">
        <v>36</v>
      </c>
      <c r="R6" s="6" t="s">
        <v>75</v>
      </c>
      <c r="S6" s="7">
        <v>36</v>
      </c>
      <c r="T6" s="7" t="s">
        <v>55</v>
      </c>
      <c r="U6" s="6" t="s">
        <v>55</v>
      </c>
      <c r="V6" s="6" t="s">
        <v>158</v>
      </c>
      <c r="W6" s="6" t="s">
        <v>160</v>
      </c>
      <c r="X6" s="6" t="s">
        <v>401</v>
      </c>
      <c r="Y6" s="8" t="s">
        <v>2533</v>
      </c>
      <c r="Z6" s="8" t="s">
        <v>2534</v>
      </c>
      <c r="AA6" s="8" t="s">
        <v>2535</v>
      </c>
      <c r="AB6" s="6">
        <v>41852</v>
      </c>
      <c r="AC6" s="6">
        <v>41852</v>
      </c>
      <c r="AE6" s="6" t="s">
        <v>177</v>
      </c>
      <c r="AF6" s="6" t="s">
        <v>178</v>
      </c>
      <c r="AG6" s="6" t="s">
        <v>180</v>
      </c>
      <c r="AH6" s="6" t="s">
        <v>371</v>
      </c>
      <c r="AI6" s="6" t="s">
        <v>182</v>
      </c>
      <c r="AJ6" s="6" t="s">
        <v>244</v>
      </c>
      <c r="AK6" s="6" t="s">
        <v>185</v>
      </c>
      <c r="AL6" s="6" t="s">
        <v>247</v>
      </c>
      <c r="AM6" s="6" t="s">
        <v>244</v>
      </c>
      <c r="AN6" s="6" t="s">
        <v>247</v>
      </c>
      <c r="AO6" s="6" t="s">
        <v>244</v>
      </c>
      <c r="AQ6" s="6" t="s">
        <v>244</v>
      </c>
      <c r="AR6" s="6" t="s">
        <v>244</v>
      </c>
      <c r="AS6" s="6" t="s">
        <v>244</v>
      </c>
      <c r="AT6" s="6" t="s">
        <v>244</v>
      </c>
      <c r="AU6" s="6" t="s">
        <v>244</v>
      </c>
      <c r="AV6" s="6" t="s">
        <v>244</v>
      </c>
      <c r="AW6" s="6" t="s">
        <v>244</v>
      </c>
      <c r="AX6" s="6" t="s">
        <v>247</v>
      </c>
    </row>
    <row r="7" spans="1:50">
      <c r="A7" s="6">
        <v>566</v>
      </c>
      <c r="B7" s="5" t="s">
        <v>2536</v>
      </c>
      <c r="C7" s="6">
        <v>3</v>
      </c>
      <c r="D7" s="6" t="s">
        <v>98</v>
      </c>
      <c r="E7" s="6">
        <v>1</v>
      </c>
      <c r="F7" s="6" t="s">
        <v>404</v>
      </c>
      <c r="G7" s="6">
        <v>41988.924155092594</v>
      </c>
      <c r="H7" s="6">
        <v>41988.924155092594</v>
      </c>
      <c r="I7" s="6">
        <v>41988.924155092594</v>
      </c>
      <c r="J7" s="6" t="s">
        <v>103</v>
      </c>
      <c r="K7" s="6" t="s">
        <v>105</v>
      </c>
      <c r="L7" s="6" t="s">
        <v>405</v>
      </c>
      <c r="M7" s="6" t="s">
        <v>374</v>
      </c>
      <c r="N7" s="6" t="s">
        <v>406</v>
      </c>
      <c r="P7" s="6" t="s">
        <v>215</v>
      </c>
      <c r="Q7" s="6">
        <v>36</v>
      </c>
      <c r="R7" s="6" t="s">
        <v>75</v>
      </c>
      <c r="S7" s="7">
        <v>36</v>
      </c>
      <c r="T7" s="7" t="s">
        <v>55</v>
      </c>
      <c r="U7" s="6" t="s">
        <v>55</v>
      </c>
      <c r="V7" s="6" t="s">
        <v>158</v>
      </c>
      <c r="W7" s="6" t="s">
        <v>376</v>
      </c>
      <c r="X7" s="6" t="s">
        <v>405</v>
      </c>
      <c r="Y7" s="8" t="s">
        <v>2537</v>
      </c>
      <c r="Z7" s="8" t="s">
        <v>2538</v>
      </c>
      <c r="AB7" s="6">
        <v>41275</v>
      </c>
      <c r="AE7" s="6" t="s">
        <v>177</v>
      </c>
      <c r="AF7" s="6" t="s">
        <v>178</v>
      </c>
      <c r="AG7" s="6" t="s">
        <v>370</v>
      </c>
      <c r="AH7" s="6" t="s">
        <v>371</v>
      </c>
      <c r="AI7" s="6" t="s">
        <v>371</v>
      </c>
      <c r="AJ7" s="6" t="s">
        <v>371</v>
      </c>
      <c r="AK7" s="6" t="s">
        <v>244</v>
      </c>
      <c r="AL7" s="6" t="s">
        <v>178</v>
      </c>
      <c r="AM7" s="6" t="s">
        <v>244</v>
      </c>
      <c r="AN7" s="6" t="s">
        <v>371</v>
      </c>
      <c r="AO7" s="6" t="s">
        <v>244</v>
      </c>
      <c r="AP7" s="6" t="s">
        <v>386</v>
      </c>
      <c r="AQ7" s="6" t="s">
        <v>288</v>
      </c>
      <c r="AR7" s="6" t="s">
        <v>288</v>
      </c>
      <c r="AS7" s="6" t="s">
        <v>244</v>
      </c>
      <c r="AT7" s="6" t="s">
        <v>244</v>
      </c>
      <c r="AU7" s="6" t="s">
        <v>288</v>
      </c>
      <c r="AV7" s="6" t="s">
        <v>339</v>
      </c>
      <c r="AW7" s="6" t="s">
        <v>244</v>
      </c>
      <c r="AX7" s="6" t="s">
        <v>247</v>
      </c>
    </row>
    <row r="8" spans="1:50">
      <c r="A8" s="6">
        <v>568</v>
      </c>
      <c r="B8" s="5" t="s">
        <v>2539</v>
      </c>
      <c r="C8" s="6">
        <v>3</v>
      </c>
      <c r="D8" s="6" t="s">
        <v>98</v>
      </c>
      <c r="E8" s="6">
        <v>1</v>
      </c>
      <c r="F8" s="6" t="s">
        <v>410</v>
      </c>
      <c r="G8" s="6">
        <v>41988.924155092594</v>
      </c>
      <c r="H8" s="6">
        <v>41988.924155092594</v>
      </c>
      <c r="I8" s="6">
        <v>41988.924155092594</v>
      </c>
      <c r="J8" s="6" t="s">
        <v>103</v>
      </c>
      <c r="K8" s="6" t="s">
        <v>105</v>
      </c>
      <c r="L8" s="6" t="s">
        <v>411</v>
      </c>
      <c r="M8" s="6" t="s">
        <v>374</v>
      </c>
      <c r="N8" s="6" t="s">
        <v>412</v>
      </c>
      <c r="P8" s="6" t="s">
        <v>215</v>
      </c>
      <c r="Q8" s="6">
        <v>36</v>
      </c>
      <c r="R8" s="6" t="s">
        <v>75</v>
      </c>
      <c r="S8" s="7">
        <v>36</v>
      </c>
      <c r="T8" s="7" t="s">
        <v>55</v>
      </c>
      <c r="U8" s="6" t="s">
        <v>55</v>
      </c>
      <c r="V8" s="6" t="s">
        <v>158</v>
      </c>
      <c r="W8" s="6" t="s">
        <v>160</v>
      </c>
      <c r="X8" s="6" t="s">
        <v>411</v>
      </c>
      <c r="Y8" s="8" t="s">
        <v>2540</v>
      </c>
      <c r="Z8" s="8" t="s">
        <v>2541</v>
      </c>
      <c r="AA8" s="8" t="s">
        <v>2542</v>
      </c>
      <c r="AE8" s="6" t="s">
        <v>244</v>
      </c>
      <c r="AF8" s="6" t="s">
        <v>178</v>
      </c>
      <c r="AG8" s="6" t="s">
        <v>180</v>
      </c>
      <c r="AH8" s="6" t="s">
        <v>187</v>
      </c>
      <c r="AI8" s="6" t="s">
        <v>371</v>
      </c>
      <c r="AJ8" s="6" t="s">
        <v>371</v>
      </c>
      <c r="AK8" s="6" t="s">
        <v>244</v>
      </c>
      <c r="AL8" s="6" t="s">
        <v>178</v>
      </c>
      <c r="AM8" s="6" t="s">
        <v>244</v>
      </c>
      <c r="AN8" s="6" t="s">
        <v>247</v>
      </c>
      <c r="AO8" s="6" t="s">
        <v>244</v>
      </c>
      <c r="AP8" s="6" t="s">
        <v>386</v>
      </c>
      <c r="AQ8" s="6" t="s">
        <v>288</v>
      </c>
      <c r="AR8" s="6" t="s">
        <v>288</v>
      </c>
      <c r="AS8" s="6" t="s">
        <v>244</v>
      </c>
      <c r="AT8" s="6" t="s">
        <v>244</v>
      </c>
      <c r="AU8" s="6" t="s">
        <v>288</v>
      </c>
      <c r="AV8" s="6" t="s">
        <v>339</v>
      </c>
      <c r="AW8" s="6" t="s">
        <v>244</v>
      </c>
      <c r="AX8" s="6" t="s">
        <v>247</v>
      </c>
    </row>
    <row r="9" spans="1:50">
      <c r="A9" s="6">
        <v>569</v>
      </c>
      <c r="B9" s="5" t="s">
        <v>2543</v>
      </c>
      <c r="C9" s="6">
        <v>3</v>
      </c>
      <c r="D9" s="6" t="s">
        <v>98</v>
      </c>
      <c r="E9" s="6">
        <v>1</v>
      </c>
      <c r="F9" s="6" t="s">
        <v>413</v>
      </c>
      <c r="G9" s="6">
        <v>41988.924155092594</v>
      </c>
      <c r="H9" s="6">
        <v>41988.924155092594</v>
      </c>
      <c r="I9" s="6">
        <v>41988.924155092594</v>
      </c>
      <c r="J9" s="6" t="s">
        <v>103</v>
      </c>
      <c r="K9" s="6" t="s">
        <v>105</v>
      </c>
      <c r="L9" s="6" t="s">
        <v>414</v>
      </c>
      <c r="M9" s="6" t="s">
        <v>352</v>
      </c>
      <c r="N9" s="6" t="s">
        <v>415</v>
      </c>
      <c r="P9" s="6" t="s">
        <v>215</v>
      </c>
      <c r="Q9" s="6">
        <v>36</v>
      </c>
      <c r="R9" s="6" t="s">
        <v>75</v>
      </c>
      <c r="S9" s="7">
        <v>36</v>
      </c>
      <c r="T9" s="7" t="s">
        <v>55</v>
      </c>
      <c r="U9" s="6" t="s">
        <v>55</v>
      </c>
      <c r="V9" s="6" t="s">
        <v>158</v>
      </c>
      <c r="W9" s="6" t="s">
        <v>384</v>
      </c>
      <c r="X9" s="6" t="s">
        <v>414</v>
      </c>
      <c r="Y9" s="8" t="s">
        <v>2544</v>
      </c>
      <c r="Z9" s="8" t="s">
        <v>2545</v>
      </c>
      <c r="AA9" s="8" t="s">
        <v>2546</v>
      </c>
      <c r="AD9" s="6">
        <v>40724</v>
      </c>
      <c r="AE9" s="6" t="s">
        <v>244</v>
      </c>
      <c r="AF9" s="6" t="s">
        <v>178</v>
      </c>
      <c r="AG9" s="6" t="s">
        <v>180</v>
      </c>
      <c r="AH9" s="6" t="s">
        <v>377</v>
      </c>
      <c r="AI9" s="6" t="s">
        <v>385</v>
      </c>
      <c r="AJ9" s="6" t="s">
        <v>183</v>
      </c>
      <c r="AK9" s="6" t="s">
        <v>244</v>
      </c>
      <c r="AL9" s="6" t="s">
        <v>178</v>
      </c>
      <c r="AM9" s="6" t="s">
        <v>244</v>
      </c>
      <c r="AN9" s="6" t="s">
        <v>378</v>
      </c>
      <c r="AO9" s="6" t="s">
        <v>244</v>
      </c>
      <c r="AP9" s="6" t="s">
        <v>386</v>
      </c>
      <c r="AQ9" s="6" t="s">
        <v>288</v>
      </c>
      <c r="AR9" s="6" t="s">
        <v>288</v>
      </c>
      <c r="AS9" s="6" t="s">
        <v>244</v>
      </c>
      <c r="AT9" s="6" t="s">
        <v>244</v>
      </c>
      <c r="AU9" s="6" t="s">
        <v>288</v>
      </c>
      <c r="AV9" s="6" t="s">
        <v>339</v>
      </c>
      <c r="AW9" s="6" t="s">
        <v>244</v>
      </c>
      <c r="AX9" s="6" t="s">
        <v>247</v>
      </c>
    </row>
    <row r="10" spans="1:50">
      <c r="A10" s="6">
        <v>570</v>
      </c>
      <c r="B10" s="5" t="s">
        <v>2547</v>
      </c>
      <c r="C10" s="6">
        <v>4</v>
      </c>
      <c r="D10" s="6" t="s">
        <v>98</v>
      </c>
      <c r="E10" s="6">
        <v>1</v>
      </c>
      <c r="F10" s="6" t="s">
        <v>416</v>
      </c>
      <c r="G10" s="6">
        <v>41988.924155092594</v>
      </c>
      <c r="H10" s="6">
        <v>42026.550902777781</v>
      </c>
      <c r="I10" s="6">
        <v>41988.924155092594</v>
      </c>
      <c r="J10" s="6" t="s">
        <v>103</v>
      </c>
      <c r="K10" s="6" t="s">
        <v>105</v>
      </c>
      <c r="L10" s="6" t="s">
        <v>417</v>
      </c>
      <c r="M10" s="6" t="s">
        <v>374</v>
      </c>
      <c r="N10" s="6" t="s">
        <v>418</v>
      </c>
      <c r="P10" s="6" t="s">
        <v>215</v>
      </c>
      <c r="Q10" s="6">
        <v>36</v>
      </c>
      <c r="R10" s="6" t="s">
        <v>75</v>
      </c>
      <c r="S10" s="7">
        <v>36</v>
      </c>
      <c r="T10" s="7" t="s">
        <v>55</v>
      </c>
      <c r="U10" s="6" t="s">
        <v>55</v>
      </c>
      <c r="V10" s="6" t="s">
        <v>158</v>
      </c>
      <c r="W10" s="6" t="s">
        <v>160</v>
      </c>
      <c r="X10" s="6" t="s">
        <v>417</v>
      </c>
      <c r="Y10" s="8" t="s">
        <v>2548</v>
      </c>
      <c r="Z10" s="8" t="s">
        <v>2549</v>
      </c>
      <c r="AA10" s="8" t="s">
        <v>2550</v>
      </c>
      <c r="AB10" s="6">
        <v>41233</v>
      </c>
      <c r="AC10" s="6">
        <v>41233</v>
      </c>
      <c r="AD10" s="6">
        <v>41831</v>
      </c>
      <c r="AE10" s="6" t="s">
        <v>244</v>
      </c>
      <c r="AF10" s="6" t="s">
        <v>178</v>
      </c>
      <c r="AG10" s="6" t="s">
        <v>180</v>
      </c>
      <c r="AH10" s="6" t="s">
        <v>244</v>
      </c>
      <c r="AI10" s="6" t="s">
        <v>182</v>
      </c>
      <c r="AJ10" s="6" t="s">
        <v>244</v>
      </c>
      <c r="AK10" s="6" t="s">
        <v>189</v>
      </c>
      <c r="AL10" s="6" t="s">
        <v>371</v>
      </c>
      <c r="AM10" s="6" t="s">
        <v>189</v>
      </c>
      <c r="AN10" s="6" t="s">
        <v>247</v>
      </c>
      <c r="AO10" s="6" t="s">
        <v>244</v>
      </c>
      <c r="AP10" s="6" t="s">
        <v>247</v>
      </c>
      <c r="AQ10" s="6" t="s">
        <v>288</v>
      </c>
      <c r="AR10" s="6" t="s">
        <v>189</v>
      </c>
      <c r="AS10" s="6" t="s">
        <v>244</v>
      </c>
      <c r="AT10" s="6" t="s">
        <v>244</v>
      </c>
      <c r="AU10" s="6" t="s">
        <v>288</v>
      </c>
      <c r="AV10" s="6" t="s">
        <v>339</v>
      </c>
      <c r="AW10" s="6" t="s">
        <v>244</v>
      </c>
      <c r="AX10" s="6" t="s">
        <v>247</v>
      </c>
    </row>
    <row r="11" spans="1:50">
      <c r="A11" s="6">
        <v>576</v>
      </c>
      <c r="B11" s="5" t="s">
        <v>2551</v>
      </c>
      <c r="C11" s="6">
        <v>3</v>
      </c>
      <c r="D11" s="6" t="s">
        <v>98</v>
      </c>
      <c r="E11" s="6">
        <v>1</v>
      </c>
      <c r="F11" s="6" t="s">
        <v>435</v>
      </c>
      <c r="G11" s="6">
        <v>41988.924166666664</v>
      </c>
      <c r="H11" s="6">
        <v>41988.924166666664</v>
      </c>
      <c r="I11" s="6">
        <v>41988.924166666664</v>
      </c>
      <c r="J11" s="6" t="s">
        <v>103</v>
      </c>
      <c r="K11" s="6" t="s">
        <v>105</v>
      </c>
      <c r="L11" s="6" t="s">
        <v>436</v>
      </c>
      <c r="M11" s="6" t="s">
        <v>352</v>
      </c>
      <c r="N11" s="6" t="s">
        <v>437</v>
      </c>
      <c r="P11" s="6" t="s">
        <v>215</v>
      </c>
      <c r="Q11" s="6">
        <v>36</v>
      </c>
      <c r="R11" s="6" t="s">
        <v>75</v>
      </c>
      <c r="S11" s="7">
        <v>36</v>
      </c>
      <c r="T11" s="7" t="s">
        <v>55</v>
      </c>
      <c r="U11" s="6" t="s">
        <v>55</v>
      </c>
      <c r="V11" s="6" t="s">
        <v>158</v>
      </c>
      <c r="W11" s="6" t="s">
        <v>384</v>
      </c>
      <c r="X11" s="6" t="s">
        <v>436</v>
      </c>
      <c r="Y11" s="8" t="s">
        <v>2552</v>
      </c>
      <c r="Z11" s="8" t="s">
        <v>2553</v>
      </c>
      <c r="AA11" s="8" t="s">
        <v>2554</v>
      </c>
      <c r="AE11" s="6" t="s">
        <v>244</v>
      </c>
      <c r="AF11" s="6" t="s">
        <v>178</v>
      </c>
      <c r="AG11" s="6" t="s">
        <v>180</v>
      </c>
      <c r="AH11" s="6" t="s">
        <v>244</v>
      </c>
      <c r="AI11" s="6" t="s">
        <v>385</v>
      </c>
      <c r="AJ11" s="6" t="s">
        <v>183</v>
      </c>
      <c r="AK11" s="6" t="s">
        <v>244</v>
      </c>
      <c r="AL11" s="6" t="s">
        <v>178</v>
      </c>
      <c r="AM11" s="6" t="s">
        <v>244</v>
      </c>
      <c r="AN11" s="6" t="s">
        <v>247</v>
      </c>
      <c r="AO11" s="6" t="s">
        <v>244</v>
      </c>
      <c r="AP11" s="6" t="s">
        <v>247</v>
      </c>
      <c r="AQ11" s="6" t="s">
        <v>288</v>
      </c>
      <c r="AR11" s="6" t="s">
        <v>288</v>
      </c>
      <c r="AS11" s="6" t="s">
        <v>244</v>
      </c>
      <c r="AT11" s="6" t="s">
        <v>244</v>
      </c>
      <c r="AU11" s="6" t="s">
        <v>288</v>
      </c>
      <c r="AV11" s="6" t="s">
        <v>339</v>
      </c>
      <c r="AW11" s="6" t="s">
        <v>244</v>
      </c>
      <c r="AX11" s="6" t="s">
        <v>247</v>
      </c>
    </row>
    <row r="12" spans="1:50">
      <c r="A12" s="6">
        <v>577</v>
      </c>
      <c r="B12" s="5" t="s">
        <v>2555</v>
      </c>
      <c r="C12" s="6">
        <v>5</v>
      </c>
      <c r="D12" s="6" t="s">
        <v>98</v>
      </c>
      <c r="E12" s="6">
        <v>344</v>
      </c>
      <c r="F12" s="6" t="s">
        <v>438</v>
      </c>
      <c r="G12" s="6">
        <v>41988.924178240741</v>
      </c>
      <c r="H12" s="6">
        <v>42046.981747685182</v>
      </c>
      <c r="I12" s="6">
        <v>41988.924178240741</v>
      </c>
      <c r="J12" s="6" t="s">
        <v>103</v>
      </c>
      <c r="K12" s="6" t="s">
        <v>105</v>
      </c>
      <c r="L12" s="6" t="s">
        <v>439</v>
      </c>
      <c r="M12" s="6" t="s">
        <v>374</v>
      </c>
      <c r="N12" s="6" t="s">
        <v>440</v>
      </c>
      <c r="O12" s="6" t="s">
        <v>441</v>
      </c>
      <c r="P12" s="6" t="s">
        <v>215</v>
      </c>
      <c r="Q12" s="6">
        <v>36</v>
      </c>
      <c r="R12" s="6" t="s">
        <v>75</v>
      </c>
      <c r="S12" s="7">
        <v>36</v>
      </c>
      <c r="T12" s="7" t="s">
        <v>55</v>
      </c>
      <c r="U12" s="6" t="s">
        <v>55</v>
      </c>
      <c r="V12" s="6" t="s">
        <v>158</v>
      </c>
      <c r="W12" s="6" t="s">
        <v>376</v>
      </c>
      <c r="X12" s="6" t="s">
        <v>439</v>
      </c>
      <c r="Y12" s="8" t="s">
        <v>2556</v>
      </c>
      <c r="Z12" s="8" t="s">
        <v>2557</v>
      </c>
      <c r="AA12" s="8" t="s">
        <v>2556</v>
      </c>
      <c r="AB12" s="6">
        <v>41091</v>
      </c>
      <c r="AC12" s="6">
        <v>41091</v>
      </c>
      <c r="AD12" s="6">
        <v>41963</v>
      </c>
      <c r="AE12" s="6" t="s">
        <v>177</v>
      </c>
      <c r="AF12" s="6" t="s">
        <v>178</v>
      </c>
      <c r="AG12" s="6" t="s">
        <v>370</v>
      </c>
      <c r="AH12" s="6" t="s">
        <v>377</v>
      </c>
      <c r="AI12" s="6" t="s">
        <v>182</v>
      </c>
      <c r="AJ12" s="6" t="s">
        <v>244</v>
      </c>
      <c r="AK12" s="6" t="s">
        <v>244</v>
      </c>
      <c r="AL12" s="6" t="s">
        <v>178</v>
      </c>
      <c r="AM12" s="6" t="s">
        <v>244</v>
      </c>
      <c r="AN12" s="6" t="s">
        <v>378</v>
      </c>
      <c r="AO12" s="6" t="s">
        <v>244</v>
      </c>
      <c r="AP12" s="6" t="s">
        <v>247</v>
      </c>
      <c r="AQ12" s="6" t="s">
        <v>288</v>
      </c>
      <c r="AR12" s="6" t="s">
        <v>288</v>
      </c>
      <c r="AS12" s="6" t="s">
        <v>395</v>
      </c>
      <c r="AT12" s="6" t="s">
        <v>244</v>
      </c>
      <c r="AU12" s="6" t="s">
        <v>244</v>
      </c>
      <c r="AV12" s="6" t="s">
        <v>244</v>
      </c>
      <c r="AW12" s="6" t="s">
        <v>442</v>
      </c>
      <c r="AX12" s="6" t="s">
        <v>247</v>
      </c>
    </row>
    <row r="13" spans="1:50">
      <c r="A13" s="6">
        <v>579</v>
      </c>
      <c r="B13" s="5" t="s">
        <v>2558</v>
      </c>
      <c r="C13" s="6">
        <v>4</v>
      </c>
      <c r="D13" s="6" t="s">
        <v>98</v>
      </c>
      <c r="E13" s="6">
        <v>1</v>
      </c>
      <c r="F13" s="6" t="s">
        <v>446</v>
      </c>
      <c r="G13" s="6">
        <v>41988.924178240741</v>
      </c>
      <c r="H13" s="6">
        <v>42012.483587962961</v>
      </c>
      <c r="I13" s="6">
        <v>41988.924178240741</v>
      </c>
      <c r="J13" s="6" t="s">
        <v>103</v>
      </c>
      <c r="K13" s="6" t="s">
        <v>105</v>
      </c>
      <c r="L13" s="6" t="s">
        <v>447</v>
      </c>
      <c r="M13" s="6" t="s">
        <v>374</v>
      </c>
      <c r="N13" s="6" t="s">
        <v>448</v>
      </c>
      <c r="P13" s="6" t="s">
        <v>215</v>
      </c>
      <c r="Q13" s="6">
        <v>36</v>
      </c>
      <c r="R13" s="6" t="s">
        <v>75</v>
      </c>
      <c r="S13" s="7">
        <v>36</v>
      </c>
      <c r="T13" s="7" t="s">
        <v>55</v>
      </c>
      <c r="U13" s="6" t="s">
        <v>55</v>
      </c>
      <c r="V13" s="6" t="s">
        <v>158</v>
      </c>
      <c r="W13" s="6" t="s">
        <v>160</v>
      </c>
      <c r="X13" s="6" t="s">
        <v>447</v>
      </c>
      <c r="Y13" s="8" t="s">
        <v>2559</v>
      </c>
      <c r="Z13" s="8" t="s">
        <v>2560</v>
      </c>
      <c r="AA13" s="8" t="s">
        <v>2561</v>
      </c>
      <c r="AB13" s="6">
        <v>37890</v>
      </c>
      <c r="AC13" s="6">
        <v>37987</v>
      </c>
      <c r="AE13" s="6" t="s">
        <v>177</v>
      </c>
      <c r="AF13" s="6" t="s">
        <v>178</v>
      </c>
      <c r="AG13" s="6" t="s">
        <v>180</v>
      </c>
      <c r="AH13" s="6" t="s">
        <v>244</v>
      </c>
      <c r="AI13" s="6" t="s">
        <v>182</v>
      </c>
      <c r="AJ13" s="6" t="s">
        <v>393</v>
      </c>
      <c r="AK13" s="6" t="s">
        <v>244</v>
      </c>
      <c r="AL13" s="6" t="s">
        <v>178</v>
      </c>
      <c r="AM13" s="6" t="s">
        <v>244</v>
      </c>
      <c r="AN13" s="6" t="s">
        <v>378</v>
      </c>
      <c r="AO13" s="6" t="s">
        <v>185</v>
      </c>
      <c r="AP13" s="6" t="s">
        <v>386</v>
      </c>
      <c r="AQ13" s="6" t="s">
        <v>288</v>
      </c>
      <c r="AR13" s="6" t="s">
        <v>288</v>
      </c>
      <c r="AS13" s="6" t="s">
        <v>395</v>
      </c>
      <c r="AT13" s="6" t="s">
        <v>395</v>
      </c>
      <c r="AU13" s="6" t="s">
        <v>244</v>
      </c>
      <c r="AV13" s="6" t="s">
        <v>339</v>
      </c>
      <c r="AW13" s="6" t="s">
        <v>244</v>
      </c>
      <c r="AX13" s="6" t="s">
        <v>247</v>
      </c>
    </row>
    <row r="14" spans="1:50">
      <c r="A14" s="6">
        <v>581</v>
      </c>
      <c r="B14" s="5" t="s">
        <v>2562</v>
      </c>
      <c r="C14" s="6">
        <v>3</v>
      </c>
      <c r="D14" s="6" t="s">
        <v>98</v>
      </c>
      <c r="E14" s="6">
        <v>1</v>
      </c>
      <c r="F14" s="6" t="s">
        <v>452</v>
      </c>
      <c r="G14" s="6">
        <v>41988.924178240741</v>
      </c>
      <c r="H14" s="6">
        <v>41988.924178240741</v>
      </c>
      <c r="I14" s="6">
        <v>41988.924178240741</v>
      </c>
      <c r="J14" s="6" t="s">
        <v>103</v>
      </c>
      <c r="K14" s="6" t="s">
        <v>105</v>
      </c>
      <c r="L14" s="6" t="s">
        <v>453</v>
      </c>
      <c r="M14" s="6" t="s">
        <v>352</v>
      </c>
      <c r="N14" s="6" t="s">
        <v>454</v>
      </c>
      <c r="P14" s="6" t="s">
        <v>215</v>
      </c>
      <c r="Q14" s="6">
        <v>36</v>
      </c>
      <c r="R14" s="6" t="s">
        <v>75</v>
      </c>
      <c r="S14" s="7">
        <v>36</v>
      </c>
      <c r="T14" s="7" t="s">
        <v>55</v>
      </c>
      <c r="U14" s="6" t="s">
        <v>55</v>
      </c>
      <c r="V14" s="6" t="s">
        <v>158</v>
      </c>
      <c r="W14" s="6" t="s">
        <v>384</v>
      </c>
      <c r="X14" s="6" t="s">
        <v>453</v>
      </c>
      <c r="Y14" s="8" t="s">
        <v>2563</v>
      </c>
      <c r="Z14" s="8" t="s">
        <v>2564</v>
      </c>
      <c r="AA14" s="8" t="s">
        <v>2565</v>
      </c>
      <c r="AE14" s="6" t="s">
        <v>244</v>
      </c>
      <c r="AF14" s="6" t="s">
        <v>178</v>
      </c>
      <c r="AG14" s="6" t="s">
        <v>180</v>
      </c>
      <c r="AH14" s="6" t="s">
        <v>371</v>
      </c>
      <c r="AI14" s="6" t="s">
        <v>385</v>
      </c>
      <c r="AJ14" s="6" t="s">
        <v>183</v>
      </c>
      <c r="AK14" s="6" t="s">
        <v>244</v>
      </c>
      <c r="AL14" s="6" t="s">
        <v>247</v>
      </c>
      <c r="AM14" s="6" t="s">
        <v>244</v>
      </c>
      <c r="AN14" s="6" t="s">
        <v>247</v>
      </c>
      <c r="AO14" s="6" t="s">
        <v>244</v>
      </c>
      <c r="AP14" s="6" t="s">
        <v>247</v>
      </c>
      <c r="AQ14" s="6" t="s">
        <v>288</v>
      </c>
      <c r="AR14" s="6" t="s">
        <v>288</v>
      </c>
      <c r="AS14" s="6" t="s">
        <v>244</v>
      </c>
      <c r="AT14" s="6" t="s">
        <v>244</v>
      </c>
      <c r="AU14" s="6" t="s">
        <v>288</v>
      </c>
      <c r="AV14" s="6" t="s">
        <v>339</v>
      </c>
      <c r="AW14" s="6" t="s">
        <v>244</v>
      </c>
      <c r="AX14" s="6" t="s">
        <v>247</v>
      </c>
    </row>
    <row r="15" spans="1:50">
      <c r="A15" s="6">
        <v>582</v>
      </c>
      <c r="B15" s="5" t="s">
        <v>2566</v>
      </c>
      <c r="C15" s="6">
        <v>5</v>
      </c>
      <c r="D15" s="6" t="s">
        <v>98</v>
      </c>
      <c r="E15" s="6">
        <v>345</v>
      </c>
      <c r="F15" s="6" t="s">
        <v>455</v>
      </c>
      <c r="G15" s="6">
        <v>41988.924178240741</v>
      </c>
      <c r="H15" s="6">
        <v>42046.981747685182</v>
      </c>
      <c r="I15" s="6">
        <v>41988.924178240741</v>
      </c>
      <c r="J15" s="6" t="s">
        <v>103</v>
      </c>
      <c r="K15" s="6" t="s">
        <v>105</v>
      </c>
      <c r="L15" s="6" t="s">
        <v>456</v>
      </c>
      <c r="M15" s="6" t="s">
        <v>352</v>
      </c>
      <c r="N15" s="6" t="s">
        <v>457</v>
      </c>
      <c r="O15" s="6" t="s">
        <v>458</v>
      </c>
      <c r="P15" s="6" t="s">
        <v>215</v>
      </c>
      <c r="Q15" s="6">
        <v>36</v>
      </c>
      <c r="R15" s="6" t="s">
        <v>75</v>
      </c>
      <c r="S15" s="7">
        <v>36</v>
      </c>
      <c r="T15" s="7" t="s">
        <v>55</v>
      </c>
      <c r="U15" s="6" t="s">
        <v>55</v>
      </c>
      <c r="V15" s="6" t="s">
        <v>158</v>
      </c>
      <c r="W15" s="6" t="s">
        <v>384</v>
      </c>
      <c r="X15" s="6" t="s">
        <v>456</v>
      </c>
      <c r="Y15" s="8" t="s">
        <v>2567</v>
      </c>
      <c r="Z15" s="8" t="s">
        <v>2568</v>
      </c>
      <c r="AA15" s="8" t="s">
        <v>2569</v>
      </c>
      <c r="AB15" s="6">
        <v>2007</v>
      </c>
      <c r="AC15" s="6">
        <v>2007</v>
      </c>
      <c r="AE15" s="6" t="s">
        <v>177</v>
      </c>
      <c r="AF15" s="6" t="s">
        <v>178</v>
      </c>
      <c r="AG15" s="6" t="s">
        <v>180</v>
      </c>
      <c r="AH15" s="6" t="s">
        <v>244</v>
      </c>
      <c r="AI15" s="6" t="s">
        <v>385</v>
      </c>
      <c r="AJ15" s="6" t="s">
        <v>244</v>
      </c>
      <c r="AK15" s="6" t="s">
        <v>185</v>
      </c>
      <c r="AL15" s="6" t="s">
        <v>178</v>
      </c>
      <c r="AM15" s="6" t="s">
        <v>185</v>
      </c>
      <c r="AN15" s="6" t="s">
        <v>247</v>
      </c>
      <c r="AO15" s="6" t="s">
        <v>185</v>
      </c>
      <c r="AP15" s="6" t="s">
        <v>394</v>
      </c>
      <c r="AQ15" s="6" t="s">
        <v>288</v>
      </c>
      <c r="AR15" s="6" t="s">
        <v>288</v>
      </c>
      <c r="AS15" s="6" t="s">
        <v>459</v>
      </c>
      <c r="AT15" s="6" t="s">
        <v>459</v>
      </c>
      <c r="AU15" s="6" t="s">
        <v>288</v>
      </c>
      <c r="AV15" s="6" t="s">
        <v>339</v>
      </c>
      <c r="AW15" s="6" t="s">
        <v>244</v>
      </c>
      <c r="AX15" s="6" t="s">
        <v>247</v>
      </c>
    </row>
    <row r="16" spans="1:50">
      <c r="A16" s="6">
        <v>583</v>
      </c>
      <c r="B16" s="5" t="s">
        <v>2570</v>
      </c>
      <c r="C16" s="6">
        <v>3</v>
      </c>
      <c r="D16" s="6" t="s">
        <v>98</v>
      </c>
      <c r="E16" s="6">
        <v>1</v>
      </c>
      <c r="F16" s="6" t="s">
        <v>464</v>
      </c>
      <c r="G16" s="6">
        <v>41988.924189814818</v>
      </c>
      <c r="H16" s="6">
        <v>41988.924189814818</v>
      </c>
      <c r="I16" s="6">
        <v>41988.924189814818</v>
      </c>
      <c r="J16" s="6" t="s">
        <v>103</v>
      </c>
      <c r="K16" s="6" t="s">
        <v>105</v>
      </c>
      <c r="L16" s="6" t="s">
        <v>465</v>
      </c>
      <c r="M16" s="6" t="s">
        <v>352</v>
      </c>
      <c r="N16" s="6" t="s">
        <v>466</v>
      </c>
      <c r="P16" s="6" t="s">
        <v>215</v>
      </c>
      <c r="Q16" s="6">
        <v>36</v>
      </c>
      <c r="R16" s="6" t="s">
        <v>75</v>
      </c>
      <c r="S16" s="7">
        <v>36</v>
      </c>
      <c r="T16" s="7" t="s">
        <v>55</v>
      </c>
      <c r="U16" s="6" t="s">
        <v>55</v>
      </c>
      <c r="V16" s="6" t="s">
        <v>158</v>
      </c>
      <c r="W16" s="6" t="s">
        <v>384</v>
      </c>
      <c r="X16" s="6" t="s">
        <v>465</v>
      </c>
      <c r="Y16" s="8" t="s">
        <v>2571</v>
      </c>
      <c r="Z16" s="8" t="s">
        <v>2572</v>
      </c>
      <c r="AA16" s="8" t="s">
        <v>2573</v>
      </c>
      <c r="AC16" s="6">
        <v>39083</v>
      </c>
      <c r="AE16" s="6" t="s">
        <v>177</v>
      </c>
      <c r="AF16" s="6" t="s">
        <v>178</v>
      </c>
      <c r="AG16" s="6" t="s">
        <v>180</v>
      </c>
      <c r="AH16" s="6" t="s">
        <v>244</v>
      </c>
      <c r="AI16" s="6" t="s">
        <v>385</v>
      </c>
      <c r="AJ16" s="6" t="s">
        <v>183</v>
      </c>
      <c r="AK16" s="6" t="s">
        <v>244</v>
      </c>
      <c r="AL16" s="6" t="s">
        <v>371</v>
      </c>
      <c r="AM16" s="6" t="s">
        <v>244</v>
      </c>
      <c r="AN16" s="6" t="s">
        <v>247</v>
      </c>
      <c r="AO16" s="6" t="s">
        <v>244</v>
      </c>
      <c r="AP16" s="6" t="s">
        <v>247</v>
      </c>
      <c r="AQ16" s="6" t="s">
        <v>288</v>
      </c>
      <c r="AR16" s="6" t="s">
        <v>288</v>
      </c>
      <c r="AS16" s="6" t="s">
        <v>244</v>
      </c>
      <c r="AT16" s="6" t="s">
        <v>244</v>
      </c>
      <c r="AU16" s="6" t="s">
        <v>288</v>
      </c>
      <c r="AV16" s="6" t="s">
        <v>339</v>
      </c>
      <c r="AW16" s="6" t="s">
        <v>244</v>
      </c>
      <c r="AX16" s="6" t="s">
        <v>247</v>
      </c>
    </row>
    <row r="17" spans="1:50">
      <c r="A17" s="6">
        <v>586</v>
      </c>
      <c r="B17" s="5" t="s">
        <v>2574</v>
      </c>
      <c r="C17" s="6">
        <v>3</v>
      </c>
      <c r="D17" s="6" t="s">
        <v>98</v>
      </c>
      <c r="E17" s="6">
        <v>1</v>
      </c>
      <c r="F17" s="6" t="s">
        <v>467</v>
      </c>
      <c r="G17" s="6">
        <v>41988.924189814818</v>
      </c>
      <c r="H17" s="6">
        <v>41988.924189814818</v>
      </c>
      <c r="I17" s="6">
        <v>41988.924189814818</v>
      </c>
      <c r="J17" s="6" t="s">
        <v>103</v>
      </c>
      <c r="K17" s="6" t="s">
        <v>105</v>
      </c>
      <c r="L17" s="6" t="s">
        <v>468</v>
      </c>
      <c r="M17" s="6" t="s">
        <v>469</v>
      </c>
      <c r="N17" s="6" t="s">
        <v>470</v>
      </c>
      <c r="P17" s="6" t="s">
        <v>215</v>
      </c>
      <c r="Q17" s="6">
        <v>36</v>
      </c>
      <c r="R17" s="6" t="s">
        <v>75</v>
      </c>
      <c r="S17" s="7">
        <v>36</v>
      </c>
      <c r="T17" s="7" t="s">
        <v>55</v>
      </c>
      <c r="U17" s="6" t="s">
        <v>55</v>
      </c>
      <c r="V17" s="6" t="s">
        <v>158</v>
      </c>
      <c r="W17" s="6" t="s">
        <v>384</v>
      </c>
      <c r="X17" s="6" t="s">
        <v>468</v>
      </c>
      <c r="Y17" s="8" t="s">
        <v>2575</v>
      </c>
      <c r="Z17" s="8" t="s">
        <v>2576</v>
      </c>
      <c r="AA17" s="8" t="s">
        <v>2577</v>
      </c>
      <c r="AE17" s="6" t="s">
        <v>244</v>
      </c>
      <c r="AF17" s="6" t="s">
        <v>178</v>
      </c>
      <c r="AG17" s="6" t="s">
        <v>244</v>
      </c>
      <c r="AH17" s="6" t="s">
        <v>244</v>
      </c>
      <c r="AI17" s="6" t="s">
        <v>385</v>
      </c>
      <c r="AJ17" s="6" t="s">
        <v>183</v>
      </c>
      <c r="AK17" s="6" t="s">
        <v>244</v>
      </c>
      <c r="AL17" s="6" t="s">
        <v>371</v>
      </c>
      <c r="AM17" s="6" t="s">
        <v>244</v>
      </c>
      <c r="AN17" s="6" t="s">
        <v>247</v>
      </c>
      <c r="AO17" s="6" t="s">
        <v>244</v>
      </c>
      <c r="AP17" s="6" t="s">
        <v>386</v>
      </c>
      <c r="AQ17" s="6" t="s">
        <v>288</v>
      </c>
      <c r="AR17" s="6" t="s">
        <v>288</v>
      </c>
      <c r="AS17" s="6" t="s">
        <v>244</v>
      </c>
      <c r="AT17" s="6" t="s">
        <v>244</v>
      </c>
      <c r="AU17" s="6" t="s">
        <v>288</v>
      </c>
      <c r="AV17" s="6" t="s">
        <v>339</v>
      </c>
      <c r="AW17" s="6" t="s">
        <v>244</v>
      </c>
      <c r="AX17" s="6" t="s">
        <v>247</v>
      </c>
    </row>
    <row r="18" spans="1:50">
      <c r="A18" s="6">
        <v>588</v>
      </c>
      <c r="B18" s="5" t="s">
        <v>2578</v>
      </c>
      <c r="C18" s="6">
        <v>4</v>
      </c>
      <c r="D18" s="6" t="s">
        <v>98</v>
      </c>
      <c r="E18" s="6">
        <v>346</v>
      </c>
      <c r="F18" s="6" t="s">
        <v>480</v>
      </c>
      <c r="G18" s="6">
        <v>41988.924189814818</v>
      </c>
      <c r="H18" s="6">
        <v>42046.981747685182</v>
      </c>
      <c r="I18" s="6">
        <v>41988.924189814818</v>
      </c>
      <c r="J18" s="6" t="s">
        <v>103</v>
      </c>
      <c r="K18" s="6" t="s">
        <v>105</v>
      </c>
      <c r="L18" s="6" t="s">
        <v>481</v>
      </c>
      <c r="M18" s="6" t="s">
        <v>374</v>
      </c>
      <c r="N18" s="6" t="s">
        <v>482</v>
      </c>
      <c r="O18" s="6" t="s">
        <v>483</v>
      </c>
      <c r="P18" s="6" t="s">
        <v>215</v>
      </c>
      <c r="Q18" s="6">
        <v>36</v>
      </c>
      <c r="R18" s="6" t="s">
        <v>75</v>
      </c>
      <c r="S18" s="7">
        <v>36</v>
      </c>
      <c r="T18" s="7" t="s">
        <v>55</v>
      </c>
      <c r="U18" s="6" t="s">
        <v>55</v>
      </c>
      <c r="V18" s="6" t="s">
        <v>158</v>
      </c>
      <c r="W18" s="6" t="s">
        <v>160</v>
      </c>
      <c r="X18" s="6" t="s">
        <v>481</v>
      </c>
      <c r="Y18" s="8" t="s">
        <v>2579</v>
      </c>
      <c r="Z18" s="8" t="s">
        <v>2580</v>
      </c>
      <c r="AA18" s="8" t="s">
        <v>2581</v>
      </c>
      <c r="AB18" s="6">
        <v>41544</v>
      </c>
      <c r="AC18" s="6">
        <v>41544</v>
      </c>
      <c r="AE18" s="6" t="s">
        <v>177</v>
      </c>
      <c r="AF18" s="6" t="s">
        <v>178</v>
      </c>
      <c r="AG18" s="6" t="s">
        <v>180</v>
      </c>
      <c r="AH18" s="6" t="s">
        <v>371</v>
      </c>
      <c r="AI18" s="6" t="s">
        <v>371</v>
      </c>
      <c r="AJ18" s="6" t="s">
        <v>371</v>
      </c>
      <c r="AK18" s="6" t="s">
        <v>244</v>
      </c>
      <c r="AL18" s="6" t="s">
        <v>178</v>
      </c>
      <c r="AM18" s="6" t="s">
        <v>189</v>
      </c>
      <c r="AN18" s="6" t="s">
        <v>371</v>
      </c>
      <c r="AO18" s="6" t="s">
        <v>244</v>
      </c>
      <c r="AP18" s="6" t="s">
        <v>394</v>
      </c>
      <c r="AQ18" s="6" t="s">
        <v>288</v>
      </c>
      <c r="AR18" s="6" t="s">
        <v>189</v>
      </c>
      <c r="AS18" s="6" t="s">
        <v>244</v>
      </c>
      <c r="AT18" s="6" t="s">
        <v>244</v>
      </c>
      <c r="AU18" s="6" t="s">
        <v>288</v>
      </c>
      <c r="AV18" s="6" t="s">
        <v>339</v>
      </c>
      <c r="AW18" s="6" t="s">
        <v>244</v>
      </c>
      <c r="AX18" s="6" t="s">
        <v>247</v>
      </c>
    </row>
    <row r="19" spans="1:50">
      <c r="A19" s="6">
        <v>679</v>
      </c>
      <c r="B19" s="5" t="s">
        <v>2582</v>
      </c>
      <c r="C19" s="6">
        <v>5</v>
      </c>
      <c r="D19" s="6" t="s">
        <v>98</v>
      </c>
      <c r="E19" s="6">
        <v>65</v>
      </c>
      <c r="F19" s="6" t="s">
        <v>487</v>
      </c>
      <c r="G19" s="6">
        <v>42066.705000000002</v>
      </c>
      <c r="H19" s="6">
        <v>42066.94798611111</v>
      </c>
      <c r="I19" s="6">
        <v>42066.705000000002</v>
      </c>
      <c r="J19" s="6" t="s">
        <v>103</v>
      </c>
      <c r="K19" s="6" t="s">
        <v>105</v>
      </c>
      <c r="L19" s="6" t="s">
        <v>488</v>
      </c>
      <c r="P19" s="6" t="s">
        <v>215</v>
      </c>
      <c r="Q19" s="6">
        <v>36</v>
      </c>
      <c r="R19" s="6" t="s">
        <v>75</v>
      </c>
      <c r="S19" s="7">
        <v>36</v>
      </c>
      <c r="T19" s="7" t="s">
        <v>55</v>
      </c>
      <c r="U19" s="6" t="s">
        <v>55</v>
      </c>
      <c r="V19" s="6" t="s">
        <v>158</v>
      </c>
      <c r="W19" s="6" t="s">
        <v>160</v>
      </c>
      <c r="X19" s="6" t="s">
        <v>488</v>
      </c>
      <c r="Y19" s="8" t="s">
        <v>2583</v>
      </c>
      <c r="Z19" s="8" t="s">
        <v>2584</v>
      </c>
      <c r="AA19" s="8" t="s">
        <v>2585</v>
      </c>
      <c r="AB19" s="6">
        <v>41977</v>
      </c>
      <c r="AC19" s="6">
        <v>42009</v>
      </c>
      <c r="AE19" s="6" t="s">
        <v>177</v>
      </c>
      <c r="AF19" s="6" t="s">
        <v>178</v>
      </c>
      <c r="AG19" s="6" t="s">
        <v>180</v>
      </c>
      <c r="AH19" s="6" t="s">
        <v>244</v>
      </c>
      <c r="AI19" s="6" t="s">
        <v>182</v>
      </c>
      <c r="AJ19" s="6" t="s">
        <v>393</v>
      </c>
      <c r="AK19" s="6" t="s">
        <v>244</v>
      </c>
      <c r="AL19" s="6" t="s">
        <v>479</v>
      </c>
      <c r="AM19" s="6" t="s">
        <v>189</v>
      </c>
      <c r="AN19" s="6" t="s">
        <v>247</v>
      </c>
      <c r="AO19" s="6" t="s">
        <v>244</v>
      </c>
      <c r="AP19" s="6" t="s">
        <v>247</v>
      </c>
      <c r="AQ19" s="6" t="s">
        <v>244</v>
      </c>
      <c r="AR19" s="6" t="s">
        <v>244</v>
      </c>
      <c r="AS19" s="6" t="s">
        <v>395</v>
      </c>
      <c r="AT19" s="6" t="s">
        <v>395</v>
      </c>
      <c r="AU19" s="6" t="s">
        <v>244</v>
      </c>
      <c r="AV19" s="6" t="s">
        <v>244</v>
      </c>
      <c r="AW19" s="6" t="s">
        <v>244</v>
      </c>
      <c r="AX19" s="6" t="s">
        <v>247</v>
      </c>
    </row>
    <row r="20" spans="1:50">
      <c r="A20" s="6">
        <v>592</v>
      </c>
      <c r="B20" s="5" t="s">
        <v>2586</v>
      </c>
      <c r="C20" s="6">
        <v>5</v>
      </c>
      <c r="D20" s="6" t="s">
        <v>98</v>
      </c>
      <c r="E20" s="6">
        <v>1</v>
      </c>
      <c r="F20" s="6" t="s">
        <v>497</v>
      </c>
      <c r="G20" s="6">
        <v>41988.924201388887</v>
      </c>
      <c r="H20" s="6">
        <v>41988.924201388887</v>
      </c>
      <c r="I20" s="6">
        <v>41988.924201388887</v>
      </c>
      <c r="J20" s="6" t="s">
        <v>103</v>
      </c>
      <c r="K20" s="6" t="s">
        <v>105</v>
      </c>
      <c r="L20" s="6" t="s">
        <v>498</v>
      </c>
      <c r="M20" s="6" t="s">
        <v>374</v>
      </c>
      <c r="N20" s="6" t="s">
        <v>499</v>
      </c>
      <c r="O20" s="6" t="s">
        <v>500</v>
      </c>
      <c r="P20" s="6" t="s">
        <v>501</v>
      </c>
      <c r="Q20" s="6">
        <v>36</v>
      </c>
      <c r="R20" s="6" t="s">
        <v>75</v>
      </c>
      <c r="S20" s="7">
        <v>36</v>
      </c>
      <c r="T20" s="7" t="s">
        <v>55</v>
      </c>
      <c r="U20" s="6" t="s">
        <v>55</v>
      </c>
      <c r="V20" s="6" t="s">
        <v>158</v>
      </c>
      <c r="W20" s="6" t="s">
        <v>160</v>
      </c>
      <c r="X20" s="6" t="s">
        <v>498</v>
      </c>
      <c r="Y20" s="8" t="s">
        <v>2587</v>
      </c>
      <c r="Z20" s="8" t="s">
        <v>2588</v>
      </c>
      <c r="AA20" s="8" t="s">
        <v>2589</v>
      </c>
      <c r="AB20" s="6">
        <v>41570</v>
      </c>
      <c r="AC20" s="6">
        <v>41627</v>
      </c>
      <c r="AE20" s="6" t="s">
        <v>371</v>
      </c>
      <c r="AF20" s="6" t="s">
        <v>178</v>
      </c>
      <c r="AG20" s="6" t="s">
        <v>180</v>
      </c>
      <c r="AH20" s="6" t="s">
        <v>244</v>
      </c>
      <c r="AI20" s="6" t="s">
        <v>371</v>
      </c>
      <c r="AJ20" s="6" t="s">
        <v>371</v>
      </c>
      <c r="AK20" s="6" t="s">
        <v>185</v>
      </c>
      <c r="AL20" s="6" t="s">
        <v>178</v>
      </c>
      <c r="AM20" s="6" t="s">
        <v>189</v>
      </c>
      <c r="AN20" s="6" t="s">
        <v>247</v>
      </c>
      <c r="AO20" s="6" t="s">
        <v>185</v>
      </c>
      <c r="AP20" s="6" t="s">
        <v>394</v>
      </c>
      <c r="AQ20" s="6" t="s">
        <v>288</v>
      </c>
      <c r="AR20" s="6" t="s">
        <v>185</v>
      </c>
      <c r="AS20" s="6" t="s">
        <v>244</v>
      </c>
      <c r="AT20" s="6" t="s">
        <v>244</v>
      </c>
      <c r="AU20" s="6" t="s">
        <v>288</v>
      </c>
      <c r="AV20" s="6" t="s">
        <v>339</v>
      </c>
      <c r="AW20" s="6" t="s">
        <v>244</v>
      </c>
      <c r="AX20" s="6" t="s">
        <v>247</v>
      </c>
    </row>
    <row r="21" spans="1:50">
      <c r="A21" s="6">
        <v>593</v>
      </c>
      <c r="B21" s="5" t="s">
        <v>2590</v>
      </c>
      <c r="C21" s="6">
        <v>3</v>
      </c>
      <c r="D21" s="6" t="s">
        <v>98</v>
      </c>
      <c r="E21" s="6">
        <v>1</v>
      </c>
      <c r="F21" s="6" t="s">
        <v>502</v>
      </c>
      <c r="G21" s="6">
        <v>41988.924201388887</v>
      </c>
      <c r="H21" s="6">
        <v>41988.924201388887</v>
      </c>
      <c r="I21" s="6">
        <v>41988.924201388887</v>
      </c>
      <c r="J21" s="6" t="s">
        <v>103</v>
      </c>
      <c r="K21" s="6" t="s">
        <v>105</v>
      </c>
      <c r="L21" s="6" t="s">
        <v>503</v>
      </c>
      <c r="M21" s="6" t="s">
        <v>352</v>
      </c>
      <c r="N21" s="6" t="s">
        <v>504</v>
      </c>
      <c r="P21" s="6" t="s">
        <v>215</v>
      </c>
      <c r="Q21" s="6">
        <v>36</v>
      </c>
      <c r="R21" s="6" t="s">
        <v>75</v>
      </c>
      <c r="S21" s="7">
        <v>36</v>
      </c>
      <c r="T21" s="7" t="s">
        <v>55</v>
      </c>
      <c r="U21" s="6" t="s">
        <v>55</v>
      </c>
      <c r="V21" s="6" t="s">
        <v>158</v>
      </c>
      <c r="W21" s="6" t="s">
        <v>384</v>
      </c>
      <c r="X21" s="6" t="s">
        <v>503</v>
      </c>
      <c r="Y21" s="8" t="s">
        <v>2591</v>
      </c>
      <c r="Z21" s="8" t="s">
        <v>2592</v>
      </c>
      <c r="AA21" s="8" t="s">
        <v>2593</v>
      </c>
      <c r="AE21" s="6" t="s">
        <v>244</v>
      </c>
      <c r="AF21" s="6" t="s">
        <v>178</v>
      </c>
      <c r="AG21" s="6" t="s">
        <v>370</v>
      </c>
      <c r="AH21" s="6" t="s">
        <v>244</v>
      </c>
      <c r="AI21" s="6" t="s">
        <v>385</v>
      </c>
      <c r="AJ21" s="6" t="s">
        <v>244</v>
      </c>
      <c r="AK21" s="6" t="s">
        <v>244</v>
      </c>
      <c r="AL21" s="6" t="s">
        <v>247</v>
      </c>
      <c r="AM21" s="6" t="s">
        <v>244</v>
      </c>
      <c r="AN21" s="6" t="s">
        <v>247</v>
      </c>
      <c r="AO21" s="6" t="s">
        <v>244</v>
      </c>
      <c r="AP21" s="6" t="s">
        <v>247</v>
      </c>
      <c r="AQ21" s="6" t="s">
        <v>288</v>
      </c>
      <c r="AR21" s="6" t="s">
        <v>288</v>
      </c>
      <c r="AS21" s="6" t="s">
        <v>244</v>
      </c>
      <c r="AT21" s="6" t="s">
        <v>244</v>
      </c>
      <c r="AU21" s="6" t="s">
        <v>288</v>
      </c>
      <c r="AV21" s="6" t="s">
        <v>339</v>
      </c>
      <c r="AW21" s="6" t="s">
        <v>244</v>
      </c>
      <c r="AX21" s="6" t="s">
        <v>247</v>
      </c>
    </row>
    <row r="22" spans="1:50">
      <c r="A22" s="6">
        <v>595</v>
      </c>
      <c r="B22" s="5" t="s">
        <v>2594</v>
      </c>
      <c r="C22" s="6">
        <v>3</v>
      </c>
      <c r="D22" s="6" t="s">
        <v>98</v>
      </c>
      <c r="E22" s="6">
        <v>1</v>
      </c>
      <c r="F22" s="6" t="s">
        <v>508</v>
      </c>
      <c r="G22" s="6">
        <v>41988.924201388887</v>
      </c>
      <c r="H22" s="6">
        <v>41988.924201388887</v>
      </c>
      <c r="I22" s="6">
        <v>41988.924201388887</v>
      </c>
      <c r="J22" s="6" t="s">
        <v>103</v>
      </c>
      <c r="K22" s="6" t="s">
        <v>105</v>
      </c>
      <c r="L22" s="6" t="s">
        <v>509</v>
      </c>
      <c r="M22" s="6" t="s">
        <v>374</v>
      </c>
      <c r="N22" s="6" t="s">
        <v>510</v>
      </c>
      <c r="P22" s="6" t="s">
        <v>215</v>
      </c>
      <c r="Q22" s="6">
        <v>36</v>
      </c>
      <c r="R22" s="6" t="s">
        <v>75</v>
      </c>
      <c r="S22" s="7">
        <v>36</v>
      </c>
      <c r="T22" s="7" t="s">
        <v>55</v>
      </c>
      <c r="U22" s="6" t="s">
        <v>55</v>
      </c>
      <c r="V22" s="6" t="s">
        <v>158</v>
      </c>
      <c r="W22" s="6" t="s">
        <v>160</v>
      </c>
      <c r="X22" s="6" t="s">
        <v>509</v>
      </c>
      <c r="Y22" s="8" t="s">
        <v>2595</v>
      </c>
      <c r="Z22" s="8" t="s">
        <v>2596</v>
      </c>
      <c r="AA22" s="8" t="s">
        <v>2597</v>
      </c>
      <c r="AB22" s="6">
        <v>40725</v>
      </c>
      <c r="AE22" s="6" t="s">
        <v>244</v>
      </c>
      <c r="AF22" s="6" t="s">
        <v>178</v>
      </c>
      <c r="AG22" s="6" t="s">
        <v>180</v>
      </c>
      <c r="AH22" s="6" t="s">
        <v>244</v>
      </c>
      <c r="AI22" s="6" t="s">
        <v>182</v>
      </c>
      <c r="AJ22" s="6" t="s">
        <v>371</v>
      </c>
      <c r="AK22" s="6" t="s">
        <v>244</v>
      </c>
      <c r="AL22" s="6" t="s">
        <v>371</v>
      </c>
      <c r="AM22" s="6" t="s">
        <v>244</v>
      </c>
      <c r="AN22" s="6" t="s">
        <v>247</v>
      </c>
      <c r="AO22" s="6" t="s">
        <v>244</v>
      </c>
      <c r="AP22" s="6" t="s">
        <v>386</v>
      </c>
      <c r="AQ22" s="6" t="s">
        <v>288</v>
      </c>
      <c r="AR22" s="6" t="s">
        <v>288</v>
      </c>
      <c r="AS22" s="6" t="s">
        <v>244</v>
      </c>
      <c r="AT22" s="6" t="s">
        <v>244</v>
      </c>
      <c r="AU22" s="6" t="s">
        <v>288</v>
      </c>
      <c r="AV22" s="6" t="s">
        <v>339</v>
      </c>
      <c r="AW22" s="6" t="s">
        <v>244</v>
      </c>
      <c r="AX22" s="6" t="s">
        <v>247</v>
      </c>
    </row>
    <row r="23" spans="1:50">
      <c r="A23" s="6">
        <v>77</v>
      </c>
      <c r="B23" s="5" t="s">
        <v>2598</v>
      </c>
      <c r="C23" s="6">
        <v>9</v>
      </c>
      <c r="D23" s="6" t="s">
        <v>98</v>
      </c>
      <c r="E23" s="6">
        <v>590</v>
      </c>
      <c r="F23" s="6" t="s">
        <v>516</v>
      </c>
      <c r="G23" s="6">
        <v>41988.923206018517</v>
      </c>
      <c r="H23" s="6">
        <v>42108.631574074076</v>
      </c>
      <c r="I23" s="6">
        <v>41988.923206018517</v>
      </c>
      <c r="J23" s="6" t="s">
        <v>103</v>
      </c>
      <c r="K23" s="6" t="s">
        <v>105</v>
      </c>
      <c r="L23" s="6" t="s">
        <v>517</v>
      </c>
      <c r="M23" s="6" t="s">
        <v>374</v>
      </c>
      <c r="N23" s="6" t="s">
        <v>518</v>
      </c>
      <c r="O23" s="6" t="s">
        <v>519</v>
      </c>
      <c r="P23" s="6" t="s">
        <v>215</v>
      </c>
      <c r="Q23" s="6">
        <v>40</v>
      </c>
      <c r="R23" s="6" t="s">
        <v>77</v>
      </c>
      <c r="S23" s="7">
        <v>40</v>
      </c>
      <c r="T23" s="7" t="s">
        <v>55</v>
      </c>
      <c r="U23" s="6" t="s">
        <v>55</v>
      </c>
      <c r="V23" s="6" t="s">
        <v>158</v>
      </c>
      <c r="W23" s="6" t="s">
        <v>376</v>
      </c>
      <c r="X23" s="6" t="s">
        <v>517</v>
      </c>
      <c r="Y23" s="8" t="s">
        <v>2599</v>
      </c>
      <c r="Z23" s="8" t="s">
        <v>2600</v>
      </c>
      <c r="AB23" s="6">
        <v>38999</v>
      </c>
      <c r="AC23" s="6">
        <v>38999</v>
      </c>
      <c r="AD23" s="6">
        <v>42005</v>
      </c>
      <c r="AE23" s="6" t="s">
        <v>177</v>
      </c>
      <c r="AF23" s="6" t="s">
        <v>178</v>
      </c>
      <c r="AG23" s="6" t="s">
        <v>370</v>
      </c>
      <c r="AH23" s="6" t="s">
        <v>377</v>
      </c>
      <c r="AI23" s="6" t="s">
        <v>182</v>
      </c>
      <c r="AJ23" s="6" t="s">
        <v>393</v>
      </c>
      <c r="AK23" s="6" t="s">
        <v>185</v>
      </c>
      <c r="AL23" s="6" t="s">
        <v>178</v>
      </c>
      <c r="AM23" s="6" t="s">
        <v>244</v>
      </c>
      <c r="AN23" s="6" t="s">
        <v>378</v>
      </c>
      <c r="AO23" s="6" t="s">
        <v>189</v>
      </c>
      <c r="AP23" s="6" t="s">
        <v>386</v>
      </c>
      <c r="AQ23" s="6" t="s">
        <v>288</v>
      </c>
      <c r="AR23" s="6" t="s">
        <v>185</v>
      </c>
      <c r="AS23" s="6" t="s">
        <v>395</v>
      </c>
      <c r="AT23" s="6" t="s">
        <v>395</v>
      </c>
      <c r="AU23" s="6" t="s">
        <v>185</v>
      </c>
      <c r="AV23" s="6" t="s">
        <v>520</v>
      </c>
      <c r="AW23" s="6" t="s">
        <v>341</v>
      </c>
      <c r="AX23" s="6" t="s">
        <v>521</v>
      </c>
    </row>
    <row r="24" spans="1:50">
      <c r="A24" s="6">
        <v>78</v>
      </c>
      <c r="B24" s="5" t="s">
        <v>2601</v>
      </c>
      <c r="C24" s="6">
        <v>3</v>
      </c>
      <c r="D24" s="6" t="s">
        <v>98</v>
      </c>
      <c r="E24" s="6">
        <v>1</v>
      </c>
      <c r="F24" s="6" t="s">
        <v>522</v>
      </c>
      <c r="G24" s="6">
        <v>41988.923206018517</v>
      </c>
      <c r="H24" s="6">
        <v>41988.923206018517</v>
      </c>
      <c r="I24" s="6">
        <v>41988.923206018517</v>
      </c>
      <c r="J24" s="6" t="s">
        <v>103</v>
      </c>
      <c r="K24" s="6" t="s">
        <v>105</v>
      </c>
      <c r="L24" s="6" t="s">
        <v>523</v>
      </c>
      <c r="M24" s="6" t="s">
        <v>374</v>
      </c>
      <c r="O24" s="6" t="s">
        <v>524</v>
      </c>
      <c r="P24" s="6" t="s">
        <v>215</v>
      </c>
      <c r="Q24" s="6">
        <v>40</v>
      </c>
      <c r="R24" s="6" t="s">
        <v>77</v>
      </c>
      <c r="S24" s="7">
        <v>40</v>
      </c>
      <c r="T24" s="7" t="s">
        <v>55</v>
      </c>
      <c r="U24" s="6" t="s">
        <v>55</v>
      </c>
      <c r="V24" s="6" t="s">
        <v>158</v>
      </c>
      <c r="W24" s="6" t="s">
        <v>160</v>
      </c>
      <c r="X24" s="6" t="s">
        <v>523</v>
      </c>
      <c r="Y24" s="8" t="s">
        <v>2602</v>
      </c>
      <c r="Z24" s="8" t="s">
        <v>2603</v>
      </c>
      <c r="AA24" s="8" t="s">
        <v>2604</v>
      </c>
      <c r="AB24" s="6">
        <v>41685</v>
      </c>
      <c r="AC24" s="6">
        <v>41685</v>
      </c>
      <c r="AE24" s="6" t="s">
        <v>177</v>
      </c>
      <c r="AF24" s="6" t="s">
        <v>178</v>
      </c>
      <c r="AG24" s="6" t="s">
        <v>370</v>
      </c>
      <c r="AH24" s="6" t="s">
        <v>244</v>
      </c>
      <c r="AI24" s="6" t="s">
        <v>182</v>
      </c>
      <c r="AJ24" s="6" t="s">
        <v>393</v>
      </c>
      <c r="AK24" s="6" t="s">
        <v>244</v>
      </c>
      <c r="AL24" s="6" t="s">
        <v>178</v>
      </c>
      <c r="AM24" s="6" t="s">
        <v>244</v>
      </c>
      <c r="AN24" s="6" t="s">
        <v>247</v>
      </c>
      <c r="AO24" s="6" t="s">
        <v>244</v>
      </c>
      <c r="AP24" s="6" t="s">
        <v>247</v>
      </c>
      <c r="AQ24" s="6" t="s">
        <v>288</v>
      </c>
      <c r="AR24" s="6" t="s">
        <v>189</v>
      </c>
      <c r="AS24" s="6" t="s">
        <v>244</v>
      </c>
      <c r="AT24" s="6" t="s">
        <v>244</v>
      </c>
      <c r="AU24" s="6" t="s">
        <v>288</v>
      </c>
      <c r="AV24" s="6" t="s">
        <v>339</v>
      </c>
      <c r="AW24" s="6" t="s">
        <v>442</v>
      </c>
      <c r="AX24" s="6" t="s">
        <v>198</v>
      </c>
    </row>
    <row r="25" spans="1:50">
      <c r="A25" s="6">
        <v>83</v>
      </c>
      <c r="B25" s="5" t="s">
        <v>2605</v>
      </c>
      <c r="C25" s="6">
        <v>4</v>
      </c>
      <c r="D25" s="6" t="s">
        <v>98</v>
      </c>
      <c r="E25" s="6">
        <v>245</v>
      </c>
      <c r="F25" s="6" t="s">
        <v>530</v>
      </c>
      <c r="G25" s="6">
        <v>41988.923217592594</v>
      </c>
      <c r="H25" s="6">
        <v>42046.98164351852</v>
      </c>
      <c r="I25" s="6">
        <v>41988.923217592594</v>
      </c>
      <c r="J25" s="6" t="s">
        <v>103</v>
      </c>
      <c r="K25" s="6" t="s">
        <v>105</v>
      </c>
      <c r="L25" s="6" t="s">
        <v>531</v>
      </c>
      <c r="M25" s="6" t="s">
        <v>532</v>
      </c>
      <c r="N25" s="6" t="s">
        <v>533</v>
      </c>
      <c r="O25" s="6" t="s">
        <v>534</v>
      </c>
      <c r="P25" s="6" t="s">
        <v>215</v>
      </c>
      <c r="Q25" s="6">
        <v>56</v>
      </c>
      <c r="R25" s="6" t="s">
        <v>85</v>
      </c>
      <c r="S25" s="7">
        <v>56</v>
      </c>
      <c r="T25" s="7" t="s">
        <v>123</v>
      </c>
      <c r="U25" s="6" t="s">
        <v>108</v>
      </c>
      <c r="V25" s="6" t="s">
        <v>158</v>
      </c>
      <c r="W25" s="6" t="s">
        <v>160</v>
      </c>
      <c r="X25" s="6" t="s">
        <v>531</v>
      </c>
      <c r="Y25" s="8" t="s">
        <v>2606</v>
      </c>
      <c r="Z25" s="8" t="s">
        <v>2607</v>
      </c>
      <c r="AA25" s="8" t="s">
        <v>2608</v>
      </c>
      <c r="AB25" s="6">
        <v>41092</v>
      </c>
      <c r="AC25" s="6">
        <v>41275</v>
      </c>
      <c r="AE25" s="6" t="s">
        <v>478</v>
      </c>
      <c r="AF25" s="6" t="s">
        <v>178</v>
      </c>
      <c r="AG25" s="6" t="s">
        <v>180</v>
      </c>
      <c r="AH25" s="6" t="s">
        <v>187</v>
      </c>
      <c r="AI25" s="6" t="s">
        <v>182</v>
      </c>
      <c r="AJ25" s="6" t="s">
        <v>393</v>
      </c>
      <c r="AK25" s="6" t="s">
        <v>189</v>
      </c>
      <c r="AL25" s="6" t="s">
        <v>479</v>
      </c>
      <c r="AM25" s="6" t="s">
        <v>189</v>
      </c>
      <c r="AN25" s="6" t="s">
        <v>181</v>
      </c>
      <c r="AO25" s="6" t="s">
        <v>189</v>
      </c>
      <c r="AP25" s="6" t="s">
        <v>386</v>
      </c>
      <c r="AQ25" s="6" t="s">
        <v>288</v>
      </c>
      <c r="AR25" s="6" t="s">
        <v>189</v>
      </c>
      <c r="AS25" s="6" t="s">
        <v>244</v>
      </c>
      <c r="AT25" s="6" t="s">
        <v>244</v>
      </c>
      <c r="AU25" s="6" t="s">
        <v>288</v>
      </c>
      <c r="AV25" s="6" t="s">
        <v>339</v>
      </c>
      <c r="AW25" s="6" t="s">
        <v>341</v>
      </c>
      <c r="AX25" s="6" t="s">
        <v>247</v>
      </c>
    </row>
    <row r="26" spans="1:50">
      <c r="A26" s="6">
        <v>85</v>
      </c>
      <c r="B26" s="5" t="s">
        <v>2609</v>
      </c>
      <c r="C26" s="6">
        <v>5</v>
      </c>
      <c r="D26" s="6" t="s">
        <v>98</v>
      </c>
      <c r="E26" s="6">
        <v>245</v>
      </c>
      <c r="F26" s="6" t="s">
        <v>535</v>
      </c>
      <c r="G26" s="6">
        <v>41988.923217592594</v>
      </c>
      <c r="H26" s="6">
        <v>42046.98164351852</v>
      </c>
      <c r="I26" s="6">
        <v>41988.923217592594</v>
      </c>
      <c r="J26" s="6" t="s">
        <v>103</v>
      </c>
      <c r="K26" s="6" t="s">
        <v>105</v>
      </c>
      <c r="L26" s="6" t="s">
        <v>536</v>
      </c>
      <c r="M26" s="6" t="s">
        <v>532</v>
      </c>
      <c r="N26" s="6" t="s">
        <v>537</v>
      </c>
      <c r="O26" s="6" t="s">
        <v>538</v>
      </c>
      <c r="P26" s="6" t="s">
        <v>215</v>
      </c>
      <c r="Q26" s="6">
        <v>56</v>
      </c>
      <c r="R26" s="6" t="s">
        <v>85</v>
      </c>
      <c r="S26" s="7">
        <v>56</v>
      </c>
      <c r="T26" s="7" t="s">
        <v>123</v>
      </c>
      <c r="U26" s="6" t="s">
        <v>108</v>
      </c>
      <c r="V26" s="6" t="s">
        <v>158</v>
      </c>
      <c r="W26" s="6" t="s">
        <v>160</v>
      </c>
      <c r="X26" s="6" t="s">
        <v>536</v>
      </c>
      <c r="Y26" s="8" t="s">
        <v>2610</v>
      </c>
      <c r="Z26" s="8" t="s">
        <v>2611</v>
      </c>
      <c r="AA26" s="8" t="s">
        <v>2608</v>
      </c>
      <c r="AB26" s="6">
        <v>41092</v>
      </c>
      <c r="AC26" s="6">
        <v>41275</v>
      </c>
      <c r="AE26" s="6" t="s">
        <v>478</v>
      </c>
      <c r="AF26" s="6" t="s">
        <v>178</v>
      </c>
      <c r="AG26" s="6" t="s">
        <v>180</v>
      </c>
      <c r="AH26" s="6" t="s">
        <v>187</v>
      </c>
      <c r="AI26" s="6" t="s">
        <v>182</v>
      </c>
      <c r="AJ26" s="6" t="s">
        <v>393</v>
      </c>
      <c r="AK26" s="6" t="s">
        <v>189</v>
      </c>
      <c r="AL26" s="6" t="s">
        <v>479</v>
      </c>
      <c r="AM26" s="6" t="s">
        <v>189</v>
      </c>
      <c r="AN26" s="6" t="s">
        <v>181</v>
      </c>
      <c r="AO26" s="6" t="s">
        <v>189</v>
      </c>
      <c r="AP26" s="6" t="s">
        <v>386</v>
      </c>
      <c r="AQ26" s="6" t="s">
        <v>288</v>
      </c>
      <c r="AR26" s="6" t="s">
        <v>288</v>
      </c>
      <c r="AS26" s="6" t="s">
        <v>244</v>
      </c>
      <c r="AT26" s="6" t="s">
        <v>244</v>
      </c>
      <c r="AU26" s="6" t="s">
        <v>288</v>
      </c>
      <c r="AV26" s="6" t="s">
        <v>339</v>
      </c>
      <c r="AW26" s="6" t="s">
        <v>341</v>
      </c>
      <c r="AX26" s="6" t="s">
        <v>198</v>
      </c>
    </row>
    <row r="27" spans="1:50">
      <c r="A27" s="6">
        <v>680</v>
      </c>
      <c r="B27" s="5" t="s">
        <v>2612</v>
      </c>
      <c r="C27" s="6">
        <v>4</v>
      </c>
      <c r="D27" s="6" t="s">
        <v>98</v>
      </c>
      <c r="E27" s="6">
        <v>65</v>
      </c>
      <c r="F27" s="6" t="s">
        <v>539</v>
      </c>
      <c r="G27" s="6">
        <v>42066.720358796294</v>
      </c>
      <c r="H27" s="6">
        <v>42066.720358796294</v>
      </c>
      <c r="I27" s="6">
        <v>42066.720358796294</v>
      </c>
      <c r="J27" s="6" t="s">
        <v>103</v>
      </c>
      <c r="K27" s="6" t="s">
        <v>105</v>
      </c>
      <c r="L27" s="6" t="s">
        <v>540</v>
      </c>
      <c r="P27" s="6" t="s">
        <v>215</v>
      </c>
      <c r="Q27" s="6">
        <v>56</v>
      </c>
      <c r="R27" s="6" t="s">
        <v>85</v>
      </c>
      <c r="S27" s="7">
        <v>56</v>
      </c>
      <c r="T27" s="7" t="s">
        <v>123</v>
      </c>
      <c r="U27" s="6" t="s">
        <v>108</v>
      </c>
      <c r="V27" s="6" t="s">
        <v>158</v>
      </c>
      <c r="W27" s="6" t="s">
        <v>376</v>
      </c>
      <c r="X27" s="6" t="s">
        <v>540</v>
      </c>
      <c r="Y27" s="8" t="s">
        <v>2613</v>
      </c>
      <c r="Z27" s="8" t="s">
        <v>2614</v>
      </c>
      <c r="AB27" s="6">
        <v>41619</v>
      </c>
      <c r="AE27" s="6" t="s">
        <v>177</v>
      </c>
      <c r="AF27" s="6" t="s">
        <v>178</v>
      </c>
      <c r="AG27" s="6" t="s">
        <v>370</v>
      </c>
      <c r="AH27" s="6" t="s">
        <v>392</v>
      </c>
      <c r="AI27" s="6" t="s">
        <v>182</v>
      </c>
      <c r="AJ27" s="6" t="s">
        <v>393</v>
      </c>
      <c r="AK27" s="6" t="s">
        <v>185</v>
      </c>
      <c r="AL27" s="6" t="s">
        <v>178</v>
      </c>
      <c r="AM27" s="6" t="s">
        <v>185</v>
      </c>
      <c r="AN27" s="6" t="s">
        <v>378</v>
      </c>
      <c r="AO27" s="6" t="s">
        <v>189</v>
      </c>
      <c r="AP27" s="6" t="s">
        <v>394</v>
      </c>
      <c r="AQ27" s="6" t="s">
        <v>244</v>
      </c>
      <c r="AR27" s="6" t="s">
        <v>185</v>
      </c>
      <c r="AS27" s="6" t="s">
        <v>379</v>
      </c>
      <c r="AT27" s="6" t="s">
        <v>395</v>
      </c>
      <c r="AU27" s="6" t="s">
        <v>244</v>
      </c>
      <c r="AV27" s="6" t="s">
        <v>520</v>
      </c>
      <c r="AW27" s="6" t="s">
        <v>442</v>
      </c>
      <c r="AX27" s="6" t="s">
        <v>198</v>
      </c>
    </row>
    <row r="28" spans="1:50">
      <c r="A28" s="6">
        <v>86</v>
      </c>
      <c r="B28" s="5" t="s">
        <v>2615</v>
      </c>
      <c r="C28" s="6">
        <v>3</v>
      </c>
      <c r="D28" s="6" t="s">
        <v>98</v>
      </c>
      <c r="E28" s="6">
        <v>1</v>
      </c>
      <c r="F28" s="6" t="s">
        <v>543</v>
      </c>
      <c r="G28" s="6">
        <v>41988.923217592594</v>
      </c>
      <c r="H28" s="6">
        <v>41988.923217592594</v>
      </c>
      <c r="I28" s="6">
        <v>41988.923217592594</v>
      </c>
      <c r="J28" s="6" t="s">
        <v>103</v>
      </c>
      <c r="K28" s="6" t="s">
        <v>105</v>
      </c>
      <c r="L28" s="6" t="s">
        <v>544</v>
      </c>
      <c r="M28" s="6" t="s">
        <v>374</v>
      </c>
      <c r="N28" s="6" t="s">
        <v>545</v>
      </c>
      <c r="P28" s="6" t="s">
        <v>215</v>
      </c>
      <c r="Q28" s="6">
        <v>56</v>
      </c>
      <c r="R28" s="6" t="s">
        <v>85</v>
      </c>
      <c r="S28" s="7">
        <v>56</v>
      </c>
      <c r="T28" s="7" t="s">
        <v>123</v>
      </c>
      <c r="U28" s="6" t="s">
        <v>108</v>
      </c>
      <c r="V28" s="6" t="s">
        <v>158</v>
      </c>
      <c r="W28" s="6" t="s">
        <v>376</v>
      </c>
      <c r="X28" s="6" t="s">
        <v>544</v>
      </c>
      <c r="Y28" s="8" t="s">
        <v>2616</v>
      </c>
      <c r="Z28" s="8" t="s">
        <v>2617</v>
      </c>
      <c r="AA28" s="8" t="s">
        <v>2618</v>
      </c>
      <c r="AB28" s="6">
        <v>41365</v>
      </c>
      <c r="AC28" s="6">
        <v>41183</v>
      </c>
      <c r="AE28" s="6" t="s">
        <v>177</v>
      </c>
      <c r="AF28" s="6" t="s">
        <v>178</v>
      </c>
      <c r="AG28" s="6" t="s">
        <v>180</v>
      </c>
      <c r="AH28" s="6" t="s">
        <v>187</v>
      </c>
      <c r="AI28" s="6" t="s">
        <v>182</v>
      </c>
      <c r="AJ28" s="6" t="s">
        <v>393</v>
      </c>
      <c r="AK28" s="6" t="s">
        <v>185</v>
      </c>
      <c r="AL28" s="6" t="s">
        <v>178</v>
      </c>
      <c r="AM28" s="6" t="s">
        <v>189</v>
      </c>
      <c r="AN28" s="6" t="s">
        <v>378</v>
      </c>
      <c r="AO28" s="6" t="s">
        <v>244</v>
      </c>
      <c r="AP28" s="6" t="s">
        <v>394</v>
      </c>
      <c r="AQ28" s="6" t="s">
        <v>288</v>
      </c>
      <c r="AR28" s="6" t="s">
        <v>189</v>
      </c>
      <c r="AS28" s="6" t="s">
        <v>379</v>
      </c>
      <c r="AT28" s="6" t="s">
        <v>395</v>
      </c>
      <c r="AU28" s="6" t="s">
        <v>288</v>
      </c>
      <c r="AV28" s="6" t="s">
        <v>195</v>
      </c>
      <c r="AW28" s="6" t="s">
        <v>442</v>
      </c>
      <c r="AX28" s="6" t="s">
        <v>428</v>
      </c>
    </row>
    <row r="29" spans="1:50">
      <c r="A29" s="6">
        <v>88</v>
      </c>
      <c r="B29" s="5" t="s">
        <v>2619</v>
      </c>
      <c r="C29" s="6">
        <v>3</v>
      </c>
      <c r="D29" s="6" t="s">
        <v>98</v>
      </c>
      <c r="E29" s="6">
        <v>1</v>
      </c>
      <c r="F29" s="6" t="s">
        <v>549</v>
      </c>
      <c r="G29" s="6">
        <v>41988.923217592594</v>
      </c>
      <c r="H29" s="6">
        <v>41988.923217592594</v>
      </c>
      <c r="I29" s="6">
        <v>41988.923217592594</v>
      </c>
      <c r="J29" s="6" t="s">
        <v>103</v>
      </c>
      <c r="K29" s="6" t="s">
        <v>105</v>
      </c>
      <c r="L29" s="6" t="s">
        <v>550</v>
      </c>
      <c r="M29" s="6" t="s">
        <v>374</v>
      </c>
      <c r="N29" s="6" t="s">
        <v>551</v>
      </c>
      <c r="P29" s="6" t="s">
        <v>215</v>
      </c>
      <c r="Q29" s="6">
        <v>56</v>
      </c>
      <c r="R29" s="6" t="s">
        <v>85</v>
      </c>
      <c r="S29" s="7">
        <v>56</v>
      </c>
      <c r="T29" s="7" t="s">
        <v>123</v>
      </c>
      <c r="U29" s="6" t="s">
        <v>108</v>
      </c>
      <c r="V29" s="6" t="s">
        <v>158</v>
      </c>
      <c r="W29" s="6" t="s">
        <v>160</v>
      </c>
      <c r="X29" s="6" t="s">
        <v>550</v>
      </c>
      <c r="Y29" s="8" t="s">
        <v>2620</v>
      </c>
      <c r="Z29" s="8" t="s">
        <v>2621</v>
      </c>
      <c r="AA29" s="8" t="s">
        <v>2622</v>
      </c>
      <c r="AB29" s="6">
        <v>41222</v>
      </c>
      <c r="AC29" s="6">
        <v>41222</v>
      </c>
      <c r="AE29" s="6" t="s">
        <v>177</v>
      </c>
      <c r="AF29" s="6" t="s">
        <v>178</v>
      </c>
      <c r="AG29" s="6" t="s">
        <v>180</v>
      </c>
      <c r="AH29" s="6" t="s">
        <v>187</v>
      </c>
      <c r="AI29" s="6" t="s">
        <v>182</v>
      </c>
      <c r="AJ29" s="6" t="s">
        <v>393</v>
      </c>
      <c r="AK29" s="6" t="s">
        <v>185</v>
      </c>
      <c r="AL29" s="6" t="s">
        <v>178</v>
      </c>
      <c r="AM29" s="6" t="s">
        <v>189</v>
      </c>
      <c r="AN29" s="6" t="s">
        <v>181</v>
      </c>
      <c r="AO29" s="6" t="s">
        <v>189</v>
      </c>
      <c r="AP29" s="6" t="s">
        <v>394</v>
      </c>
      <c r="AQ29" s="6" t="s">
        <v>288</v>
      </c>
      <c r="AR29" s="6" t="s">
        <v>185</v>
      </c>
      <c r="AS29" s="6" t="s">
        <v>244</v>
      </c>
      <c r="AT29" s="6" t="s">
        <v>244</v>
      </c>
      <c r="AU29" s="6" t="s">
        <v>288</v>
      </c>
      <c r="AV29" s="6" t="s">
        <v>339</v>
      </c>
      <c r="AW29" s="6" t="s">
        <v>341</v>
      </c>
      <c r="AX29" s="6" t="s">
        <v>371</v>
      </c>
    </row>
    <row r="30" spans="1:50">
      <c r="A30" s="6">
        <v>91</v>
      </c>
      <c r="B30" s="5" t="s">
        <v>2623</v>
      </c>
      <c r="C30" s="6">
        <v>3</v>
      </c>
      <c r="D30" s="6" t="s">
        <v>98</v>
      </c>
      <c r="E30" s="6">
        <v>1</v>
      </c>
      <c r="F30" s="6" t="s">
        <v>558</v>
      </c>
      <c r="G30" s="6">
        <v>41988.923217592594</v>
      </c>
      <c r="H30" s="6">
        <v>41988.923217592594</v>
      </c>
      <c r="I30" s="6">
        <v>41988.923217592594</v>
      </c>
      <c r="J30" s="6" t="s">
        <v>103</v>
      </c>
      <c r="K30" s="6" t="s">
        <v>105</v>
      </c>
      <c r="L30" s="6" t="s">
        <v>559</v>
      </c>
      <c r="M30" s="6" t="s">
        <v>374</v>
      </c>
      <c r="N30" s="6" t="s">
        <v>560</v>
      </c>
      <c r="P30" s="6" t="s">
        <v>215</v>
      </c>
      <c r="Q30" s="6">
        <v>56</v>
      </c>
      <c r="R30" s="6" t="s">
        <v>85</v>
      </c>
      <c r="S30" s="7">
        <v>56</v>
      </c>
      <c r="T30" s="7" t="s">
        <v>123</v>
      </c>
      <c r="U30" s="6" t="s">
        <v>108</v>
      </c>
      <c r="V30" s="6" t="s">
        <v>158</v>
      </c>
      <c r="W30" s="6" t="s">
        <v>376</v>
      </c>
      <c r="X30" s="6" t="s">
        <v>559</v>
      </c>
      <c r="Y30" s="8" t="s">
        <v>2624</v>
      </c>
      <c r="Z30" s="8" t="s">
        <v>2625</v>
      </c>
      <c r="AB30" s="6">
        <v>39173</v>
      </c>
      <c r="AC30" s="6">
        <v>39173</v>
      </c>
      <c r="AE30" s="6" t="s">
        <v>177</v>
      </c>
      <c r="AF30" s="6" t="s">
        <v>178</v>
      </c>
      <c r="AG30" s="6" t="s">
        <v>370</v>
      </c>
      <c r="AH30" s="6" t="s">
        <v>377</v>
      </c>
      <c r="AI30" s="6" t="s">
        <v>182</v>
      </c>
      <c r="AJ30" s="6" t="s">
        <v>244</v>
      </c>
      <c r="AK30" s="6" t="s">
        <v>185</v>
      </c>
      <c r="AL30" s="6" t="s">
        <v>178</v>
      </c>
      <c r="AM30" s="6" t="s">
        <v>185</v>
      </c>
      <c r="AN30" s="6" t="s">
        <v>378</v>
      </c>
      <c r="AO30" s="6" t="s">
        <v>244</v>
      </c>
      <c r="AP30" s="6" t="s">
        <v>386</v>
      </c>
      <c r="AQ30" s="6" t="s">
        <v>288</v>
      </c>
      <c r="AR30" s="6" t="s">
        <v>185</v>
      </c>
      <c r="AS30" s="6" t="s">
        <v>395</v>
      </c>
      <c r="AT30" s="6" t="s">
        <v>244</v>
      </c>
      <c r="AU30" s="6" t="s">
        <v>244</v>
      </c>
      <c r="AV30" s="6" t="s">
        <v>339</v>
      </c>
      <c r="AW30" s="6" t="s">
        <v>244</v>
      </c>
      <c r="AX30" s="6" t="s">
        <v>247</v>
      </c>
    </row>
    <row r="31" spans="1:50">
      <c r="A31" s="6">
        <v>92</v>
      </c>
      <c r="B31" s="5" t="s">
        <v>2626</v>
      </c>
      <c r="C31" s="6">
        <v>4</v>
      </c>
      <c r="D31" s="6" t="s">
        <v>98</v>
      </c>
      <c r="E31" s="6">
        <v>245</v>
      </c>
      <c r="F31" s="6" t="s">
        <v>561</v>
      </c>
      <c r="G31" s="6">
        <v>41988.923217592594</v>
      </c>
      <c r="H31" s="6">
        <v>42046.98164351852</v>
      </c>
      <c r="I31" s="6">
        <v>41988.923217592594</v>
      </c>
      <c r="J31" s="6" t="s">
        <v>103</v>
      </c>
      <c r="K31" s="6" t="s">
        <v>105</v>
      </c>
      <c r="L31" s="6" t="s">
        <v>562</v>
      </c>
      <c r="M31" s="6" t="s">
        <v>374</v>
      </c>
      <c r="N31" s="6" t="s">
        <v>563</v>
      </c>
      <c r="P31" s="6" t="s">
        <v>215</v>
      </c>
      <c r="Q31" s="6">
        <v>56</v>
      </c>
      <c r="R31" s="6" t="s">
        <v>85</v>
      </c>
      <c r="S31" s="7">
        <v>56</v>
      </c>
      <c r="T31" s="7" t="s">
        <v>123</v>
      </c>
      <c r="U31" s="6" t="s">
        <v>108</v>
      </c>
      <c r="V31" s="6" t="s">
        <v>158</v>
      </c>
      <c r="W31" s="6" t="s">
        <v>160</v>
      </c>
      <c r="X31" s="6" t="s">
        <v>562</v>
      </c>
      <c r="Y31" s="8" t="s">
        <v>2627</v>
      </c>
      <c r="Z31" s="8" t="s">
        <v>2628</v>
      </c>
      <c r="AA31" s="8" t="s">
        <v>2608</v>
      </c>
      <c r="AB31" s="6">
        <v>41628</v>
      </c>
      <c r="AC31" s="6">
        <v>41913</v>
      </c>
      <c r="AE31" s="6" t="s">
        <v>177</v>
      </c>
      <c r="AF31" s="6" t="s">
        <v>178</v>
      </c>
      <c r="AG31" s="6" t="s">
        <v>180</v>
      </c>
      <c r="AH31" s="6" t="s">
        <v>187</v>
      </c>
      <c r="AI31" s="6" t="s">
        <v>182</v>
      </c>
      <c r="AJ31" s="6" t="s">
        <v>393</v>
      </c>
      <c r="AK31" s="6" t="s">
        <v>185</v>
      </c>
      <c r="AL31" s="6" t="s">
        <v>178</v>
      </c>
      <c r="AM31" s="6" t="s">
        <v>189</v>
      </c>
      <c r="AN31" s="6" t="s">
        <v>378</v>
      </c>
      <c r="AO31" s="6" t="s">
        <v>189</v>
      </c>
      <c r="AP31" s="6" t="s">
        <v>386</v>
      </c>
      <c r="AQ31" s="6" t="s">
        <v>288</v>
      </c>
      <c r="AR31" s="6" t="s">
        <v>185</v>
      </c>
      <c r="AS31" s="6" t="s">
        <v>193</v>
      </c>
      <c r="AT31" s="6" t="s">
        <v>193</v>
      </c>
      <c r="AU31" s="6" t="s">
        <v>288</v>
      </c>
      <c r="AV31" s="6" t="s">
        <v>339</v>
      </c>
      <c r="AW31" s="6" t="s">
        <v>244</v>
      </c>
      <c r="AX31" s="6" t="s">
        <v>247</v>
      </c>
    </row>
    <row r="32" spans="1:50">
      <c r="A32" s="6">
        <v>93</v>
      </c>
      <c r="B32" s="5" t="s">
        <v>2629</v>
      </c>
      <c r="C32" s="6">
        <v>3</v>
      </c>
      <c r="D32" s="6" t="s">
        <v>98</v>
      </c>
      <c r="E32" s="6">
        <v>1</v>
      </c>
      <c r="F32" s="6" t="s">
        <v>564</v>
      </c>
      <c r="G32" s="6">
        <v>41988.923217592594</v>
      </c>
      <c r="H32" s="6">
        <v>41988.923229166663</v>
      </c>
      <c r="I32" s="6">
        <v>41988.923217592594</v>
      </c>
      <c r="J32" s="6" t="s">
        <v>103</v>
      </c>
      <c r="K32" s="6" t="s">
        <v>105</v>
      </c>
      <c r="L32" s="6" t="s">
        <v>565</v>
      </c>
      <c r="M32" s="6" t="s">
        <v>374</v>
      </c>
      <c r="N32" s="6" t="s">
        <v>566</v>
      </c>
      <c r="O32" s="6" t="s">
        <v>567</v>
      </c>
      <c r="P32" s="6" t="s">
        <v>215</v>
      </c>
      <c r="Q32" s="6">
        <v>56</v>
      </c>
      <c r="R32" s="6" t="s">
        <v>85</v>
      </c>
      <c r="S32" s="7">
        <v>56</v>
      </c>
      <c r="T32" s="7" t="s">
        <v>123</v>
      </c>
      <c r="U32" s="6" t="s">
        <v>108</v>
      </c>
      <c r="V32" s="6" t="s">
        <v>158</v>
      </c>
      <c r="W32" s="6" t="s">
        <v>376</v>
      </c>
      <c r="X32" s="6" t="s">
        <v>565</v>
      </c>
      <c r="Y32" s="8" t="s">
        <v>2630</v>
      </c>
      <c r="Z32" s="8" t="s">
        <v>2631</v>
      </c>
      <c r="AB32" s="6">
        <v>41000</v>
      </c>
      <c r="AC32" s="6">
        <v>41000</v>
      </c>
      <c r="AD32" s="6">
        <v>41365</v>
      </c>
      <c r="AE32" s="6" t="s">
        <v>371</v>
      </c>
      <c r="AF32" s="6" t="s">
        <v>178</v>
      </c>
      <c r="AG32" s="6" t="s">
        <v>370</v>
      </c>
      <c r="AH32" s="6" t="s">
        <v>244</v>
      </c>
      <c r="AI32" s="6" t="s">
        <v>182</v>
      </c>
      <c r="AJ32" s="6" t="s">
        <v>244</v>
      </c>
      <c r="AK32" s="6" t="s">
        <v>185</v>
      </c>
      <c r="AL32" s="6" t="s">
        <v>178</v>
      </c>
      <c r="AM32" s="6" t="s">
        <v>185</v>
      </c>
      <c r="AN32" s="6" t="s">
        <v>378</v>
      </c>
      <c r="AO32" s="6" t="s">
        <v>244</v>
      </c>
      <c r="AP32" s="6" t="s">
        <v>247</v>
      </c>
      <c r="AQ32" s="6" t="s">
        <v>288</v>
      </c>
      <c r="AR32" s="6" t="s">
        <v>185</v>
      </c>
      <c r="AS32" s="6" t="s">
        <v>379</v>
      </c>
      <c r="AT32" s="6" t="s">
        <v>395</v>
      </c>
      <c r="AU32" s="6" t="s">
        <v>244</v>
      </c>
      <c r="AV32" s="6" t="s">
        <v>195</v>
      </c>
      <c r="AW32" s="6" t="s">
        <v>341</v>
      </c>
      <c r="AX32" s="6" t="s">
        <v>371</v>
      </c>
    </row>
    <row r="33" spans="1:50">
      <c r="A33" s="6">
        <v>84</v>
      </c>
      <c r="B33" s="5" t="s">
        <v>2632</v>
      </c>
      <c r="C33" s="6">
        <v>3</v>
      </c>
      <c r="D33" s="6" t="s">
        <v>98</v>
      </c>
      <c r="E33" s="6">
        <v>1</v>
      </c>
      <c r="F33" s="6" t="s">
        <v>568</v>
      </c>
      <c r="G33" s="6">
        <v>41988.923217592594</v>
      </c>
      <c r="H33" s="6">
        <v>41988.923217592594</v>
      </c>
      <c r="I33" s="6">
        <v>41988.923217592594</v>
      </c>
      <c r="J33" s="6" t="s">
        <v>103</v>
      </c>
      <c r="K33" s="6" t="s">
        <v>105</v>
      </c>
      <c r="L33" s="6" t="s">
        <v>569</v>
      </c>
      <c r="O33" s="6" t="s">
        <v>570</v>
      </c>
      <c r="P33" s="6" t="s">
        <v>215</v>
      </c>
      <c r="Q33" s="6">
        <v>56</v>
      </c>
      <c r="R33" s="6" t="s">
        <v>85</v>
      </c>
      <c r="S33" s="7">
        <v>56</v>
      </c>
      <c r="T33" s="7" t="s">
        <v>123</v>
      </c>
      <c r="U33" s="6" t="s">
        <v>108</v>
      </c>
      <c r="V33" s="6" t="s">
        <v>158</v>
      </c>
      <c r="W33" s="6" t="s">
        <v>160</v>
      </c>
      <c r="X33" s="6" t="s">
        <v>569</v>
      </c>
      <c r="Y33" s="8" t="s">
        <v>2633</v>
      </c>
      <c r="Z33" s="8" t="s">
        <v>2633</v>
      </c>
      <c r="AA33" s="8" t="s">
        <v>2634</v>
      </c>
      <c r="AB33" s="6">
        <v>41781</v>
      </c>
      <c r="AC33" s="6">
        <v>41649</v>
      </c>
      <c r="AD33" s="6">
        <v>41781</v>
      </c>
      <c r="AE33" s="6" t="s">
        <v>177</v>
      </c>
      <c r="AF33" s="6" t="s">
        <v>178</v>
      </c>
      <c r="AG33" s="6" t="s">
        <v>180</v>
      </c>
      <c r="AH33" s="6" t="s">
        <v>392</v>
      </c>
      <c r="AI33" s="6" t="s">
        <v>182</v>
      </c>
      <c r="AJ33" s="6" t="s">
        <v>393</v>
      </c>
      <c r="AK33" s="6" t="s">
        <v>185</v>
      </c>
      <c r="AL33" s="6" t="s">
        <v>479</v>
      </c>
      <c r="AM33" s="6" t="s">
        <v>189</v>
      </c>
      <c r="AN33" s="6" t="s">
        <v>378</v>
      </c>
      <c r="AO33" s="6" t="s">
        <v>185</v>
      </c>
      <c r="AP33" s="6" t="s">
        <v>394</v>
      </c>
      <c r="AQ33" s="6" t="s">
        <v>288</v>
      </c>
      <c r="AR33" s="6" t="s">
        <v>189</v>
      </c>
      <c r="AS33" s="6" t="s">
        <v>395</v>
      </c>
      <c r="AT33" s="6" t="s">
        <v>395</v>
      </c>
      <c r="AU33" s="6" t="s">
        <v>288</v>
      </c>
      <c r="AV33" s="6" t="s">
        <v>371</v>
      </c>
      <c r="AW33" s="6" t="s">
        <v>244</v>
      </c>
      <c r="AX33" s="6" t="s">
        <v>371</v>
      </c>
    </row>
    <row r="34" spans="1:50">
      <c r="A34" s="6">
        <v>94</v>
      </c>
      <c r="B34" s="5" t="s">
        <v>2635</v>
      </c>
      <c r="C34" s="6">
        <v>5</v>
      </c>
      <c r="D34" s="6" t="s">
        <v>98</v>
      </c>
      <c r="E34" s="6">
        <v>1</v>
      </c>
      <c r="F34" s="6" t="s">
        <v>571</v>
      </c>
      <c r="G34" s="6">
        <v>41988.923229166663</v>
      </c>
      <c r="H34" s="6">
        <v>41988.923229166663</v>
      </c>
      <c r="I34" s="6">
        <v>41988.923229166663</v>
      </c>
      <c r="J34" s="6" t="s">
        <v>103</v>
      </c>
      <c r="K34" s="6" t="s">
        <v>105</v>
      </c>
      <c r="L34" s="6" t="s">
        <v>572</v>
      </c>
      <c r="M34" s="6" t="s">
        <v>374</v>
      </c>
      <c r="N34" s="6" t="s">
        <v>573</v>
      </c>
      <c r="O34" s="6" t="s">
        <v>574</v>
      </c>
      <c r="P34" s="6" t="s">
        <v>215</v>
      </c>
      <c r="Q34" s="6">
        <v>56</v>
      </c>
      <c r="R34" s="6" t="s">
        <v>85</v>
      </c>
      <c r="S34" s="7">
        <v>56</v>
      </c>
      <c r="T34" s="7" t="s">
        <v>123</v>
      </c>
      <c r="U34" s="6" t="s">
        <v>108</v>
      </c>
      <c r="V34" s="6" t="s">
        <v>158</v>
      </c>
      <c r="W34" s="6" t="s">
        <v>160</v>
      </c>
      <c r="X34" s="6" t="s">
        <v>572</v>
      </c>
      <c r="Y34" s="8" t="s">
        <v>2636</v>
      </c>
      <c r="Z34" s="8" t="s">
        <v>2637</v>
      </c>
      <c r="AA34" s="8" t="s">
        <v>2638</v>
      </c>
      <c r="AB34" s="6">
        <v>39225</v>
      </c>
      <c r="AD34" s="6">
        <v>41899</v>
      </c>
      <c r="AE34" s="6" t="s">
        <v>177</v>
      </c>
      <c r="AF34" s="6" t="s">
        <v>178</v>
      </c>
      <c r="AG34" s="6" t="s">
        <v>180</v>
      </c>
      <c r="AH34" s="6" t="s">
        <v>187</v>
      </c>
      <c r="AI34" s="6" t="s">
        <v>371</v>
      </c>
      <c r="AJ34" s="6" t="s">
        <v>244</v>
      </c>
      <c r="AK34" s="6" t="s">
        <v>185</v>
      </c>
      <c r="AL34" s="6" t="s">
        <v>479</v>
      </c>
      <c r="AM34" s="6" t="s">
        <v>288</v>
      </c>
      <c r="AN34" s="6" t="s">
        <v>181</v>
      </c>
      <c r="AO34" s="6" t="s">
        <v>189</v>
      </c>
      <c r="AP34" s="6" t="s">
        <v>386</v>
      </c>
      <c r="AQ34" s="6" t="s">
        <v>288</v>
      </c>
      <c r="AR34" s="6" t="s">
        <v>189</v>
      </c>
      <c r="AS34" s="6" t="s">
        <v>244</v>
      </c>
      <c r="AT34" s="6" t="s">
        <v>244</v>
      </c>
      <c r="AU34" s="6" t="s">
        <v>288</v>
      </c>
      <c r="AV34" s="6" t="s">
        <v>371</v>
      </c>
      <c r="AW34" s="6" t="s">
        <v>442</v>
      </c>
      <c r="AX34" s="6" t="s">
        <v>247</v>
      </c>
    </row>
    <row r="35" spans="1:50">
      <c r="A35" s="6">
        <v>96</v>
      </c>
      <c r="B35" s="5" t="s">
        <v>2639</v>
      </c>
      <c r="C35" s="6">
        <v>3</v>
      </c>
      <c r="D35" s="6" t="s">
        <v>98</v>
      </c>
      <c r="E35" s="6">
        <v>1</v>
      </c>
      <c r="F35" s="6" t="s">
        <v>575</v>
      </c>
      <c r="G35" s="6">
        <v>41988.923229166663</v>
      </c>
      <c r="H35" s="6">
        <v>41988.923229166663</v>
      </c>
      <c r="I35" s="6">
        <v>41988.923229166663</v>
      </c>
      <c r="J35" s="6" t="s">
        <v>103</v>
      </c>
      <c r="K35" s="6" t="s">
        <v>105</v>
      </c>
      <c r="L35" s="6" t="s">
        <v>576</v>
      </c>
      <c r="M35" s="6" t="s">
        <v>352</v>
      </c>
      <c r="Q35" s="6">
        <v>56</v>
      </c>
      <c r="R35" s="6" t="s">
        <v>85</v>
      </c>
      <c r="S35" s="7">
        <v>56</v>
      </c>
      <c r="T35" s="7" t="s">
        <v>123</v>
      </c>
      <c r="U35" s="6" t="s">
        <v>108</v>
      </c>
      <c r="V35" s="6" t="s">
        <v>158</v>
      </c>
      <c r="W35" s="6" t="s">
        <v>160</v>
      </c>
      <c r="X35" s="6" t="s">
        <v>576</v>
      </c>
      <c r="Y35" s="8" t="s">
        <v>2640</v>
      </c>
      <c r="AA35" s="8" t="s">
        <v>2641</v>
      </c>
      <c r="AB35" s="6">
        <v>41155</v>
      </c>
      <c r="AC35" s="6">
        <v>41275</v>
      </c>
      <c r="AD35" s="6">
        <v>41699</v>
      </c>
      <c r="AE35" s="6" t="s">
        <v>177</v>
      </c>
      <c r="AF35" s="6" t="s">
        <v>178</v>
      </c>
      <c r="AG35" s="6" t="s">
        <v>180</v>
      </c>
      <c r="AH35" s="6" t="s">
        <v>181</v>
      </c>
      <c r="AI35" s="6" t="s">
        <v>182</v>
      </c>
      <c r="AJ35" s="6" t="s">
        <v>393</v>
      </c>
      <c r="AK35" s="6" t="s">
        <v>185</v>
      </c>
      <c r="AL35" s="6" t="s">
        <v>479</v>
      </c>
      <c r="AM35" s="6" t="s">
        <v>189</v>
      </c>
      <c r="AN35" s="6" t="s">
        <v>181</v>
      </c>
      <c r="AO35" s="6" t="s">
        <v>189</v>
      </c>
      <c r="AP35" s="6" t="s">
        <v>394</v>
      </c>
      <c r="AQ35" s="6" t="s">
        <v>288</v>
      </c>
      <c r="AR35" s="6" t="s">
        <v>189</v>
      </c>
      <c r="AS35" s="6" t="s">
        <v>244</v>
      </c>
      <c r="AT35" s="6" t="s">
        <v>244</v>
      </c>
      <c r="AU35" s="6" t="s">
        <v>288</v>
      </c>
      <c r="AV35" s="6" t="s">
        <v>339</v>
      </c>
      <c r="AW35" s="6" t="s">
        <v>341</v>
      </c>
      <c r="AX35" s="6" t="s">
        <v>198</v>
      </c>
    </row>
    <row r="36" spans="1:50">
      <c r="A36" s="6">
        <v>97</v>
      </c>
      <c r="B36" s="5" t="s">
        <v>2642</v>
      </c>
      <c r="C36" s="6">
        <v>4</v>
      </c>
      <c r="D36" s="6" t="s">
        <v>98</v>
      </c>
      <c r="E36" s="6">
        <v>1</v>
      </c>
      <c r="F36" s="6" t="s">
        <v>577</v>
      </c>
      <c r="G36" s="6">
        <v>41988.923229166663</v>
      </c>
      <c r="H36" s="6">
        <v>42023.031435185185</v>
      </c>
      <c r="I36" s="6">
        <v>41988.923229166663</v>
      </c>
      <c r="J36" s="6" t="s">
        <v>103</v>
      </c>
      <c r="K36" s="6" t="s">
        <v>105</v>
      </c>
      <c r="L36" s="6" t="s">
        <v>578</v>
      </c>
      <c r="M36" s="6" t="s">
        <v>352</v>
      </c>
      <c r="Q36" s="6">
        <v>56</v>
      </c>
      <c r="R36" s="6" t="s">
        <v>85</v>
      </c>
      <c r="S36" s="7">
        <v>56</v>
      </c>
      <c r="T36" s="7" t="s">
        <v>123</v>
      </c>
      <c r="U36" s="6" t="s">
        <v>108</v>
      </c>
      <c r="V36" s="6" t="s">
        <v>158</v>
      </c>
      <c r="W36" s="6" t="s">
        <v>160</v>
      </c>
      <c r="X36" s="6" t="s">
        <v>578</v>
      </c>
      <c r="Y36" s="8" t="s">
        <v>2643</v>
      </c>
      <c r="AA36" s="8" t="s">
        <v>2644</v>
      </c>
      <c r="AB36" s="6">
        <v>40946</v>
      </c>
      <c r="AC36" s="6">
        <v>41648</v>
      </c>
      <c r="AE36" s="6" t="s">
        <v>177</v>
      </c>
      <c r="AF36" s="6" t="s">
        <v>178</v>
      </c>
      <c r="AG36" s="6" t="s">
        <v>180</v>
      </c>
      <c r="AH36" s="6" t="s">
        <v>187</v>
      </c>
      <c r="AI36" s="6" t="s">
        <v>182</v>
      </c>
      <c r="AJ36" s="6" t="s">
        <v>393</v>
      </c>
      <c r="AK36" s="6" t="s">
        <v>189</v>
      </c>
      <c r="AL36" s="6" t="s">
        <v>479</v>
      </c>
      <c r="AM36" s="6" t="s">
        <v>189</v>
      </c>
      <c r="AN36" s="6" t="s">
        <v>181</v>
      </c>
      <c r="AO36" s="6" t="s">
        <v>189</v>
      </c>
      <c r="AP36" s="6" t="s">
        <v>394</v>
      </c>
      <c r="AQ36" s="6" t="s">
        <v>288</v>
      </c>
      <c r="AR36" s="6" t="s">
        <v>189</v>
      </c>
      <c r="AS36" s="6" t="s">
        <v>244</v>
      </c>
      <c r="AT36" s="6" t="s">
        <v>244</v>
      </c>
      <c r="AU36" s="6" t="s">
        <v>288</v>
      </c>
      <c r="AV36" s="6" t="s">
        <v>244</v>
      </c>
      <c r="AW36" s="6" t="s">
        <v>341</v>
      </c>
      <c r="AX36" s="6" t="s">
        <v>198</v>
      </c>
    </row>
    <row r="37" spans="1:50">
      <c r="A37" s="6">
        <v>95</v>
      </c>
      <c r="B37" s="5" t="s">
        <v>2645</v>
      </c>
      <c r="C37" s="6">
        <v>3</v>
      </c>
      <c r="D37" s="6" t="s">
        <v>98</v>
      </c>
      <c r="E37" s="6">
        <v>1</v>
      </c>
      <c r="F37" s="6" t="s">
        <v>579</v>
      </c>
      <c r="G37" s="6">
        <v>41988.923229166663</v>
      </c>
      <c r="H37" s="6">
        <v>41988.923229166663</v>
      </c>
      <c r="I37" s="6">
        <v>41988.923229166663</v>
      </c>
      <c r="J37" s="6" t="s">
        <v>103</v>
      </c>
      <c r="K37" s="6" t="s">
        <v>105</v>
      </c>
      <c r="L37" s="6" t="s">
        <v>580</v>
      </c>
      <c r="M37" s="6" t="s">
        <v>374</v>
      </c>
      <c r="Q37" s="6">
        <v>56</v>
      </c>
      <c r="R37" s="6" t="s">
        <v>85</v>
      </c>
      <c r="S37" s="7">
        <v>56</v>
      </c>
      <c r="T37" s="7" t="s">
        <v>123</v>
      </c>
      <c r="U37" s="6" t="s">
        <v>108</v>
      </c>
      <c r="V37" s="6" t="s">
        <v>158</v>
      </c>
      <c r="W37" s="6" t="s">
        <v>160</v>
      </c>
      <c r="X37" s="6" t="s">
        <v>580</v>
      </c>
      <c r="Y37" s="8" t="s">
        <v>2646</v>
      </c>
      <c r="Z37" s="8" t="s">
        <v>2647</v>
      </c>
      <c r="AA37" s="8" t="s">
        <v>2648</v>
      </c>
      <c r="AB37" s="6">
        <v>39229</v>
      </c>
      <c r="AC37" s="6">
        <v>40065</v>
      </c>
      <c r="AE37" s="6" t="s">
        <v>177</v>
      </c>
      <c r="AF37" s="6" t="s">
        <v>178</v>
      </c>
      <c r="AG37" s="6" t="s">
        <v>180</v>
      </c>
      <c r="AH37" s="6" t="s">
        <v>187</v>
      </c>
      <c r="AI37" s="6" t="s">
        <v>182</v>
      </c>
      <c r="AJ37" s="6" t="s">
        <v>393</v>
      </c>
      <c r="AK37" s="6" t="s">
        <v>185</v>
      </c>
      <c r="AL37" s="6" t="s">
        <v>479</v>
      </c>
      <c r="AM37" s="6" t="s">
        <v>189</v>
      </c>
      <c r="AN37" s="6" t="s">
        <v>392</v>
      </c>
      <c r="AO37" s="6" t="s">
        <v>185</v>
      </c>
      <c r="AP37" s="6" t="s">
        <v>247</v>
      </c>
      <c r="AQ37" s="6" t="s">
        <v>288</v>
      </c>
      <c r="AR37" s="6" t="s">
        <v>189</v>
      </c>
      <c r="AS37" s="6" t="s">
        <v>244</v>
      </c>
      <c r="AT37" s="6" t="s">
        <v>244</v>
      </c>
      <c r="AU37" s="6" t="s">
        <v>288</v>
      </c>
      <c r="AV37" s="6" t="s">
        <v>339</v>
      </c>
      <c r="AW37" s="6" t="s">
        <v>341</v>
      </c>
      <c r="AX37" s="6" t="s">
        <v>198</v>
      </c>
    </row>
    <row r="38" spans="1:50">
      <c r="A38" s="6">
        <v>607</v>
      </c>
      <c r="B38" s="5" t="s">
        <v>2649</v>
      </c>
      <c r="C38" s="6">
        <v>5</v>
      </c>
      <c r="D38" s="6" t="s">
        <v>98</v>
      </c>
      <c r="E38" s="6">
        <v>1</v>
      </c>
      <c r="F38" s="6" t="s">
        <v>585</v>
      </c>
      <c r="G38" s="6">
        <v>41988.924224537041</v>
      </c>
      <c r="H38" s="6">
        <v>42026.536979166667</v>
      </c>
      <c r="I38" s="6">
        <v>41988.924224537041</v>
      </c>
      <c r="J38" s="6" t="s">
        <v>103</v>
      </c>
      <c r="K38" s="6" t="s">
        <v>105</v>
      </c>
      <c r="L38" s="6" t="s">
        <v>586</v>
      </c>
      <c r="M38" s="6" t="s">
        <v>374</v>
      </c>
      <c r="N38" s="6" t="s">
        <v>587</v>
      </c>
      <c r="P38" s="6" t="s">
        <v>215</v>
      </c>
      <c r="Q38" s="6">
        <v>76</v>
      </c>
      <c r="R38" s="6" t="s">
        <v>93</v>
      </c>
      <c r="S38" s="7">
        <v>76</v>
      </c>
      <c r="T38" s="7" t="s">
        <v>2517</v>
      </c>
      <c r="U38" s="6" t="s">
        <v>53</v>
      </c>
      <c r="V38" s="6" t="s">
        <v>158</v>
      </c>
      <c r="W38" s="6" t="s">
        <v>376</v>
      </c>
      <c r="X38" s="6" t="s">
        <v>586</v>
      </c>
      <c r="Y38" s="8" t="s">
        <v>2650</v>
      </c>
      <c r="Z38" s="8" t="s">
        <v>2651</v>
      </c>
      <c r="AB38" s="6">
        <v>2007</v>
      </c>
      <c r="AE38" s="6" t="s">
        <v>177</v>
      </c>
      <c r="AF38" s="6" t="s">
        <v>178</v>
      </c>
      <c r="AG38" s="6" t="s">
        <v>370</v>
      </c>
      <c r="AH38" s="6" t="s">
        <v>244</v>
      </c>
      <c r="AI38" s="6" t="s">
        <v>371</v>
      </c>
      <c r="AJ38" s="6" t="s">
        <v>244</v>
      </c>
      <c r="AK38" s="6" t="s">
        <v>244</v>
      </c>
      <c r="AL38" s="6" t="s">
        <v>247</v>
      </c>
      <c r="AM38" s="6" t="s">
        <v>244</v>
      </c>
      <c r="AN38" s="6" t="s">
        <v>247</v>
      </c>
      <c r="AO38" s="6" t="s">
        <v>244</v>
      </c>
      <c r="AP38" s="6" t="s">
        <v>247</v>
      </c>
      <c r="AQ38" s="6" t="s">
        <v>288</v>
      </c>
      <c r="AR38" s="6" t="s">
        <v>288</v>
      </c>
      <c r="AS38" s="6" t="s">
        <v>244</v>
      </c>
      <c r="AT38" s="6" t="s">
        <v>244</v>
      </c>
      <c r="AU38" s="6" t="s">
        <v>288</v>
      </c>
      <c r="AV38" s="6" t="s">
        <v>339</v>
      </c>
      <c r="AW38" s="6" t="s">
        <v>244</v>
      </c>
      <c r="AX38" s="6" t="s">
        <v>247</v>
      </c>
    </row>
    <row r="39" spans="1:50">
      <c r="A39" s="6">
        <v>608</v>
      </c>
      <c r="B39" s="5" t="s">
        <v>2652</v>
      </c>
      <c r="C39" s="6">
        <v>4</v>
      </c>
      <c r="D39" s="6" t="s">
        <v>98</v>
      </c>
      <c r="E39" s="6">
        <v>352</v>
      </c>
      <c r="F39" s="6" t="s">
        <v>588</v>
      </c>
      <c r="G39" s="6">
        <v>41988.924224537041</v>
      </c>
      <c r="H39" s="6">
        <v>42046.981759259259</v>
      </c>
      <c r="I39" s="6">
        <v>41988.924224537041</v>
      </c>
      <c r="J39" s="6" t="s">
        <v>103</v>
      </c>
      <c r="K39" s="6" t="s">
        <v>105</v>
      </c>
      <c r="L39" s="6" t="s">
        <v>589</v>
      </c>
      <c r="M39" s="6" t="s">
        <v>374</v>
      </c>
      <c r="N39" s="6" t="s">
        <v>590</v>
      </c>
      <c r="O39" s="6" t="s">
        <v>591</v>
      </c>
      <c r="P39" s="6" t="s">
        <v>215</v>
      </c>
      <c r="Q39" s="6">
        <v>76</v>
      </c>
      <c r="R39" s="6" t="s">
        <v>93</v>
      </c>
      <c r="S39" s="7">
        <v>76</v>
      </c>
      <c r="T39" s="7" t="s">
        <v>2517</v>
      </c>
      <c r="U39" s="6" t="s">
        <v>53</v>
      </c>
      <c r="V39" s="6" t="s">
        <v>158</v>
      </c>
      <c r="W39" s="6" t="s">
        <v>384</v>
      </c>
      <c r="X39" s="6" t="s">
        <v>589</v>
      </c>
      <c r="Y39" s="8" t="s">
        <v>2653</v>
      </c>
      <c r="Z39" s="8" t="s">
        <v>2654</v>
      </c>
      <c r="AA39" s="8" t="s">
        <v>2655</v>
      </c>
      <c r="AB39" s="6">
        <v>41163</v>
      </c>
      <c r="AE39" s="6" t="s">
        <v>177</v>
      </c>
      <c r="AF39" s="6" t="s">
        <v>178</v>
      </c>
      <c r="AG39" s="6" t="s">
        <v>180</v>
      </c>
      <c r="AH39" s="6" t="s">
        <v>244</v>
      </c>
      <c r="AI39" s="6" t="s">
        <v>244</v>
      </c>
      <c r="AJ39" s="6" t="s">
        <v>244</v>
      </c>
      <c r="AK39" s="6" t="s">
        <v>244</v>
      </c>
      <c r="AL39" s="6" t="s">
        <v>247</v>
      </c>
      <c r="AM39" s="6" t="s">
        <v>244</v>
      </c>
      <c r="AN39" s="6" t="s">
        <v>247</v>
      </c>
      <c r="AO39" s="6" t="s">
        <v>244</v>
      </c>
      <c r="AP39" s="6" t="s">
        <v>394</v>
      </c>
      <c r="AQ39" s="6" t="s">
        <v>288</v>
      </c>
      <c r="AR39" s="6" t="s">
        <v>288</v>
      </c>
      <c r="AS39" s="6" t="s">
        <v>244</v>
      </c>
      <c r="AT39" s="6" t="s">
        <v>244</v>
      </c>
      <c r="AU39" s="6" t="s">
        <v>288</v>
      </c>
      <c r="AV39" s="6" t="s">
        <v>339</v>
      </c>
      <c r="AW39" s="6" t="s">
        <v>244</v>
      </c>
      <c r="AX39" s="6" t="s">
        <v>247</v>
      </c>
    </row>
    <row r="40" spans="1:50">
      <c r="A40" s="6">
        <v>622</v>
      </c>
      <c r="B40" s="5" t="s">
        <v>2656</v>
      </c>
      <c r="C40" s="6">
        <v>4</v>
      </c>
      <c r="D40" s="6" t="s">
        <v>98</v>
      </c>
      <c r="E40" s="6">
        <v>352</v>
      </c>
      <c r="F40" s="6" t="s">
        <v>596</v>
      </c>
      <c r="G40" s="6">
        <v>41988.924247685187</v>
      </c>
      <c r="H40" s="6">
        <v>42046.981759259259</v>
      </c>
      <c r="I40" s="6">
        <v>41988.924247685187</v>
      </c>
      <c r="J40" s="6" t="s">
        <v>103</v>
      </c>
      <c r="K40" s="6" t="s">
        <v>105</v>
      </c>
      <c r="L40" s="6" t="s">
        <v>597</v>
      </c>
      <c r="M40" s="6" t="s">
        <v>374</v>
      </c>
      <c r="P40" s="6" t="s">
        <v>595</v>
      </c>
      <c r="Q40" s="6">
        <v>76</v>
      </c>
      <c r="R40" s="6" t="s">
        <v>93</v>
      </c>
      <c r="S40" s="7">
        <v>76</v>
      </c>
      <c r="T40" s="7" t="s">
        <v>2517</v>
      </c>
      <c r="U40" s="6" t="s">
        <v>53</v>
      </c>
      <c r="V40" s="6" t="s">
        <v>158</v>
      </c>
      <c r="W40" s="6" t="s">
        <v>160</v>
      </c>
      <c r="X40" s="6" t="s">
        <v>597</v>
      </c>
      <c r="Y40" s="8" t="s">
        <v>2657</v>
      </c>
      <c r="Z40" s="8" t="s">
        <v>2658</v>
      </c>
      <c r="AA40" s="8" t="s">
        <v>2659</v>
      </c>
      <c r="AC40" s="6">
        <v>41729</v>
      </c>
      <c r="AE40" s="6" t="s">
        <v>177</v>
      </c>
      <c r="AF40" s="6" t="s">
        <v>178</v>
      </c>
      <c r="AG40" s="6" t="s">
        <v>180</v>
      </c>
      <c r="AH40" s="6" t="s">
        <v>181</v>
      </c>
      <c r="AI40" s="6" t="s">
        <v>182</v>
      </c>
      <c r="AJ40" s="6" t="s">
        <v>183</v>
      </c>
      <c r="AK40" s="6" t="s">
        <v>185</v>
      </c>
      <c r="AL40" s="6" t="s">
        <v>178</v>
      </c>
      <c r="AM40" s="6" t="s">
        <v>189</v>
      </c>
      <c r="AN40" s="6" t="s">
        <v>181</v>
      </c>
      <c r="AO40" s="6" t="s">
        <v>185</v>
      </c>
      <c r="AP40" s="6" t="s">
        <v>394</v>
      </c>
      <c r="AQ40" s="6" t="s">
        <v>288</v>
      </c>
      <c r="AR40" s="6" t="s">
        <v>288</v>
      </c>
      <c r="AS40" s="6" t="s">
        <v>244</v>
      </c>
      <c r="AT40" s="6" t="s">
        <v>244</v>
      </c>
      <c r="AU40" s="6" t="s">
        <v>288</v>
      </c>
      <c r="AV40" s="6" t="s">
        <v>339</v>
      </c>
      <c r="AW40" s="6" t="s">
        <v>341</v>
      </c>
      <c r="AX40" s="6" t="s">
        <v>428</v>
      </c>
    </row>
    <row r="41" spans="1:50">
      <c r="A41" s="6">
        <v>615</v>
      </c>
      <c r="B41" s="5" t="s">
        <v>2660</v>
      </c>
      <c r="C41" s="6">
        <v>4</v>
      </c>
      <c r="D41" s="6" t="s">
        <v>98</v>
      </c>
      <c r="E41" s="6">
        <v>1</v>
      </c>
      <c r="F41" s="6" t="s">
        <v>598</v>
      </c>
      <c r="G41" s="6">
        <v>41988.92423611111</v>
      </c>
      <c r="H41" s="6">
        <v>42023.028437499997</v>
      </c>
      <c r="I41" s="6">
        <v>41988.92423611111</v>
      </c>
      <c r="J41" s="6" t="s">
        <v>103</v>
      </c>
      <c r="K41" s="6" t="s">
        <v>105</v>
      </c>
      <c r="L41" s="6" t="s">
        <v>599</v>
      </c>
      <c r="M41" s="6" t="s">
        <v>374</v>
      </c>
      <c r="P41" s="6" t="s">
        <v>595</v>
      </c>
      <c r="Q41" s="6">
        <v>76</v>
      </c>
      <c r="R41" s="6" t="s">
        <v>93</v>
      </c>
      <c r="S41" s="7">
        <v>76</v>
      </c>
      <c r="T41" s="7" t="s">
        <v>2517</v>
      </c>
      <c r="U41" s="6" t="s">
        <v>53</v>
      </c>
      <c r="V41" s="6" t="s">
        <v>158</v>
      </c>
      <c r="W41" s="6" t="s">
        <v>160</v>
      </c>
      <c r="X41" s="6" t="s">
        <v>599</v>
      </c>
      <c r="Y41" s="8" t="s">
        <v>2661</v>
      </c>
      <c r="Z41" s="8" t="s">
        <v>2662</v>
      </c>
      <c r="AA41" s="8" t="s">
        <v>2663</v>
      </c>
      <c r="AC41" s="6">
        <v>40185</v>
      </c>
      <c r="AE41" s="6" t="s">
        <v>177</v>
      </c>
      <c r="AF41" s="6" t="s">
        <v>178</v>
      </c>
      <c r="AG41" s="6" t="s">
        <v>180</v>
      </c>
      <c r="AH41" s="6" t="s">
        <v>187</v>
      </c>
      <c r="AI41" s="6" t="s">
        <v>182</v>
      </c>
      <c r="AJ41" s="6" t="s">
        <v>371</v>
      </c>
      <c r="AK41" s="6" t="s">
        <v>189</v>
      </c>
      <c r="AL41" s="6" t="s">
        <v>247</v>
      </c>
      <c r="AM41" s="6" t="s">
        <v>244</v>
      </c>
      <c r="AN41" s="6" t="s">
        <v>247</v>
      </c>
      <c r="AO41" s="6" t="s">
        <v>244</v>
      </c>
      <c r="AP41" s="6" t="s">
        <v>386</v>
      </c>
      <c r="AQ41" s="6" t="s">
        <v>288</v>
      </c>
      <c r="AR41" s="6" t="s">
        <v>288</v>
      </c>
      <c r="AS41" s="6" t="s">
        <v>379</v>
      </c>
      <c r="AT41" s="6" t="s">
        <v>379</v>
      </c>
      <c r="AU41" s="6" t="s">
        <v>288</v>
      </c>
      <c r="AV41" s="6" t="s">
        <v>339</v>
      </c>
      <c r="AW41" s="6" t="s">
        <v>341</v>
      </c>
      <c r="AX41" s="6" t="s">
        <v>247</v>
      </c>
    </row>
    <row r="42" spans="1:50">
      <c r="A42" s="6">
        <v>619</v>
      </c>
      <c r="B42" s="5" t="s">
        <v>2664</v>
      </c>
      <c r="C42" s="6">
        <v>5</v>
      </c>
      <c r="D42" s="6" t="s">
        <v>98</v>
      </c>
      <c r="E42" s="6">
        <v>360</v>
      </c>
      <c r="F42" s="6" t="s">
        <v>603</v>
      </c>
      <c r="G42" s="6">
        <v>41988.92423611111</v>
      </c>
      <c r="H42" s="6">
        <v>42046.981759259259</v>
      </c>
      <c r="I42" s="6">
        <v>41988.92423611111</v>
      </c>
      <c r="J42" s="6" t="s">
        <v>103</v>
      </c>
      <c r="K42" s="6" t="s">
        <v>105</v>
      </c>
      <c r="L42" s="6" t="s">
        <v>604</v>
      </c>
      <c r="M42" s="6" t="s">
        <v>374</v>
      </c>
      <c r="N42" s="6" t="s">
        <v>605</v>
      </c>
      <c r="P42" s="6" t="s">
        <v>595</v>
      </c>
      <c r="Q42" s="6">
        <v>76</v>
      </c>
      <c r="R42" s="6" t="s">
        <v>93</v>
      </c>
      <c r="S42" s="7">
        <v>76</v>
      </c>
      <c r="T42" s="7" t="s">
        <v>2517</v>
      </c>
      <c r="U42" s="6" t="s">
        <v>53</v>
      </c>
      <c r="V42" s="6" t="s">
        <v>158</v>
      </c>
      <c r="W42" s="6" t="s">
        <v>160</v>
      </c>
      <c r="X42" s="6" t="s">
        <v>604</v>
      </c>
      <c r="Y42" s="8" t="s">
        <v>2665</v>
      </c>
      <c r="Z42" s="8" t="s">
        <v>2666</v>
      </c>
      <c r="AA42" s="8" t="s">
        <v>2667</v>
      </c>
      <c r="AC42" s="6">
        <v>41585</v>
      </c>
      <c r="AE42" s="6" t="s">
        <v>177</v>
      </c>
      <c r="AF42" s="6" t="s">
        <v>178</v>
      </c>
      <c r="AG42" s="6" t="s">
        <v>180</v>
      </c>
      <c r="AH42" s="6" t="s">
        <v>187</v>
      </c>
      <c r="AI42" s="6" t="s">
        <v>182</v>
      </c>
      <c r="AJ42" s="6" t="s">
        <v>371</v>
      </c>
      <c r="AK42" s="6" t="s">
        <v>189</v>
      </c>
      <c r="AL42" s="6" t="s">
        <v>479</v>
      </c>
      <c r="AM42" s="6" t="s">
        <v>189</v>
      </c>
      <c r="AN42" s="6" t="s">
        <v>181</v>
      </c>
      <c r="AO42" s="6" t="s">
        <v>185</v>
      </c>
      <c r="AP42" s="6" t="s">
        <v>394</v>
      </c>
      <c r="AQ42" s="6" t="s">
        <v>288</v>
      </c>
      <c r="AR42" s="6" t="s">
        <v>288</v>
      </c>
      <c r="AS42" s="6" t="s">
        <v>379</v>
      </c>
      <c r="AT42" s="6" t="s">
        <v>379</v>
      </c>
      <c r="AU42" s="6" t="s">
        <v>288</v>
      </c>
      <c r="AV42" s="6" t="s">
        <v>195</v>
      </c>
      <c r="AW42" s="6" t="s">
        <v>341</v>
      </c>
      <c r="AX42" s="6" t="s">
        <v>247</v>
      </c>
    </row>
    <row r="43" spans="1:50">
      <c r="A43" s="6">
        <v>610</v>
      </c>
      <c r="B43" s="5" t="s">
        <v>2668</v>
      </c>
      <c r="C43" s="6">
        <v>4</v>
      </c>
      <c r="D43" s="6" t="s">
        <v>98</v>
      </c>
      <c r="E43" s="6">
        <v>354</v>
      </c>
      <c r="F43" s="6" t="s">
        <v>606</v>
      </c>
      <c r="G43" s="6">
        <v>41988.924224537041</v>
      </c>
      <c r="H43" s="6">
        <v>42046.981759259259</v>
      </c>
      <c r="I43" s="6">
        <v>41988.924224537041</v>
      </c>
      <c r="J43" s="6" t="s">
        <v>103</v>
      </c>
      <c r="K43" s="6" t="s">
        <v>105</v>
      </c>
      <c r="L43" s="6" t="s">
        <v>607</v>
      </c>
      <c r="M43" s="6" t="s">
        <v>374</v>
      </c>
      <c r="N43" s="6" t="s">
        <v>398</v>
      </c>
      <c r="O43" s="6" t="s">
        <v>608</v>
      </c>
      <c r="P43" s="6" t="s">
        <v>215</v>
      </c>
      <c r="Q43" s="6">
        <v>76</v>
      </c>
      <c r="R43" s="6" t="s">
        <v>93</v>
      </c>
      <c r="S43" s="7">
        <v>76</v>
      </c>
      <c r="T43" s="7" t="s">
        <v>2517</v>
      </c>
      <c r="U43" s="6" t="s">
        <v>53</v>
      </c>
      <c r="V43" s="6" t="s">
        <v>158</v>
      </c>
      <c r="W43" s="6" t="s">
        <v>160</v>
      </c>
      <c r="X43" s="6" t="s">
        <v>607</v>
      </c>
      <c r="Y43" s="8" t="s">
        <v>2669</v>
      </c>
      <c r="Z43" s="8" t="s">
        <v>2670</v>
      </c>
      <c r="AA43" s="8" t="s">
        <v>2671</v>
      </c>
      <c r="AB43" s="6">
        <v>40347</v>
      </c>
      <c r="AE43" s="6" t="s">
        <v>177</v>
      </c>
      <c r="AF43" s="6" t="s">
        <v>178</v>
      </c>
      <c r="AG43" s="6" t="s">
        <v>180</v>
      </c>
      <c r="AH43" s="6" t="s">
        <v>181</v>
      </c>
      <c r="AI43" s="6" t="s">
        <v>182</v>
      </c>
      <c r="AJ43" s="6" t="s">
        <v>371</v>
      </c>
      <c r="AK43" s="6" t="s">
        <v>189</v>
      </c>
      <c r="AL43" s="6" t="s">
        <v>479</v>
      </c>
      <c r="AM43" s="6" t="s">
        <v>189</v>
      </c>
      <c r="AN43" s="6" t="s">
        <v>392</v>
      </c>
      <c r="AO43" s="6" t="s">
        <v>244</v>
      </c>
      <c r="AP43" s="6" t="s">
        <v>247</v>
      </c>
      <c r="AQ43" s="6" t="s">
        <v>288</v>
      </c>
      <c r="AR43" s="6" t="s">
        <v>189</v>
      </c>
      <c r="AS43" s="6" t="s">
        <v>379</v>
      </c>
      <c r="AT43" s="6" t="s">
        <v>379</v>
      </c>
      <c r="AU43" s="6" t="s">
        <v>288</v>
      </c>
      <c r="AV43" s="6" t="s">
        <v>339</v>
      </c>
      <c r="AW43" s="6" t="s">
        <v>371</v>
      </c>
      <c r="AX43" s="6" t="s">
        <v>247</v>
      </c>
    </row>
    <row r="44" spans="1:50">
      <c r="A44" s="6">
        <v>616</v>
      </c>
      <c r="B44" s="5" t="s">
        <v>2672</v>
      </c>
      <c r="C44" s="6">
        <v>5</v>
      </c>
      <c r="D44" s="6" t="s">
        <v>98</v>
      </c>
      <c r="E44" s="6">
        <v>359</v>
      </c>
      <c r="F44" s="6" t="s">
        <v>609</v>
      </c>
      <c r="G44" s="6">
        <v>41988.92423611111</v>
      </c>
      <c r="H44" s="6">
        <v>42046.981759259259</v>
      </c>
      <c r="I44" s="6">
        <v>41988.92423611111</v>
      </c>
      <c r="J44" s="6" t="s">
        <v>103</v>
      </c>
      <c r="K44" s="6" t="s">
        <v>105</v>
      </c>
      <c r="L44" s="6" t="s">
        <v>610</v>
      </c>
      <c r="M44" s="6" t="s">
        <v>374</v>
      </c>
      <c r="P44" s="6" t="s">
        <v>595</v>
      </c>
      <c r="Q44" s="6">
        <v>76</v>
      </c>
      <c r="R44" s="6" t="s">
        <v>93</v>
      </c>
      <c r="S44" s="7">
        <v>76</v>
      </c>
      <c r="T44" s="7" t="s">
        <v>2517</v>
      </c>
      <c r="U44" s="6" t="s">
        <v>53</v>
      </c>
      <c r="V44" s="6" t="s">
        <v>158</v>
      </c>
      <c r="W44" s="6" t="s">
        <v>160</v>
      </c>
      <c r="X44" s="6" t="s">
        <v>610</v>
      </c>
      <c r="Y44" s="8" t="s">
        <v>2673</v>
      </c>
      <c r="Z44" s="8" t="s">
        <v>2674</v>
      </c>
      <c r="AA44" s="8" t="s">
        <v>2675</v>
      </c>
      <c r="AC44" s="6">
        <v>40662</v>
      </c>
      <c r="AE44" s="6" t="s">
        <v>177</v>
      </c>
      <c r="AF44" s="6" t="s">
        <v>178</v>
      </c>
      <c r="AG44" s="6" t="s">
        <v>180</v>
      </c>
      <c r="AH44" s="6" t="s">
        <v>187</v>
      </c>
      <c r="AI44" s="6" t="s">
        <v>182</v>
      </c>
      <c r="AJ44" s="6" t="s">
        <v>371</v>
      </c>
      <c r="AK44" s="6" t="s">
        <v>189</v>
      </c>
      <c r="AL44" s="6" t="s">
        <v>479</v>
      </c>
      <c r="AM44" s="6" t="s">
        <v>189</v>
      </c>
      <c r="AN44" s="6" t="s">
        <v>247</v>
      </c>
      <c r="AO44" s="6" t="s">
        <v>185</v>
      </c>
      <c r="AP44" s="6" t="s">
        <v>247</v>
      </c>
      <c r="AQ44" s="6" t="s">
        <v>288</v>
      </c>
      <c r="AR44" s="6" t="s">
        <v>288</v>
      </c>
      <c r="AS44" s="6" t="s">
        <v>379</v>
      </c>
      <c r="AT44" s="6" t="s">
        <v>379</v>
      </c>
      <c r="AU44" s="6" t="s">
        <v>288</v>
      </c>
      <c r="AV44" s="6" t="s">
        <v>371</v>
      </c>
      <c r="AW44" s="6" t="s">
        <v>244</v>
      </c>
      <c r="AX44" s="6" t="s">
        <v>247</v>
      </c>
    </row>
    <row r="45" spans="1:50">
      <c r="A45" s="6">
        <v>612</v>
      </c>
      <c r="B45" s="5" t="s">
        <v>2676</v>
      </c>
      <c r="C45" s="6">
        <v>4</v>
      </c>
      <c r="D45" s="6" t="s">
        <v>98</v>
      </c>
      <c r="E45" s="6">
        <v>356</v>
      </c>
      <c r="F45" s="6" t="s">
        <v>613</v>
      </c>
      <c r="G45" s="6">
        <v>41988.924224537041</v>
      </c>
      <c r="H45" s="6">
        <v>42046.981759259259</v>
      </c>
      <c r="I45" s="6">
        <v>41988.924224537041</v>
      </c>
      <c r="J45" s="6" t="s">
        <v>103</v>
      </c>
      <c r="K45" s="6" t="s">
        <v>105</v>
      </c>
      <c r="L45" s="6" t="s">
        <v>614</v>
      </c>
      <c r="M45" s="6" t="s">
        <v>374</v>
      </c>
      <c r="N45" s="6" t="s">
        <v>615</v>
      </c>
      <c r="O45" s="6" t="s">
        <v>383</v>
      </c>
      <c r="P45" s="6" t="s">
        <v>215</v>
      </c>
      <c r="Q45" s="6">
        <v>76</v>
      </c>
      <c r="R45" s="6" t="s">
        <v>93</v>
      </c>
      <c r="S45" s="7">
        <v>76</v>
      </c>
      <c r="T45" s="7" t="s">
        <v>2517</v>
      </c>
      <c r="U45" s="6" t="s">
        <v>53</v>
      </c>
      <c r="V45" s="6" t="s">
        <v>158</v>
      </c>
      <c r="W45" s="6" t="s">
        <v>160</v>
      </c>
      <c r="X45" s="6" t="s">
        <v>614</v>
      </c>
      <c r="Y45" s="8" t="s">
        <v>2677</v>
      </c>
      <c r="Z45" s="8" t="s">
        <v>2678</v>
      </c>
      <c r="AA45" s="8" t="s">
        <v>2679</v>
      </c>
      <c r="AB45" s="6">
        <v>40284</v>
      </c>
      <c r="AC45" s="6">
        <v>40284</v>
      </c>
      <c r="AE45" s="6" t="s">
        <v>177</v>
      </c>
      <c r="AF45" s="6" t="s">
        <v>178</v>
      </c>
      <c r="AG45" s="6" t="s">
        <v>180</v>
      </c>
      <c r="AH45" s="6" t="s">
        <v>392</v>
      </c>
      <c r="AI45" s="6" t="s">
        <v>371</v>
      </c>
      <c r="AJ45" s="6" t="s">
        <v>244</v>
      </c>
      <c r="AK45" s="6" t="s">
        <v>244</v>
      </c>
      <c r="AL45" s="6" t="s">
        <v>247</v>
      </c>
      <c r="AM45" s="6" t="s">
        <v>244</v>
      </c>
      <c r="AN45" s="6" t="s">
        <v>247</v>
      </c>
      <c r="AO45" s="6" t="s">
        <v>244</v>
      </c>
      <c r="AP45" s="6" t="s">
        <v>247</v>
      </c>
      <c r="AQ45" s="6" t="s">
        <v>288</v>
      </c>
      <c r="AR45" s="6" t="s">
        <v>288</v>
      </c>
      <c r="AS45" s="6" t="s">
        <v>379</v>
      </c>
      <c r="AT45" s="6" t="s">
        <v>379</v>
      </c>
      <c r="AU45" s="6" t="s">
        <v>288</v>
      </c>
      <c r="AV45" s="6" t="s">
        <v>339</v>
      </c>
      <c r="AW45" s="6" t="s">
        <v>244</v>
      </c>
      <c r="AX45" s="6" t="s">
        <v>247</v>
      </c>
    </row>
    <row r="46" spans="1:50">
      <c r="A46" s="6">
        <v>617</v>
      </c>
      <c r="B46" s="5" t="s">
        <v>2680</v>
      </c>
      <c r="C46" s="6">
        <v>4</v>
      </c>
      <c r="D46" s="6" t="s">
        <v>98</v>
      </c>
      <c r="E46" s="6">
        <v>1</v>
      </c>
      <c r="F46" s="6" t="s">
        <v>616</v>
      </c>
      <c r="G46" s="6">
        <v>41988.92423611111</v>
      </c>
      <c r="H46" s="6">
        <v>42023.03052083333</v>
      </c>
      <c r="I46" s="6">
        <v>41988.92423611111</v>
      </c>
      <c r="J46" s="6" t="s">
        <v>103</v>
      </c>
      <c r="K46" s="6" t="s">
        <v>105</v>
      </c>
      <c r="L46" s="6" t="s">
        <v>617</v>
      </c>
      <c r="M46" s="6" t="s">
        <v>374</v>
      </c>
      <c r="P46" s="6" t="s">
        <v>595</v>
      </c>
      <c r="Q46" s="6">
        <v>76</v>
      </c>
      <c r="R46" s="6" t="s">
        <v>93</v>
      </c>
      <c r="S46" s="7">
        <v>76</v>
      </c>
      <c r="T46" s="7" t="s">
        <v>2517</v>
      </c>
      <c r="U46" s="6" t="s">
        <v>53</v>
      </c>
      <c r="V46" s="6" t="s">
        <v>158</v>
      </c>
      <c r="W46" s="6" t="s">
        <v>160</v>
      </c>
      <c r="X46" s="6" t="s">
        <v>617</v>
      </c>
      <c r="Y46" s="8" t="s">
        <v>2681</v>
      </c>
      <c r="Z46" s="8" t="s">
        <v>2682</v>
      </c>
      <c r="AA46" s="8" t="s">
        <v>2683</v>
      </c>
      <c r="AC46" s="6">
        <v>40281</v>
      </c>
      <c r="AE46" s="6" t="s">
        <v>177</v>
      </c>
      <c r="AF46" s="6" t="s">
        <v>178</v>
      </c>
      <c r="AG46" s="6" t="s">
        <v>180</v>
      </c>
      <c r="AH46" s="6" t="s">
        <v>187</v>
      </c>
      <c r="AI46" s="6" t="s">
        <v>182</v>
      </c>
      <c r="AJ46" s="6" t="s">
        <v>371</v>
      </c>
      <c r="AK46" s="6" t="s">
        <v>189</v>
      </c>
      <c r="AL46" s="6" t="s">
        <v>479</v>
      </c>
      <c r="AM46" s="6" t="s">
        <v>189</v>
      </c>
      <c r="AN46" s="6" t="s">
        <v>247</v>
      </c>
      <c r="AO46" s="6" t="s">
        <v>185</v>
      </c>
      <c r="AP46" s="6" t="s">
        <v>247</v>
      </c>
      <c r="AQ46" s="6" t="s">
        <v>288</v>
      </c>
      <c r="AR46" s="6" t="s">
        <v>288</v>
      </c>
      <c r="AS46" s="6" t="s">
        <v>379</v>
      </c>
      <c r="AT46" s="6" t="s">
        <v>379</v>
      </c>
      <c r="AU46" s="6" t="s">
        <v>288</v>
      </c>
      <c r="AV46" s="6" t="s">
        <v>339</v>
      </c>
      <c r="AW46" s="6" t="s">
        <v>244</v>
      </c>
      <c r="AX46" s="6" t="s">
        <v>247</v>
      </c>
    </row>
    <row r="47" spans="1:50">
      <c r="A47" s="6">
        <v>611</v>
      </c>
      <c r="B47" s="5" t="s">
        <v>2684</v>
      </c>
      <c r="C47" s="6">
        <v>4</v>
      </c>
      <c r="D47" s="6" t="s">
        <v>98</v>
      </c>
      <c r="E47" s="6">
        <v>355</v>
      </c>
      <c r="F47" s="6" t="s">
        <v>618</v>
      </c>
      <c r="G47" s="6">
        <v>41988.924224537041</v>
      </c>
      <c r="H47" s="6">
        <v>42046.981759259259</v>
      </c>
      <c r="I47" s="6">
        <v>41988.924224537041</v>
      </c>
      <c r="J47" s="6" t="s">
        <v>103</v>
      </c>
      <c r="K47" s="6" t="s">
        <v>105</v>
      </c>
      <c r="L47" s="6" t="s">
        <v>619</v>
      </c>
      <c r="M47" s="6" t="s">
        <v>374</v>
      </c>
      <c r="N47" s="6" t="s">
        <v>620</v>
      </c>
      <c r="O47" s="6" t="s">
        <v>390</v>
      </c>
      <c r="P47" s="6" t="s">
        <v>215</v>
      </c>
      <c r="Q47" s="6">
        <v>76</v>
      </c>
      <c r="R47" s="6" t="s">
        <v>93</v>
      </c>
      <c r="S47" s="7">
        <v>76</v>
      </c>
      <c r="T47" s="7" t="s">
        <v>2517</v>
      </c>
      <c r="U47" s="6" t="s">
        <v>53</v>
      </c>
      <c r="V47" s="6" t="s">
        <v>158</v>
      </c>
      <c r="W47" s="6" t="s">
        <v>160</v>
      </c>
      <c r="X47" s="6" t="s">
        <v>619</v>
      </c>
      <c r="Y47" s="8" t="s">
        <v>2685</v>
      </c>
      <c r="Z47" s="8" t="s">
        <v>2686</v>
      </c>
      <c r="AA47" s="8" t="s">
        <v>2687</v>
      </c>
      <c r="AB47" s="6">
        <v>40199</v>
      </c>
      <c r="AE47" s="6" t="s">
        <v>177</v>
      </c>
      <c r="AF47" s="6" t="s">
        <v>178</v>
      </c>
      <c r="AG47" s="6" t="s">
        <v>180</v>
      </c>
      <c r="AH47" s="6" t="s">
        <v>244</v>
      </c>
      <c r="AI47" s="6" t="s">
        <v>385</v>
      </c>
      <c r="AJ47" s="6" t="s">
        <v>244</v>
      </c>
      <c r="AK47" s="6" t="s">
        <v>185</v>
      </c>
      <c r="AL47" s="6" t="s">
        <v>178</v>
      </c>
      <c r="AM47" s="6" t="s">
        <v>185</v>
      </c>
      <c r="AN47" s="6" t="s">
        <v>621</v>
      </c>
      <c r="AO47" s="6" t="s">
        <v>185</v>
      </c>
      <c r="AP47" s="6" t="s">
        <v>394</v>
      </c>
      <c r="AQ47" s="6" t="s">
        <v>288</v>
      </c>
      <c r="AR47" s="6" t="s">
        <v>189</v>
      </c>
      <c r="AS47" s="6" t="s">
        <v>244</v>
      </c>
      <c r="AT47" s="6" t="s">
        <v>244</v>
      </c>
      <c r="AU47" s="6" t="s">
        <v>288</v>
      </c>
      <c r="AV47" s="6" t="s">
        <v>244</v>
      </c>
      <c r="AW47" s="6" t="s">
        <v>244</v>
      </c>
      <c r="AX47" s="6" t="s">
        <v>247</v>
      </c>
    </row>
    <row r="48" spans="1:50">
      <c r="A48" s="6">
        <v>620</v>
      </c>
      <c r="B48" s="5" t="s">
        <v>2688</v>
      </c>
      <c r="C48" s="6">
        <v>5</v>
      </c>
      <c r="D48" s="6" t="s">
        <v>98</v>
      </c>
      <c r="E48" s="6">
        <v>361</v>
      </c>
      <c r="F48" s="6" t="s">
        <v>622</v>
      </c>
      <c r="G48" s="6">
        <v>41988.924247685187</v>
      </c>
      <c r="H48" s="6">
        <v>42046.981759259259</v>
      </c>
      <c r="I48" s="6">
        <v>41988.924247685187</v>
      </c>
      <c r="J48" s="6" t="s">
        <v>103</v>
      </c>
      <c r="K48" s="6" t="s">
        <v>105</v>
      </c>
      <c r="L48" s="6" t="s">
        <v>623</v>
      </c>
      <c r="M48" s="6" t="s">
        <v>374</v>
      </c>
      <c r="P48" s="6" t="s">
        <v>595</v>
      </c>
      <c r="Q48" s="6">
        <v>76</v>
      </c>
      <c r="R48" s="6" t="s">
        <v>93</v>
      </c>
      <c r="S48" s="7">
        <v>76</v>
      </c>
      <c r="T48" s="7" t="s">
        <v>2517</v>
      </c>
      <c r="U48" s="6" t="s">
        <v>53</v>
      </c>
      <c r="V48" s="6" t="s">
        <v>158</v>
      </c>
      <c r="W48" s="6" t="s">
        <v>160</v>
      </c>
      <c r="X48" s="6" t="s">
        <v>623</v>
      </c>
      <c r="Y48" s="8" t="s">
        <v>2689</v>
      </c>
      <c r="Z48" s="8" t="s">
        <v>2690</v>
      </c>
      <c r="AA48" s="8" t="s">
        <v>2691</v>
      </c>
      <c r="AC48" s="6">
        <v>40151</v>
      </c>
      <c r="AE48" s="6" t="s">
        <v>177</v>
      </c>
      <c r="AF48" s="6" t="s">
        <v>178</v>
      </c>
      <c r="AG48" s="6" t="s">
        <v>180</v>
      </c>
      <c r="AH48" s="6" t="s">
        <v>392</v>
      </c>
      <c r="AI48" s="6" t="s">
        <v>182</v>
      </c>
      <c r="AJ48" s="6" t="s">
        <v>183</v>
      </c>
      <c r="AK48" s="6" t="s">
        <v>189</v>
      </c>
      <c r="AL48" s="6" t="s">
        <v>479</v>
      </c>
      <c r="AM48" s="6" t="s">
        <v>189</v>
      </c>
      <c r="AN48" s="6" t="s">
        <v>181</v>
      </c>
      <c r="AO48" s="6" t="s">
        <v>185</v>
      </c>
      <c r="AP48" s="6" t="s">
        <v>394</v>
      </c>
      <c r="AQ48" s="6" t="s">
        <v>288</v>
      </c>
      <c r="AR48" s="6" t="s">
        <v>288</v>
      </c>
      <c r="AS48" s="6" t="s">
        <v>379</v>
      </c>
      <c r="AT48" s="6" t="s">
        <v>379</v>
      </c>
      <c r="AU48" s="6" t="s">
        <v>288</v>
      </c>
      <c r="AV48" s="6" t="s">
        <v>195</v>
      </c>
      <c r="AW48" s="6" t="s">
        <v>341</v>
      </c>
      <c r="AX48" s="6" t="s">
        <v>247</v>
      </c>
    </row>
    <row r="49" spans="1:50">
      <c r="A49" s="6">
        <v>613</v>
      </c>
      <c r="B49" s="5" t="s">
        <v>2692</v>
      </c>
      <c r="C49" s="6">
        <v>4</v>
      </c>
      <c r="D49" s="6" t="s">
        <v>98</v>
      </c>
      <c r="E49" s="6">
        <v>357</v>
      </c>
      <c r="F49" s="6" t="s">
        <v>624</v>
      </c>
      <c r="G49" s="6">
        <v>41988.92423611111</v>
      </c>
      <c r="H49" s="6">
        <v>42046.981759259259</v>
      </c>
      <c r="I49" s="6">
        <v>41988.92423611111</v>
      </c>
      <c r="J49" s="6" t="s">
        <v>103</v>
      </c>
      <c r="K49" s="6" t="s">
        <v>105</v>
      </c>
      <c r="L49" s="6" t="s">
        <v>625</v>
      </c>
      <c r="M49" s="6" t="s">
        <v>374</v>
      </c>
      <c r="N49" s="6" t="s">
        <v>398</v>
      </c>
      <c r="O49" s="6" t="s">
        <v>626</v>
      </c>
      <c r="P49" s="6" t="s">
        <v>215</v>
      </c>
      <c r="Q49" s="6">
        <v>76</v>
      </c>
      <c r="R49" s="6" t="s">
        <v>93</v>
      </c>
      <c r="S49" s="7">
        <v>76</v>
      </c>
      <c r="T49" s="7" t="s">
        <v>2517</v>
      </c>
      <c r="U49" s="6" t="s">
        <v>53</v>
      </c>
      <c r="V49" s="6" t="s">
        <v>158</v>
      </c>
      <c r="W49" s="6" t="s">
        <v>160</v>
      </c>
      <c r="X49" s="6" t="s">
        <v>625</v>
      </c>
      <c r="Y49" s="8" t="s">
        <v>2693</v>
      </c>
      <c r="Z49" s="8" t="s">
        <v>2694</v>
      </c>
      <c r="AA49" s="8" t="s">
        <v>2695</v>
      </c>
      <c r="AB49" s="6">
        <v>41550</v>
      </c>
      <c r="AE49" s="6" t="s">
        <v>177</v>
      </c>
      <c r="AF49" s="6" t="s">
        <v>178</v>
      </c>
      <c r="AG49" s="6" t="s">
        <v>180</v>
      </c>
      <c r="AH49" s="6" t="s">
        <v>377</v>
      </c>
      <c r="AI49" s="6" t="s">
        <v>182</v>
      </c>
      <c r="AJ49" s="6" t="s">
        <v>393</v>
      </c>
      <c r="AK49" s="6" t="s">
        <v>189</v>
      </c>
      <c r="AL49" s="6" t="s">
        <v>479</v>
      </c>
      <c r="AM49" s="6" t="s">
        <v>189</v>
      </c>
      <c r="AN49" s="6" t="s">
        <v>378</v>
      </c>
      <c r="AO49" s="6" t="s">
        <v>244</v>
      </c>
      <c r="AP49" s="6" t="s">
        <v>394</v>
      </c>
      <c r="AQ49" s="6" t="s">
        <v>288</v>
      </c>
      <c r="AR49" s="6" t="s">
        <v>189</v>
      </c>
      <c r="AS49" s="6" t="s">
        <v>379</v>
      </c>
      <c r="AT49" s="6" t="s">
        <v>379</v>
      </c>
      <c r="AU49" s="6" t="s">
        <v>288</v>
      </c>
      <c r="AV49" s="6" t="s">
        <v>339</v>
      </c>
      <c r="AW49" s="6" t="s">
        <v>341</v>
      </c>
      <c r="AX49" s="6" t="s">
        <v>247</v>
      </c>
    </row>
    <row r="50" spans="1:50">
      <c r="A50" s="6">
        <v>614</v>
      </c>
      <c r="B50" s="5" t="s">
        <v>2696</v>
      </c>
      <c r="C50" s="6">
        <v>8</v>
      </c>
      <c r="D50" s="6" t="s">
        <v>98</v>
      </c>
      <c r="E50" s="6">
        <v>358</v>
      </c>
      <c r="F50" s="6" t="s">
        <v>627</v>
      </c>
      <c r="G50" s="6">
        <v>41988.92423611111</v>
      </c>
      <c r="H50" s="6">
        <v>42046.981759259259</v>
      </c>
      <c r="I50" s="6">
        <v>41988.92423611111</v>
      </c>
      <c r="J50" s="6" t="s">
        <v>103</v>
      </c>
      <c r="K50" s="6" t="s">
        <v>105</v>
      </c>
      <c r="L50" s="6" t="s">
        <v>628</v>
      </c>
      <c r="M50" s="6" t="s">
        <v>374</v>
      </c>
      <c r="O50" s="6" t="s">
        <v>629</v>
      </c>
      <c r="P50" s="6" t="s">
        <v>215</v>
      </c>
      <c r="Q50" s="6">
        <v>76</v>
      </c>
      <c r="R50" s="6" t="s">
        <v>93</v>
      </c>
      <c r="S50" s="7">
        <v>76</v>
      </c>
      <c r="T50" s="7" t="s">
        <v>2517</v>
      </c>
      <c r="U50" s="6" t="s">
        <v>53</v>
      </c>
      <c r="V50" s="6" t="s">
        <v>158</v>
      </c>
      <c r="W50" s="6" t="s">
        <v>160</v>
      </c>
      <c r="X50" s="6" t="s">
        <v>628</v>
      </c>
      <c r="Y50" s="8" t="s">
        <v>2697</v>
      </c>
      <c r="Z50" s="8" t="s">
        <v>2698</v>
      </c>
      <c r="AA50" s="8" t="s">
        <v>2699</v>
      </c>
      <c r="AB50" s="6">
        <v>41204</v>
      </c>
      <c r="AC50" s="6">
        <v>41204</v>
      </c>
      <c r="AE50" s="6" t="s">
        <v>177</v>
      </c>
      <c r="AF50" s="6" t="s">
        <v>178</v>
      </c>
      <c r="AG50" s="6" t="s">
        <v>180</v>
      </c>
      <c r="AH50" s="6" t="s">
        <v>244</v>
      </c>
      <c r="AI50" s="6" t="s">
        <v>182</v>
      </c>
      <c r="AJ50" s="6" t="s">
        <v>183</v>
      </c>
      <c r="AK50" s="6" t="s">
        <v>244</v>
      </c>
      <c r="AL50" s="6" t="s">
        <v>479</v>
      </c>
      <c r="AM50" s="6" t="s">
        <v>189</v>
      </c>
      <c r="AO50" s="6" t="s">
        <v>244</v>
      </c>
      <c r="AP50" s="6" t="s">
        <v>394</v>
      </c>
      <c r="AQ50" s="6" t="s">
        <v>185</v>
      </c>
      <c r="AR50" s="6" t="s">
        <v>244</v>
      </c>
      <c r="AS50" s="6" t="s">
        <v>244</v>
      </c>
      <c r="AT50" s="6" t="s">
        <v>244</v>
      </c>
      <c r="AU50" s="6" t="s">
        <v>244</v>
      </c>
      <c r="AV50" s="6" t="s">
        <v>630</v>
      </c>
      <c r="AW50" s="6" t="s">
        <v>341</v>
      </c>
      <c r="AX50" s="6" t="s">
        <v>247</v>
      </c>
    </row>
    <row r="51" spans="1:50">
      <c r="A51" s="6">
        <v>81</v>
      </c>
      <c r="B51" s="5" t="s">
        <v>2700</v>
      </c>
      <c r="C51" s="6">
        <v>4</v>
      </c>
      <c r="D51" s="6" t="s">
        <v>98</v>
      </c>
      <c r="E51" s="6">
        <v>243</v>
      </c>
      <c r="F51" s="6" t="s">
        <v>631</v>
      </c>
      <c r="G51" s="6">
        <v>41988.923206018517</v>
      </c>
      <c r="H51" s="6">
        <v>42046.98164351852</v>
      </c>
      <c r="I51" s="6">
        <v>41988.923206018517</v>
      </c>
      <c r="J51" s="6" t="s">
        <v>103</v>
      </c>
      <c r="K51" s="6" t="s">
        <v>105</v>
      </c>
      <c r="L51" s="6" t="s">
        <v>632</v>
      </c>
      <c r="M51" s="6" t="s">
        <v>352</v>
      </c>
      <c r="N51" s="6" t="s">
        <v>633</v>
      </c>
      <c r="O51" s="6" t="s">
        <v>634</v>
      </c>
      <c r="P51" s="6" t="s">
        <v>215</v>
      </c>
      <c r="Q51" s="6">
        <v>112</v>
      </c>
      <c r="R51" s="6" t="s">
        <v>110</v>
      </c>
      <c r="S51" s="7">
        <v>112</v>
      </c>
      <c r="T51" s="7" t="s">
        <v>2517</v>
      </c>
      <c r="U51" s="6" t="s">
        <v>53</v>
      </c>
      <c r="V51" s="6" t="s">
        <v>158</v>
      </c>
      <c r="W51" s="6" t="s">
        <v>160</v>
      </c>
      <c r="X51" s="6" t="s">
        <v>632</v>
      </c>
      <c r="Y51" s="8" t="s">
        <v>2701</v>
      </c>
      <c r="AA51" s="8" t="s">
        <v>2702</v>
      </c>
      <c r="AB51" s="6">
        <v>40909</v>
      </c>
      <c r="AC51" s="6">
        <v>40909</v>
      </c>
      <c r="AE51" s="6" t="s">
        <v>244</v>
      </c>
      <c r="AF51" s="6" t="s">
        <v>178</v>
      </c>
      <c r="AG51" s="6" t="s">
        <v>180</v>
      </c>
      <c r="AH51" s="6" t="s">
        <v>244</v>
      </c>
      <c r="AI51" s="6" t="s">
        <v>182</v>
      </c>
      <c r="AJ51" s="6" t="s">
        <v>244</v>
      </c>
      <c r="AK51" s="6" t="s">
        <v>244</v>
      </c>
      <c r="AL51" s="6" t="s">
        <v>247</v>
      </c>
      <c r="AM51" s="6" t="s">
        <v>244</v>
      </c>
      <c r="AN51" s="6" t="s">
        <v>247</v>
      </c>
      <c r="AO51" s="6" t="s">
        <v>244</v>
      </c>
      <c r="AP51" s="6" t="s">
        <v>386</v>
      </c>
      <c r="AQ51" s="6" t="s">
        <v>288</v>
      </c>
      <c r="AR51" s="6" t="s">
        <v>288</v>
      </c>
      <c r="AS51" s="6" t="s">
        <v>244</v>
      </c>
      <c r="AT51" s="6" t="s">
        <v>244</v>
      </c>
      <c r="AU51" s="6" t="s">
        <v>288</v>
      </c>
      <c r="AV51" s="6" t="s">
        <v>339</v>
      </c>
      <c r="AW51" s="6" t="s">
        <v>244</v>
      </c>
      <c r="AX51" s="6" t="s">
        <v>247</v>
      </c>
    </row>
    <row r="52" spans="1:50">
      <c r="A52" s="6">
        <v>82</v>
      </c>
      <c r="B52" s="5" t="s">
        <v>2703</v>
      </c>
      <c r="C52" s="6">
        <v>4</v>
      </c>
      <c r="D52" s="6" t="s">
        <v>98</v>
      </c>
      <c r="E52" s="6">
        <v>244</v>
      </c>
      <c r="F52" s="6" t="s">
        <v>635</v>
      </c>
      <c r="G52" s="6">
        <v>41988.923206018517</v>
      </c>
      <c r="H52" s="6">
        <v>42046.98164351852</v>
      </c>
      <c r="I52" s="6">
        <v>41988.923206018517</v>
      </c>
      <c r="J52" s="6" t="s">
        <v>103</v>
      </c>
      <c r="K52" s="6" t="s">
        <v>105</v>
      </c>
      <c r="L52" s="6" t="s">
        <v>636</v>
      </c>
      <c r="M52" s="6" t="s">
        <v>637</v>
      </c>
      <c r="N52" s="6" t="s">
        <v>638</v>
      </c>
      <c r="O52" s="6" t="s">
        <v>639</v>
      </c>
      <c r="P52" s="6" t="s">
        <v>215</v>
      </c>
      <c r="Q52" s="6">
        <v>112</v>
      </c>
      <c r="R52" s="6" t="s">
        <v>110</v>
      </c>
      <c r="S52" s="7">
        <v>112</v>
      </c>
      <c r="T52" s="7" t="s">
        <v>2517</v>
      </c>
      <c r="U52" s="6" t="s">
        <v>53</v>
      </c>
      <c r="V52" s="6" t="s">
        <v>158</v>
      </c>
      <c r="W52" s="6" t="s">
        <v>160</v>
      </c>
      <c r="X52" s="6" t="s">
        <v>636</v>
      </c>
      <c r="Y52" s="8" t="s">
        <v>2704</v>
      </c>
      <c r="Z52" s="8" t="s">
        <v>2705</v>
      </c>
      <c r="AA52" s="8" t="s">
        <v>2706</v>
      </c>
      <c r="AB52" s="6">
        <v>40253</v>
      </c>
      <c r="AC52" s="6">
        <v>40253</v>
      </c>
      <c r="AE52" s="6" t="s">
        <v>177</v>
      </c>
      <c r="AF52" s="6" t="s">
        <v>178</v>
      </c>
      <c r="AG52" s="6" t="s">
        <v>180</v>
      </c>
      <c r="AH52" s="6" t="s">
        <v>244</v>
      </c>
      <c r="AI52" s="6" t="s">
        <v>182</v>
      </c>
      <c r="AJ52" s="6" t="s">
        <v>393</v>
      </c>
      <c r="AK52" s="6" t="s">
        <v>244</v>
      </c>
      <c r="AL52" s="6" t="s">
        <v>247</v>
      </c>
      <c r="AM52" s="6" t="s">
        <v>244</v>
      </c>
      <c r="AN52" s="6" t="s">
        <v>247</v>
      </c>
      <c r="AO52" s="6" t="s">
        <v>244</v>
      </c>
      <c r="AP52" s="6" t="s">
        <v>394</v>
      </c>
      <c r="AQ52" s="6" t="s">
        <v>288</v>
      </c>
      <c r="AR52" s="6" t="s">
        <v>185</v>
      </c>
      <c r="AS52" s="6" t="s">
        <v>244</v>
      </c>
      <c r="AT52" s="6" t="s">
        <v>244</v>
      </c>
      <c r="AU52" s="6" t="s">
        <v>288</v>
      </c>
      <c r="AV52" s="6" t="s">
        <v>195</v>
      </c>
      <c r="AW52" s="6" t="s">
        <v>244</v>
      </c>
      <c r="AX52" s="6" t="s">
        <v>247</v>
      </c>
    </row>
    <row r="53" spans="1:50">
      <c r="A53" s="6">
        <v>415</v>
      </c>
      <c r="B53" s="5" t="s">
        <v>2707</v>
      </c>
      <c r="C53" s="6">
        <v>5</v>
      </c>
      <c r="D53" s="6" t="s">
        <v>98</v>
      </c>
      <c r="E53" s="6">
        <v>311</v>
      </c>
      <c r="F53" s="6" t="s">
        <v>644</v>
      </c>
      <c r="G53" s="6">
        <v>41988.923935185187</v>
      </c>
      <c r="H53" s="6">
        <v>42046.981712962966</v>
      </c>
      <c r="I53" s="6">
        <v>41988.923935185187</v>
      </c>
      <c r="J53" s="6" t="s">
        <v>103</v>
      </c>
      <c r="K53" s="6" t="s">
        <v>105</v>
      </c>
      <c r="L53" s="6" t="s">
        <v>645</v>
      </c>
      <c r="M53" s="6" t="s">
        <v>352</v>
      </c>
      <c r="N53" s="6" t="s">
        <v>646</v>
      </c>
      <c r="O53" s="6" t="s">
        <v>647</v>
      </c>
      <c r="P53" s="6" t="s">
        <v>215</v>
      </c>
      <c r="Q53" s="6">
        <v>124</v>
      </c>
      <c r="R53" s="6" t="s">
        <v>114</v>
      </c>
      <c r="S53" s="7">
        <v>124</v>
      </c>
      <c r="T53" s="7" t="s">
        <v>2518</v>
      </c>
      <c r="U53" s="6" t="s">
        <v>66</v>
      </c>
      <c r="V53" s="6" t="s">
        <v>158</v>
      </c>
      <c r="W53" s="6" t="s">
        <v>160</v>
      </c>
      <c r="X53" s="6" t="s">
        <v>645</v>
      </c>
      <c r="Y53" s="8" t="s">
        <v>2708</v>
      </c>
      <c r="Z53" s="8" t="s">
        <v>2709</v>
      </c>
      <c r="AA53" s="8" t="s">
        <v>2710</v>
      </c>
      <c r="AE53" s="6" t="s">
        <v>244</v>
      </c>
      <c r="AF53" s="6" t="s">
        <v>178</v>
      </c>
      <c r="AG53" s="6" t="s">
        <v>180</v>
      </c>
      <c r="AH53" s="6" t="s">
        <v>187</v>
      </c>
      <c r="AI53" s="6" t="s">
        <v>385</v>
      </c>
      <c r="AJ53" s="6" t="s">
        <v>244</v>
      </c>
      <c r="AK53" s="6" t="s">
        <v>185</v>
      </c>
      <c r="AL53" s="6" t="s">
        <v>178</v>
      </c>
      <c r="AM53" s="6" t="s">
        <v>189</v>
      </c>
      <c r="AN53" s="6" t="s">
        <v>621</v>
      </c>
      <c r="AO53" s="6" t="s">
        <v>185</v>
      </c>
      <c r="AP53" s="6" t="s">
        <v>648</v>
      </c>
      <c r="AQ53" s="6" t="s">
        <v>185</v>
      </c>
      <c r="AR53" s="6" t="s">
        <v>288</v>
      </c>
      <c r="AS53" s="6" t="s">
        <v>244</v>
      </c>
      <c r="AT53" s="6" t="s">
        <v>244</v>
      </c>
      <c r="AU53" s="6" t="s">
        <v>288</v>
      </c>
      <c r="AV53" s="6" t="s">
        <v>195</v>
      </c>
      <c r="AW53" s="6" t="s">
        <v>244</v>
      </c>
      <c r="AX53" s="6" t="s">
        <v>428</v>
      </c>
    </row>
    <row r="54" spans="1:50">
      <c r="A54" s="6">
        <v>417</v>
      </c>
      <c r="B54" s="5" t="s">
        <v>2711</v>
      </c>
      <c r="C54" s="6">
        <v>3</v>
      </c>
      <c r="D54" s="6" t="s">
        <v>98</v>
      </c>
      <c r="E54" s="6">
        <v>1</v>
      </c>
      <c r="F54" s="6" t="s">
        <v>649</v>
      </c>
      <c r="G54" s="6">
        <v>41988.923935185187</v>
      </c>
      <c r="H54" s="6">
        <v>41988.923935185187</v>
      </c>
      <c r="I54" s="6">
        <v>41988.923935185187</v>
      </c>
      <c r="J54" s="6" t="s">
        <v>103</v>
      </c>
      <c r="K54" s="6" t="s">
        <v>105</v>
      </c>
      <c r="L54" s="6" t="s">
        <v>650</v>
      </c>
      <c r="M54" s="6" t="s">
        <v>374</v>
      </c>
      <c r="N54" s="6" t="s">
        <v>651</v>
      </c>
      <c r="P54" s="6" t="s">
        <v>215</v>
      </c>
      <c r="Q54" s="6">
        <v>124</v>
      </c>
      <c r="R54" s="6" t="s">
        <v>114</v>
      </c>
      <c r="S54" s="7">
        <v>124</v>
      </c>
      <c r="T54" s="7" t="s">
        <v>2518</v>
      </c>
      <c r="U54" s="6" t="s">
        <v>66</v>
      </c>
      <c r="V54" s="6" t="s">
        <v>158</v>
      </c>
      <c r="W54" s="6" t="s">
        <v>364</v>
      </c>
      <c r="X54" s="6" t="s">
        <v>650</v>
      </c>
      <c r="Y54" s="8" t="s">
        <v>2712</v>
      </c>
      <c r="Z54" s="8" t="s">
        <v>2713</v>
      </c>
      <c r="AA54" s="8" t="s">
        <v>2714</v>
      </c>
      <c r="AC54" s="6">
        <v>41456</v>
      </c>
      <c r="AE54" s="6" t="s">
        <v>244</v>
      </c>
      <c r="AF54" s="6" t="s">
        <v>178</v>
      </c>
      <c r="AG54" s="6" t="s">
        <v>370</v>
      </c>
      <c r="AH54" s="6" t="s">
        <v>377</v>
      </c>
      <c r="AI54" s="6" t="s">
        <v>371</v>
      </c>
      <c r="AJ54" s="6" t="s">
        <v>183</v>
      </c>
      <c r="AK54" s="6" t="s">
        <v>185</v>
      </c>
      <c r="AL54" s="6" t="s">
        <v>178</v>
      </c>
      <c r="AM54" s="6" t="s">
        <v>185</v>
      </c>
      <c r="AN54" s="6" t="s">
        <v>378</v>
      </c>
      <c r="AO54" s="6" t="s">
        <v>185</v>
      </c>
      <c r="AP54" s="6" t="s">
        <v>247</v>
      </c>
      <c r="AQ54" s="6" t="s">
        <v>288</v>
      </c>
      <c r="AR54" s="6" t="s">
        <v>288</v>
      </c>
      <c r="AS54" s="6" t="s">
        <v>395</v>
      </c>
      <c r="AT54" s="6" t="s">
        <v>244</v>
      </c>
      <c r="AU54" s="6" t="s">
        <v>189</v>
      </c>
      <c r="AV54" s="6" t="s">
        <v>339</v>
      </c>
      <c r="AW54" s="6" t="s">
        <v>442</v>
      </c>
      <c r="AX54" s="6" t="s">
        <v>198</v>
      </c>
    </row>
    <row r="55" spans="1:50">
      <c r="A55" s="6">
        <v>418</v>
      </c>
      <c r="B55" s="5" t="s">
        <v>2715</v>
      </c>
      <c r="C55" s="6">
        <v>3</v>
      </c>
      <c r="D55" s="6" t="s">
        <v>98</v>
      </c>
      <c r="E55" s="6">
        <v>1</v>
      </c>
      <c r="F55" s="6" t="s">
        <v>652</v>
      </c>
      <c r="G55" s="6">
        <v>41988.923935185187</v>
      </c>
      <c r="H55" s="6">
        <v>41988.923935185187</v>
      </c>
      <c r="I55" s="6">
        <v>41988.923935185187</v>
      </c>
      <c r="J55" s="6" t="s">
        <v>103</v>
      </c>
      <c r="K55" s="6" t="s">
        <v>105</v>
      </c>
      <c r="L55" s="6" t="s">
        <v>653</v>
      </c>
      <c r="M55" s="6" t="s">
        <v>374</v>
      </c>
      <c r="N55" s="6" t="s">
        <v>654</v>
      </c>
      <c r="O55" s="6" t="s">
        <v>655</v>
      </c>
      <c r="P55" s="6" t="s">
        <v>215</v>
      </c>
      <c r="Q55" s="6">
        <v>124</v>
      </c>
      <c r="R55" s="6" t="s">
        <v>114</v>
      </c>
      <c r="S55" s="7">
        <v>124</v>
      </c>
      <c r="T55" s="7" t="s">
        <v>2518</v>
      </c>
      <c r="U55" s="6" t="s">
        <v>66</v>
      </c>
      <c r="V55" s="6" t="s">
        <v>158</v>
      </c>
      <c r="W55" s="6" t="s">
        <v>364</v>
      </c>
      <c r="X55" s="6" t="s">
        <v>653</v>
      </c>
      <c r="Y55" s="8" t="s">
        <v>2716</v>
      </c>
      <c r="Z55" s="8" t="s">
        <v>2717</v>
      </c>
      <c r="AA55" s="8" t="s">
        <v>2714</v>
      </c>
      <c r="AC55" s="6">
        <v>39722</v>
      </c>
      <c r="AE55" s="6" t="s">
        <v>244</v>
      </c>
      <c r="AF55" s="6" t="s">
        <v>178</v>
      </c>
      <c r="AG55" s="6" t="s">
        <v>370</v>
      </c>
      <c r="AH55" s="6" t="s">
        <v>377</v>
      </c>
      <c r="AI55" s="6" t="s">
        <v>182</v>
      </c>
      <c r="AJ55" s="6" t="s">
        <v>393</v>
      </c>
      <c r="AK55" s="6" t="s">
        <v>185</v>
      </c>
      <c r="AL55" s="6" t="s">
        <v>178</v>
      </c>
      <c r="AM55" s="6" t="s">
        <v>185</v>
      </c>
      <c r="AN55" s="6" t="s">
        <v>181</v>
      </c>
      <c r="AO55" s="6" t="s">
        <v>185</v>
      </c>
      <c r="AP55" s="6" t="s">
        <v>394</v>
      </c>
      <c r="AQ55" s="6" t="s">
        <v>288</v>
      </c>
      <c r="AR55" s="6" t="s">
        <v>288</v>
      </c>
      <c r="AS55" s="6" t="s">
        <v>379</v>
      </c>
      <c r="AT55" s="6" t="s">
        <v>244</v>
      </c>
      <c r="AU55" s="6" t="s">
        <v>185</v>
      </c>
      <c r="AV55" s="6" t="s">
        <v>339</v>
      </c>
      <c r="AW55" s="6" t="s">
        <v>244</v>
      </c>
      <c r="AX55" s="6" t="s">
        <v>247</v>
      </c>
    </row>
    <row r="56" spans="1:50">
      <c r="A56" s="6">
        <v>419</v>
      </c>
      <c r="B56" s="5" t="s">
        <v>2718</v>
      </c>
      <c r="C56" s="6">
        <v>4</v>
      </c>
      <c r="D56" s="6" t="s">
        <v>98</v>
      </c>
      <c r="E56" s="6">
        <v>1</v>
      </c>
      <c r="F56" s="6" t="s">
        <v>656</v>
      </c>
      <c r="G56" s="6">
        <v>41988.923935185187</v>
      </c>
      <c r="H56" s="6">
        <v>42066.733067129629</v>
      </c>
      <c r="I56" s="6">
        <v>41988.923935185187</v>
      </c>
      <c r="J56" s="6" t="s">
        <v>103</v>
      </c>
      <c r="K56" s="6" t="s">
        <v>105</v>
      </c>
      <c r="L56" s="6" t="s">
        <v>657</v>
      </c>
      <c r="M56" s="6" t="s">
        <v>374</v>
      </c>
      <c r="N56" s="6" t="s">
        <v>658</v>
      </c>
      <c r="Q56" s="6">
        <v>124</v>
      </c>
      <c r="R56" s="6" t="s">
        <v>114</v>
      </c>
      <c r="S56" s="7">
        <v>124</v>
      </c>
      <c r="T56" s="7" t="s">
        <v>2518</v>
      </c>
      <c r="U56" s="6" t="s">
        <v>66</v>
      </c>
      <c r="V56" s="6" t="s">
        <v>158</v>
      </c>
      <c r="W56" s="6" t="s">
        <v>364</v>
      </c>
      <c r="X56" s="6" t="s">
        <v>657</v>
      </c>
      <c r="Y56" s="8" t="s">
        <v>2719</v>
      </c>
      <c r="Z56" s="8" t="s">
        <v>2720</v>
      </c>
      <c r="AA56" s="8" t="s">
        <v>2714</v>
      </c>
      <c r="AC56" s="6">
        <v>39448</v>
      </c>
      <c r="AD56" s="6">
        <v>41275</v>
      </c>
      <c r="AE56" s="6" t="s">
        <v>244</v>
      </c>
      <c r="AF56" s="6" t="s">
        <v>178</v>
      </c>
      <c r="AG56" s="6" t="s">
        <v>370</v>
      </c>
      <c r="AH56" s="6" t="s">
        <v>392</v>
      </c>
      <c r="AI56" s="6" t="s">
        <v>371</v>
      </c>
      <c r="AJ56" s="6" t="s">
        <v>393</v>
      </c>
      <c r="AK56" s="6" t="s">
        <v>244</v>
      </c>
      <c r="AL56" s="6" t="s">
        <v>178</v>
      </c>
      <c r="AM56" s="6" t="s">
        <v>244</v>
      </c>
      <c r="AN56" s="6" t="s">
        <v>378</v>
      </c>
      <c r="AO56" s="6" t="s">
        <v>189</v>
      </c>
      <c r="AP56" s="6" t="s">
        <v>394</v>
      </c>
      <c r="AQ56" s="6" t="s">
        <v>288</v>
      </c>
      <c r="AR56" s="6" t="s">
        <v>288</v>
      </c>
      <c r="AS56" s="6" t="s">
        <v>395</v>
      </c>
      <c r="AT56" s="6" t="s">
        <v>244</v>
      </c>
      <c r="AU56" s="6" t="s">
        <v>244</v>
      </c>
      <c r="AV56" s="6" t="s">
        <v>339</v>
      </c>
      <c r="AW56" s="6" t="s">
        <v>442</v>
      </c>
      <c r="AX56" s="6" t="s">
        <v>198</v>
      </c>
    </row>
    <row r="57" spans="1:50">
      <c r="A57" s="6">
        <v>423</v>
      </c>
      <c r="B57" s="5" t="s">
        <v>2721</v>
      </c>
      <c r="C57" s="6">
        <v>3</v>
      </c>
      <c r="D57" s="6" t="s">
        <v>98</v>
      </c>
      <c r="E57" s="6">
        <v>1</v>
      </c>
      <c r="F57" s="6" t="s">
        <v>667</v>
      </c>
      <c r="G57" s="6">
        <v>41988.923946759256</v>
      </c>
      <c r="H57" s="6">
        <v>41988.923946759256</v>
      </c>
      <c r="I57" s="6">
        <v>41988.923946759256</v>
      </c>
      <c r="J57" s="6" t="s">
        <v>103</v>
      </c>
      <c r="K57" s="6" t="s">
        <v>105</v>
      </c>
      <c r="L57" s="6" t="s">
        <v>668</v>
      </c>
      <c r="M57" s="6" t="s">
        <v>374</v>
      </c>
      <c r="N57" s="6" t="s">
        <v>669</v>
      </c>
      <c r="P57" s="6" t="s">
        <v>215</v>
      </c>
      <c r="Q57" s="6">
        <v>124</v>
      </c>
      <c r="R57" s="6" t="s">
        <v>114</v>
      </c>
      <c r="S57" s="7">
        <v>124</v>
      </c>
      <c r="T57" s="7" t="s">
        <v>2518</v>
      </c>
      <c r="U57" s="6" t="s">
        <v>66</v>
      </c>
      <c r="V57" s="6" t="s">
        <v>158</v>
      </c>
      <c r="W57" s="6" t="s">
        <v>364</v>
      </c>
      <c r="X57" s="6" t="s">
        <v>668</v>
      </c>
      <c r="Y57" s="8" t="s">
        <v>2722</v>
      </c>
      <c r="Z57" s="8" t="s">
        <v>2723</v>
      </c>
      <c r="AA57" s="8" t="s">
        <v>2714</v>
      </c>
      <c r="AC57" s="6">
        <v>40330</v>
      </c>
      <c r="AE57" s="6" t="s">
        <v>244</v>
      </c>
      <c r="AF57" s="6" t="s">
        <v>178</v>
      </c>
      <c r="AG57" s="6" t="s">
        <v>370</v>
      </c>
      <c r="AH57" s="6" t="s">
        <v>377</v>
      </c>
      <c r="AI57" s="6" t="s">
        <v>371</v>
      </c>
      <c r="AJ57" s="6" t="s">
        <v>393</v>
      </c>
      <c r="AK57" s="6" t="s">
        <v>244</v>
      </c>
      <c r="AL57" s="6" t="s">
        <v>178</v>
      </c>
      <c r="AM57" s="6" t="s">
        <v>244</v>
      </c>
      <c r="AN57" s="6" t="s">
        <v>378</v>
      </c>
      <c r="AO57" s="6" t="s">
        <v>189</v>
      </c>
      <c r="AP57" s="6" t="s">
        <v>247</v>
      </c>
      <c r="AQ57" s="6" t="s">
        <v>288</v>
      </c>
      <c r="AR57" s="6" t="s">
        <v>288</v>
      </c>
      <c r="AS57" s="6" t="s">
        <v>379</v>
      </c>
      <c r="AT57" s="6" t="s">
        <v>244</v>
      </c>
      <c r="AU57" s="6" t="s">
        <v>244</v>
      </c>
      <c r="AV57" s="6" t="s">
        <v>339</v>
      </c>
      <c r="AW57" s="6" t="s">
        <v>442</v>
      </c>
      <c r="AX57" s="6" t="s">
        <v>198</v>
      </c>
    </row>
    <row r="58" spans="1:50">
      <c r="A58" s="6">
        <v>425</v>
      </c>
      <c r="B58" s="5" t="s">
        <v>2724</v>
      </c>
      <c r="C58" s="6">
        <v>4</v>
      </c>
      <c r="D58" s="6" t="s">
        <v>98</v>
      </c>
      <c r="E58" s="6">
        <v>312</v>
      </c>
      <c r="F58" s="6" t="s">
        <v>674</v>
      </c>
      <c r="G58" s="6">
        <v>41988.923946759256</v>
      </c>
      <c r="H58" s="6">
        <v>42046.981712962966</v>
      </c>
      <c r="I58" s="6">
        <v>41988.923946759256</v>
      </c>
      <c r="J58" s="6" t="s">
        <v>103</v>
      </c>
      <c r="K58" s="6" t="s">
        <v>105</v>
      </c>
      <c r="L58" s="6" t="s">
        <v>675</v>
      </c>
      <c r="M58" s="6" t="s">
        <v>352</v>
      </c>
      <c r="O58" s="6" t="s">
        <v>676</v>
      </c>
      <c r="P58" s="6" t="s">
        <v>215</v>
      </c>
      <c r="Q58" s="6">
        <v>124</v>
      </c>
      <c r="R58" s="6" t="s">
        <v>114</v>
      </c>
      <c r="S58" s="7">
        <v>124</v>
      </c>
      <c r="T58" s="7" t="s">
        <v>2518</v>
      </c>
      <c r="U58" s="6" t="s">
        <v>66</v>
      </c>
      <c r="V58" s="6" t="s">
        <v>158</v>
      </c>
      <c r="W58" s="6" t="s">
        <v>160</v>
      </c>
      <c r="X58" s="6" t="s">
        <v>675</v>
      </c>
      <c r="Y58" s="8" t="s">
        <v>2725</v>
      </c>
      <c r="Z58" s="8" t="s">
        <v>2726</v>
      </c>
      <c r="AA58" s="8" t="s">
        <v>2727</v>
      </c>
      <c r="AB58" s="6">
        <v>41179</v>
      </c>
      <c r="AE58" s="6" t="s">
        <v>177</v>
      </c>
      <c r="AF58" s="6" t="s">
        <v>178</v>
      </c>
      <c r="AG58" s="6" t="s">
        <v>180</v>
      </c>
      <c r="AH58" s="6" t="s">
        <v>244</v>
      </c>
      <c r="AI58" s="6" t="s">
        <v>182</v>
      </c>
      <c r="AJ58" s="6" t="s">
        <v>393</v>
      </c>
      <c r="AK58" s="6" t="s">
        <v>189</v>
      </c>
      <c r="AL58" s="6" t="s">
        <v>178</v>
      </c>
      <c r="AM58" s="6" t="s">
        <v>244</v>
      </c>
      <c r="AN58" s="6" t="s">
        <v>247</v>
      </c>
      <c r="AO58" s="6" t="s">
        <v>185</v>
      </c>
      <c r="AP58" s="6" t="s">
        <v>190</v>
      </c>
      <c r="AQ58" s="6" t="s">
        <v>288</v>
      </c>
      <c r="AR58" s="6" t="s">
        <v>288</v>
      </c>
      <c r="AS58" s="6" t="s">
        <v>244</v>
      </c>
      <c r="AT58" s="6" t="s">
        <v>244</v>
      </c>
      <c r="AU58" s="6" t="s">
        <v>288</v>
      </c>
      <c r="AV58" s="6" t="s">
        <v>520</v>
      </c>
      <c r="AW58" s="6" t="s">
        <v>244</v>
      </c>
      <c r="AX58" s="6" t="s">
        <v>247</v>
      </c>
    </row>
    <row r="59" spans="1:50">
      <c r="A59" s="6">
        <v>428</v>
      </c>
      <c r="B59" s="5" t="s">
        <v>2728</v>
      </c>
      <c r="C59" s="6">
        <v>8</v>
      </c>
      <c r="D59" s="6" t="s">
        <v>98</v>
      </c>
      <c r="E59" s="6">
        <v>1</v>
      </c>
      <c r="F59" s="6" t="s">
        <v>682</v>
      </c>
      <c r="G59" s="6">
        <v>41988.923946759256</v>
      </c>
      <c r="H59" s="6">
        <v>42029.909155092595</v>
      </c>
      <c r="I59" s="6">
        <v>41988.923946759256</v>
      </c>
      <c r="J59" s="6" t="s">
        <v>103</v>
      </c>
      <c r="K59" s="6" t="s">
        <v>105</v>
      </c>
      <c r="L59" s="6" t="s">
        <v>683</v>
      </c>
      <c r="M59" s="6" t="s">
        <v>637</v>
      </c>
      <c r="Q59" s="6">
        <v>124</v>
      </c>
      <c r="R59" s="6" t="s">
        <v>114</v>
      </c>
      <c r="S59" s="7">
        <v>124</v>
      </c>
      <c r="T59" s="7" t="s">
        <v>2518</v>
      </c>
      <c r="U59" s="6" t="s">
        <v>66</v>
      </c>
      <c r="V59" s="6" t="s">
        <v>158</v>
      </c>
      <c r="W59" s="6" t="s">
        <v>376</v>
      </c>
      <c r="X59" s="6" t="s">
        <v>683</v>
      </c>
      <c r="Y59" s="8" t="s">
        <v>2729</v>
      </c>
      <c r="Z59" s="8" t="s">
        <v>2730</v>
      </c>
      <c r="AA59" s="8" t="s">
        <v>2731</v>
      </c>
      <c r="AB59" s="6">
        <v>39814</v>
      </c>
      <c r="AE59" s="6" t="s">
        <v>177</v>
      </c>
      <c r="AF59" s="6" t="s">
        <v>178</v>
      </c>
      <c r="AG59" s="6" t="s">
        <v>370</v>
      </c>
      <c r="AH59" s="6" t="s">
        <v>187</v>
      </c>
      <c r="AI59" s="6" t="s">
        <v>182</v>
      </c>
      <c r="AJ59" s="6" t="s">
        <v>244</v>
      </c>
      <c r="AK59" s="6" t="s">
        <v>244</v>
      </c>
      <c r="AL59" s="6" t="s">
        <v>479</v>
      </c>
      <c r="AM59" s="6" t="s">
        <v>244</v>
      </c>
      <c r="AN59" s="6" t="s">
        <v>247</v>
      </c>
      <c r="AO59" s="6" t="s">
        <v>244</v>
      </c>
      <c r="AP59" s="6" t="s">
        <v>190</v>
      </c>
      <c r="AQ59" s="6" t="s">
        <v>288</v>
      </c>
      <c r="AR59" s="6" t="s">
        <v>244</v>
      </c>
      <c r="AS59" s="6" t="s">
        <v>379</v>
      </c>
      <c r="AT59" s="6" t="s">
        <v>379</v>
      </c>
      <c r="AU59" s="6" t="s">
        <v>189</v>
      </c>
      <c r="AV59" s="6" t="s">
        <v>244</v>
      </c>
      <c r="AW59" s="6" t="s">
        <v>244</v>
      </c>
      <c r="AX59" s="6" t="s">
        <v>247</v>
      </c>
    </row>
    <row r="60" spans="1:50">
      <c r="A60" s="6">
        <v>429</v>
      </c>
      <c r="B60" s="5" t="s">
        <v>2732</v>
      </c>
      <c r="C60" s="6">
        <v>5</v>
      </c>
      <c r="D60" s="6" t="s">
        <v>98</v>
      </c>
      <c r="E60" s="6">
        <v>1</v>
      </c>
      <c r="F60" s="6" t="s">
        <v>684</v>
      </c>
      <c r="G60" s="6">
        <v>41988.923946759256</v>
      </c>
      <c r="H60" s="6">
        <v>42066.736284722225</v>
      </c>
      <c r="I60" s="6">
        <v>41988.923946759256</v>
      </c>
      <c r="J60" s="6" t="s">
        <v>103</v>
      </c>
      <c r="K60" s="6" t="s">
        <v>105</v>
      </c>
      <c r="L60" s="6" t="s">
        <v>685</v>
      </c>
      <c r="M60" s="6" t="s">
        <v>374</v>
      </c>
      <c r="P60" s="6" t="s">
        <v>215</v>
      </c>
      <c r="Q60" s="6">
        <v>124</v>
      </c>
      <c r="R60" s="6" t="s">
        <v>114</v>
      </c>
      <c r="S60" s="7">
        <v>124</v>
      </c>
      <c r="T60" s="7" t="s">
        <v>2518</v>
      </c>
      <c r="U60" s="6" t="s">
        <v>66</v>
      </c>
      <c r="V60" s="6" t="s">
        <v>158</v>
      </c>
      <c r="W60" s="6" t="s">
        <v>376</v>
      </c>
      <c r="X60" s="6" t="s">
        <v>685</v>
      </c>
      <c r="Y60" s="8" t="s">
        <v>2733</v>
      </c>
      <c r="Z60" s="8" t="s">
        <v>2734</v>
      </c>
      <c r="AA60" s="8" t="s">
        <v>2714</v>
      </c>
      <c r="AB60" s="6">
        <v>42062</v>
      </c>
      <c r="AC60" s="6">
        <v>42125</v>
      </c>
      <c r="AE60" s="6" t="s">
        <v>177</v>
      </c>
      <c r="AF60" s="6" t="s">
        <v>178</v>
      </c>
      <c r="AG60" s="6" t="s">
        <v>370</v>
      </c>
      <c r="AH60" s="6" t="s">
        <v>377</v>
      </c>
      <c r="AI60" s="6" t="s">
        <v>182</v>
      </c>
      <c r="AJ60" s="6" t="s">
        <v>393</v>
      </c>
      <c r="AK60" s="6" t="s">
        <v>244</v>
      </c>
      <c r="AL60" s="6" t="s">
        <v>178</v>
      </c>
      <c r="AM60" s="6" t="s">
        <v>244</v>
      </c>
      <c r="AN60" s="6" t="s">
        <v>378</v>
      </c>
      <c r="AO60" s="6" t="s">
        <v>189</v>
      </c>
      <c r="AP60" s="6" t="s">
        <v>394</v>
      </c>
      <c r="AQ60" s="6" t="s">
        <v>288</v>
      </c>
      <c r="AR60" s="6" t="s">
        <v>288</v>
      </c>
      <c r="AS60" s="6" t="s">
        <v>395</v>
      </c>
      <c r="AT60" s="6" t="s">
        <v>244</v>
      </c>
      <c r="AU60" s="6" t="s">
        <v>244</v>
      </c>
      <c r="AV60" s="6" t="s">
        <v>339</v>
      </c>
      <c r="AW60" s="6" t="s">
        <v>442</v>
      </c>
      <c r="AX60" s="6" t="s">
        <v>198</v>
      </c>
    </row>
    <row r="61" spans="1:50">
      <c r="A61" s="6">
        <v>430</v>
      </c>
      <c r="B61" s="5" t="s">
        <v>2735</v>
      </c>
      <c r="C61" s="6">
        <v>3</v>
      </c>
      <c r="D61" s="6" t="s">
        <v>98</v>
      </c>
      <c r="E61" s="6">
        <v>1</v>
      </c>
      <c r="F61" s="6" t="s">
        <v>686</v>
      </c>
      <c r="G61" s="6">
        <v>41988.923946759256</v>
      </c>
      <c r="H61" s="6">
        <v>41988.923946759256</v>
      </c>
      <c r="I61" s="6">
        <v>41988.923946759256</v>
      </c>
      <c r="J61" s="6" t="s">
        <v>103</v>
      </c>
      <c r="K61" s="6" t="s">
        <v>105</v>
      </c>
      <c r="L61" s="6" t="s">
        <v>687</v>
      </c>
      <c r="M61" s="6" t="s">
        <v>374</v>
      </c>
      <c r="N61" s="6" t="s">
        <v>688</v>
      </c>
      <c r="O61" s="6" t="s">
        <v>689</v>
      </c>
      <c r="P61" s="6" t="s">
        <v>215</v>
      </c>
      <c r="Q61" s="6">
        <v>124</v>
      </c>
      <c r="R61" s="6" t="s">
        <v>114</v>
      </c>
      <c r="S61" s="7">
        <v>124</v>
      </c>
      <c r="T61" s="7" t="s">
        <v>2518</v>
      </c>
      <c r="U61" s="6" t="s">
        <v>66</v>
      </c>
      <c r="V61" s="6" t="s">
        <v>158</v>
      </c>
      <c r="W61" s="6" t="s">
        <v>364</v>
      </c>
      <c r="X61" s="6" t="s">
        <v>687</v>
      </c>
      <c r="Y61" s="8" t="s">
        <v>2736</v>
      </c>
      <c r="Z61" s="8" t="s">
        <v>2737</v>
      </c>
      <c r="AA61" s="8" t="s">
        <v>2714</v>
      </c>
      <c r="AB61" s="6">
        <v>39630</v>
      </c>
      <c r="AC61" s="6">
        <v>39995</v>
      </c>
      <c r="AE61" s="6" t="s">
        <v>244</v>
      </c>
      <c r="AF61" s="6" t="s">
        <v>178</v>
      </c>
      <c r="AG61" s="6" t="s">
        <v>180</v>
      </c>
      <c r="AH61" s="6" t="s">
        <v>187</v>
      </c>
      <c r="AI61" s="6" t="s">
        <v>371</v>
      </c>
      <c r="AJ61" s="6" t="s">
        <v>393</v>
      </c>
      <c r="AK61" s="6" t="s">
        <v>244</v>
      </c>
      <c r="AL61" s="6" t="s">
        <v>178</v>
      </c>
      <c r="AM61" s="6" t="s">
        <v>244</v>
      </c>
      <c r="AN61" s="6" t="s">
        <v>378</v>
      </c>
      <c r="AO61" s="6" t="s">
        <v>185</v>
      </c>
      <c r="AP61" s="6" t="s">
        <v>247</v>
      </c>
      <c r="AQ61" s="6" t="s">
        <v>288</v>
      </c>
      <c r="AR61" s="6" t="s">
        <v>288</v>
      </c>
      <c r="AS61" s="6" t="s">
        <v>379</v>
      </c>
      <c r="AT61" s="6" t="s">
        <v>244</v>
      </c>
      <c r="AU61" s="6" t="s">
        <v>244</v>
      </c>
      <c r="AV61" s="6" t="s">
        <v>339</v>
      </c>
      <c r="AW61" s="6" t="s">
        <v>442</v>
      </c>
      <c r="AX61" s="6" t="s">
        <v>521</v>
      </c>
    </row>
    <row r="62" spans="1:50">
      <c r="A62" s="6">
        <v>682</v>
      </c>
      <c r="B62" s="5" t="s">
        <v>2738</v>
      </c>
      <c r="C62" s="6">
        <v>5</v>
      </c>
      <c r="D62" s="6" t="s">
        <v>98</v>
      </c>
      <c r="E62" s="6">
        <v>65</v>
      </c>
      <c r="F62" s="6" t="s">
        <v>693</v>
      </c>
      <c r="G62" s="6">
        <v>42066.737488425926</v>
      </c>
      <c r="H62" s="6">
        <v>42066.737488425926</v>
      </c>
      <c r="I62" s="6">
        <v>42066.737488425926</v>
      </c>
      <c r="J62" s="6" t="s">
        <v>103</v>
      </c>
      <c r="K62" s="6" t="s">
        <v>105</v>
      </c>
      <c r="L62" s="6" t="s">
        <v>694</v>
      </c>
      <c r="M62" s="6" t="s">
        <v>374</v>
      </c>
      <c r="P62" s="6" t="s">
        <v>215</v>
      </c>
      <c r="Q62" s="6">
        <v>124</v>
      </c>
      <c r="R62" s="6" t="s">
        <v>114</v>
      </c>
      <c r="S62" s="7">
        <v>124</v>
      </c>
      <c r="T62" s="7" t="s">
        <v>2518</v>
      </c>
      <c r="U62" s="6" t="s">
        <v>66</v>
      </c>
      <c r="V62" s="6" t="s">
        <v>158</v>
      </c>
      <c r="W62" s="6" t="s">
        <v>376</v>
      </c>
      <c r="X62" s="6" t="s">
        <v>694</v>
      </c>
      <c r="Y62" s="8" t="s">
        <v>2739</v>
      </c>
      <c r="Z62" s="8" t="s">
        <v>2734</v>
      </c>
      <c r="AA62" s="8" t="s">
        <v>2714</v>
      </c>
      <c r="AB62" s="6">
        <v>42062</v>
      </c>
      <c r="AC62" s="6">
        <v>42125</v>
      </c>
      <c r="AE62" s="6" t="s">
        <v>177</v>
      </c>
      <c r="AF62" s="6" t="s">
        <v>178</v>
      </c>
      <c r="AG62" s="6" t="s">
        <v>370</v>
      </c>
      <c r="AH62" s="6" t="s">
        <v>377</v>
      </c>
      <c r="AI62" s="6" t="s">
        <v>182</v>
      </c>
      <c r="AJ62" s="6" t="s">
        <v>393</v>
      </c>
      <c r="AK62" s="6" t="s">
        <v>244</v>
      </c>
      <c r="AL62" s="6" t="s">
        <v>178</v>
      </c>
      <c r="AM62" s="6" t="s">
        <v>244</v>
      </c>
      <c r="AN62" s="6" t="s">
        <v>378</v>
      </c>
      <c r="AO62" s="6" t="s">
        <v>189</v>
      </c>
      <c r="AP62" s="6" t="s">
        <v>394</v>
      </c>
      <c r="AQ62" s="6" t="s">
        <v>288</v>
      </c>
      <c r="AR62" s="6" t="s">
        <v>288</v>
      </c>
      <c r="AS62" s="6" t="s">
        <v>395</v>
      </c>
      <c r="AT62" s="6" t="s">
        <v>244</v>
      </c>
      <c r="AU62" s="6" t="s">
        <v>244</v>
      </c>
      <c r="AV62" s="6" t="s">
        <v>339</v>
      </c>
      <c r="AW62" s="6" t="s">
        <v>442</v>
      </c>
      <c r="AX62" s="6" t="s">
        <v>198</v>
      </c>
    </row>
    <row r="63" spans="1:50">
      <c r="A63" s="6">
        <v>432</v>
      </c>
      <c r="B63" s="5" t="s">
        <v>2740</v>
      </c>
      <c r="C63" s="6">
        <v>4</v>
      </c>
      <c r="D63" s="6" t="s">
        <v>98</v>
      </c>
      <c r="E63" s="6">
        <v>313</v>
      </c>
      <c r="F63" s="6" t="s">
        <v>695</v>
      </c>
      <c r="G63" s="6">
        <v>41988.923958333333</v>
      </c>
      <c r="H63" s="6">
        <v>42046.981724537036</v>
      </c>
      <c r="I63" s="6">
        <v>41988.923958333333</v>
      </c>
      <c r="J63" s="6" t="s">
        <v>103</v>
      </c>
      <c r="K63" s="6" t="s">
        <v>105</v>
      </c>
      <c r="L63" s="6" t="s">
        <v>696</v>
      </c>
      <c r="M63" s="6" t="s">
        <v>374</v>
      </c>
      <c r="N63" s="6" t="s">
        <v>697</v>
      </c>
      <c r="O63" s="6" t="s">
        <v>698</v>
      </c>
      <c r="P63" s="6" t="s">
        <v>215</v>
      </c>
      <c r="Q63" s="6">
        <v>124</v>
      </c>
      <c r="R63" s="6" t="s">
        <v>114</v>
      </c>
      <c r="S63" s="7">
        <v>124</v>
      </c>
      <c r="T63" s="7" t="s">
        <v>2518</v>
      </c>
      <c r="U63" s="6" t="s">
        <v>66</v>
      </c>
      <c r="V63" s="6" t="s">
        <v>158</v>
      </c>
      <c r="W63" s="6" t="s">
        <v>160</v>
      </c>
      <c r="X63" s="6" t="s">
        <v>696</v>
      </c>
      <c r="Y63" s="8" t="s">
        <v>2741</v>
      </c>
      <c r="Z63" s="8" t="s">
        <v>2742</v>
      </c>
      <c r="AB63" s="6">
        <v>41562</v>
      </c>
      <c r="AC63" s="6">
        <v>41275</v>
      </c>
      <c r="AE63" s="6" t="s">
        <v>478</v>
      </c>
      <c r="AF63" s="6" t="s">
        <v>178</v>
      </c>
      <c r="AG63" s="6" t="s">
        <v>180</v>
      </c>
      <c r="AH63" s="6" t="s">
        <v>244</v>
      </c>
      <c r="AI63" s="6" t="s">
        <v>371</v>
      </c>
      <c r="AJ63" s="6" t="s">
        <v>393</v>
      </c>
      <c r="AK63" s="6" t="s">
        <v>244</v>
      </c>
      <c r="AL63" s="6" t="s">
        <v>247</v>
      </c>
      <c r="AM63" s="6" t="s">
        <v>244</v>
      </c>
      <c r="AN63" s="6" t="s">
        <v>247</v>
      </c>
      <c r="AO63" s="6" t="s">
        <v>244</v>
      </c>
      <c r="AP63" s="6" t="s">
        <v>247</v>
      </c>
      <c r="AQ63" s="6" t="s">
        <v>288</v>
      </c>
      <c r="AR63" s="6" t="s">
        <v>288</v>
      </c>
      <c r="AS63" s="6" t="s">
        <v>244</v>
      </c>
      <c r="AT63" s="6" t="s">
        <v>244</v>
      </c>
      <c r="AU63" s="6" t="s">
        <v>288</v>
      </c>
      <c r="AV63" s="6" t="s">
        <v>339</v>
      </c>
      <c r="AW63" s="6" t="s">
        <v>244</v>
      </c>
      <c r="AX63" s="6" t="s">
        <v>247</v>
      </c>
    </row>
    <row r="64" spans="1:50">
      <c r="A64" s="6">
        <v>436</v>
      </c>
      <c r="B64" s="5" t="s">
        <v>2743</v>
      </c>
      <c r="C64" s="6">
        <v>5</v>
      </c>
      <c r="D64" s="6" t="s">
        <v>98</v>
      </c>
      <c r="E64" s="6">
        <v>315</v>
      </c>
      <c r="F64" s="6" t="s">
        <v>708</v>
      </c>
      <c r="G64" s="6">
        <v>41988.923958333333</v>
      </c>
      <c r="H64" s="6">
        <v>42046.981724537036</v>
      </c>
      <c r="I64" s="6">
        <v>41988.923958333333</v>
      </c>
      <c r="J64" s="6" t="s">
        <v>103</v>
      </c>
      <c r="K64" s="6" t="s">
        <v>105</v>
      </c>
      <c r="L64" s="6" t="s">
        <v>709</v>
      </c>
      <c r="M64" s="6" t="s">
        <v>352</v>
      </c>
      <c r="N64" s="6" t="s">
        <v>710</v>
      </c>
      <c r="O64" s="6" t="s">
        <v>711</v>
      </c>
      <c r="P64" s="6" t="s">
        <v>215</v>
      </c>
      <c r="Q64" s="6">
        <v>124</v>
      </c>
      <c r="R64" s="6" t="s">
        <v>114</v>
      </c>
      <c r="S64" s="7">
        <v>124</v>
      </c>
      <c r="T64" s="7" t="s">
        <v>2518</v>
      </c>
      <c r="U64" s="6" t="s">
        <v>66</v>
      </c>
      <c r="V64" s="6" t="s">
        <v>158</v>
      </c>
      <c r="W64" s="6" t="s">
        <v>160</v>
      </c>
      <c r="X64" s="6" t="s">
        <v>709</v>
      </c>
      <c r="Y64" s="8" t="s">
        <v>2744</v>
      </c>
      <c r="Z64" s="8" t="s">
        <v>2745</v>
      </c>
      <c r="AA64" s="8" t="s">
        <v>2746</v>
      </c>
      <c r="AC64" s="6">
        <v>2011</v>
      </c>
      <c r="AF64" s="6" t="s">
        <v>178</v>
      </c>
      <c r="AG64" s="6" t="s">
        <v>180</v>
      </c>
      <c r="AH64" s="6" t="s">
        <v>392</v>
      </c>
      <c r="AI64" s="6" t="s">
        <v>385</v>
      </c>
      <c r="AJ64" s="6" t="s">
        <v>244</v>
      </c>
      <c r="AK64" s="6" t="s">
        <v>185</v>
      </c>
      <c r="AL64" s="6" t="s">
        <v>178</v>
      </c>
      <c r="AM64" s="6" t="s">
        <v>185</v>
      </c>
      <c r="AN64" s="6" t="s">
        <v>621</v>
      </c>
      <c r="AO64" s="6" t="s">
        <v>244</v>
      </c>
      <c r="AP64" s="6" t="s">
        <v>247</v>
      </c>
      <c r="AQ64" s="6" t="s">
        <v>288</v>
      </c>
      <c r="AR64" s="6" t="s">
        <v>189</v>
      </c>
      <c r="AS64" s="6" t="s">
        <v>193</v>
      </c>
      <c r="AT64" s="6" t="s">
        <v>193</v>
      </c>
      <c r="AU64" s="6" t="s">
        <v>244</v>
      </c>
      <c r="AV64" s="6" t="s">
        <v>244</v>
      </c>
      <c r="AW64" s="6" t="s">
        <v>442</v>
      </c>
      <c r="AX64" s="6" t="s">
        <v>428</v>
      </c>
    </row>
    <row r="65" spans="1:50">
      <c r="A65" s="6">
        <v>438</v>
      </c>
      <c r="B65" s="5" t="s">
        <v>2747</v>
      </c>
      <c r="C65" s="6">
        <v>3</v>
      </c>
      <c r="D65" s="6" t="s">
        <v>98</v>
      </c>
      <c r="E65" s="6">
        <v>1</v>
      </c>
      <c r="F65" s="6" t="s">
        <v>716</v>
      </c>
      <c r="G65" s="6">
        <v>41988.923958333333</v>
      </c>
      <c r="H65" s="6">
        <v>41988.923958333333</v>
      </c>
      <c r="I65" s="6">
        <v>41988.923958333333</v>
      </c>
      <c r="J65" s="6" t="s">
        <v>103</v>
      </c>
      <c r="K65" s="6" t="s">
        <v>105</v>
      </c>
      <c r="L65" s="6" t="s">
        <v>717</v>
      </c>
      <c r="M65" s="6" t="s">
        <v>352</v>
      </c>
      <c r="N65" s="6" t="s">
        <v>718</v>
      </c>
      <c r="P65" s="6" t="s">
        <v>215</v>
      </c>
      <c r="Q65" s="6">
        <v>124</v>
      </c>
      <c r="R65" s="6" t="s">
        <v>114</v>
      </c>
      <c r="S65" s="7">
        <v>124</v>
      </c>
      <c r="T65" s="7" t="s">
        <v>2518</v>
      </c>
      <c r="U65" s="6" t="s">
        <v>66</v>
      </c>
      <c r="V65" s="6" t="s">
        <v>158</v>
      </c>
      <c r="W65" s="6" t="s">
        <v>160</v>
      </c>
      <c r="X65" s="6" t="s">
        <v>717</v>
      </c>
      <c r="Y65" s="8" t="s">
        <v>2748</v>
      </c>
      <c r="Z65" s="8" t="s">
        <v>2749</v>
      </c>
      <c r="AA65" s="8" t="s">
        <v>2750</v>
      </c>
      <c r="AC65" s="6">
        <v>40087</v>
      </c>
      <c r="AE65" s="6" t="s">
        <v>478</v>
      </c>
      <c r="AF65" s="6" t="s">
        <v>178</v>
      </c>
      <c r="AG65" s="6" t="s">
        <v>180</v>
      </c>
      <c r="AH65" s="6" t="s">
        <v>181</v>
      </c>
      <c r="AI65" s="6" t="s">
        <v>182</v>
      </c>
      <c r="AJ65" s="6" t="s">
        <v>244</v>
      </c>
      <c r="AK65" s="6" t="s">
        <v>244</v>
      </c>
      <c r="AL65" s="6" t="s">
        <v>247</v>
      </c>
      <c r="AM65" s="6" t="s">
        <v>244</v>
      </c>
      <c r="AN65" s="6" t="s">
        <v>181</v>
      </c>
      <c r="AO65" s="6" t="s">
        <v>244</v>
      </c>
      <c r="AP65" s="6" t="s">
        <v>648</v>
      </c>
      <c r="AQ65" s="6" t="s">
        <v>244</v>
      </c>
      <c r="AR65" s="6" t="s">
        <v>288</v>
      </c>
      <c r="AS65" s="6" t="s">
        <v>244</v>
      </c>
      <c r="AT65" s="6" t="s">
        <v>244</v>
      </c>
      <c r="AU65" s="6" t="s">
        <v>288</v>
      </c>
      <c r="AV65" s="6" t="s">
        <v>339</v>
      </c>
      <c r="AW65" s="6" t="s">
        <v>442</v>
      </c>
      <c r="AX65" s="6" t="s">
        <v>428</v>
      </c>
    </row>
    <row r="66" spans="1:50">
      <c r="A66" s="6">
        <v>439</v>
      </c>
      <c r="B66" s="5" t="s">
        <v>2751</v>
      </c>
      <c r="C66" s="6">
        <v>4</v>
      </c>
      <c r="D66" s="6" t="s">
        <v>98</v>
      </c>
      <c r="E66" s="6">
        <v>316</v>
      </c>
      <c r="F66" s="6" t="s">
        <v>719</v>
      </c>
      <c r="G66" s="6">
        <v>41988.923958333333</v>
      </c>
      <c r="H66" s="6">
        <v>42046.981724537036</v>
      </c>
      <c r="I66" s="6">
        <v>41988.923958333333</v>
      </c>
      <c r="J66" s="6" t="s">
        <v>103</v>
      </c>
      <c r="K66" s="6" t="s">
        <v>105</v>
      </c>
      <c r="L66" s="6" t="s">
        <v>720</v>
      </c>
      <c r="M66" s="6" t="s">
        <v>352</v>
      </c>
      <c r="N66" s="6" t="s">
        <v>721</v>
      </c>
      <c r="O66" s="6" t="s">
        <v>722</v>
      </c>
      <c r="P66" s="6" t="s">
        <v>215</v>
      </c>
      <c r="Q66" s="6">
        <v>124</v>
      </c>
      <c r="R66" s="6" t="s">
        <v>114</v>
      </c>
      <c r="S66" s="7">
        <v>124</v>
      </c>
      <c r="T66" s="7" t="s">
        <v>2518</v>
      </c>
      <c r="U66" s="6" t="s">
        <v>66</v>
      </c>
      <c r="V66" s="6" t="s">
        <v>158</v>
      </c>
      <c r="W66" s="6" t="s">
        <v>160</v>
      </c>
      <c r="X66" s="6" t="s">
        <v>720</v>
      </c>
      <c r="Y66" s="8" t="s">
        <v>2752</v>
      </c>
      <c r="AA66" s="8" t="s">
        <v>2753</v>
      </c>
      <c r="AB66" s="6">
        <v>40148</v>
      </c>
      <c r="AC66" s="6">
        <v>40422</v>
      </c>
      <c r="AE66" s="6" t="s">
        <v>478</v>
      </c>
      <c r="AF66" s="6" t="s">
        <v>178</v>
      </c>
      <c r="AG66" s="6" t="s">
        <v>180</v>
      </c>
      <c r="AH66" s="6" t="s">
        <v>371</v>
      </c>
      <c r="AI66" s="6" t="s">
        <v>385</v>
      </c>
      <c r="AJ66" s="6" t="s">
        <v>244</v>
      </c>
      <c r="AK66" s="6" t="s">
        <v>185</v>
      </c>
      <c r="AL66" s="6" t="s">
        <v>371</v>
      </c>
      <c r="AM66" s="6" t="s">
        <v>244</v>
      </c>
      <c r="AN66" s="6" t="s">
        <v>247</v>
      </c>
      <c r="AO66" s="6" t="s">
        <v>244</v>
      </c>
      <c r="AP66" s="6" t="s">
        <v>247</v>
      </c>
      <c r="AQ66" s="6" t="s">
        <v>288</v>
      </c>
      <c r="AR66" s="6" t="s">
        <v>244</v>
      </c>
      <c r="AS66" s="6" t="s">
        <v>244</v>
      </c>
      <c r="AT66" s="6" t="s">
        <v>244</v>
      </c>
      <c r="AU66" s="6" t="s">
        <v>288</v>
      </c>
      <c r="AV66" s="6" t="s">
        <v>244</v>
      </c>
      <c r="AW66" s="6" t="s">
        <v>244</v>
      </c>
      <c r="AX66" s="6" t="s">
        <v>247</v>
      </c>
    </row>
    <row r="67" spans="1:50">
      <c r="A67" s="6">
        <v>13</v>
      </c>
      <c r="B67" s="5" t="s">
        <v>2754</v>
      </c>
      <c r="C67" s="6">
        <v>3</v>
      </c>
      <c r="D67" s="6" t="s">
        <v>98</v>
      </c>
      <c r="E67" s="6">
        <v>1</v>
      </c>
      <c r="F67" s="6" t="s">
        <v>723</v>
      </c>
      <c r="G67" s="6">
        <v>41988.923078703701</v>
      </c>
      <c r="H67" s="6">
        <v>41988.923078703701</v>
      </c>
      <c r="I67" s="6">
        <v>41988.923078703701</v>
      </c>
      <c r="J67" s="6" t="s">
        <v>103</v>
      </c>
      <c r="K67" s="6" t="s">
        <v>105</v>
      </c>
      <c r="L67" s="6" t="s">
        <v>724</v>
      </c>
      <c r="M67" s="6" t="s">
        <v>374</v>
      </c>
      <c r="N67" s="6" t="s">
        <v>725</v>
      </c>
      <c r="O67" s="6" t="s">
        <v>726</v>
      </c>
      <c r="P67" s="6" t="s">
        <v>501</v>
      </c>
      <c r="Q67" s="6">
        <v>156</v>
      </c>
      <c r="R67" s="6" t="s">
        <v>126</v>
      </c>
      <c r="S67" s="7">
        <v>156</v>
      </c>
      <c r="T67" s="7" t="s">
        <v>118</v>
      </c>
      <c r="U67" s="6" t="s">
        <v>70</v>
      </c>
      <c r="V67" s="6" t="s">
        <v>158</v>
      </c>
      <c r="W67" s="6" t="s">
        <v>160</v>
      </c>
      <c r="X67" s="6" t="s">
        <v>724</v>
      </c>
      <c r="Y67" s="8" t="s">
        <v>2755</v>
      </c>
      <c r="Z67" s="8" t="s">
        <v>2756</v>
      </c>
      <c r="AB67" s="6">
        <v>41774</v>
      </c>
      <c r="AE67" s="6" t="s">
        <v>244</v>
      </c>
      <c r="AF67" s="6" t="s">
        <v>178</v>
      </c>
      <c r="AG67" s="6" t="s">
        <v>180</v>
      </c>
      <c r="AH67" s="6" t="s">
        <v>392</v>
      </c>
      <c r="AI67" s="6" t="s">
        <v>182</v>
      </c>
      <c r="AJ67" s="6" t="s">
        <v>183</v>
      </c>
      <c r="AK67" s="6" t="s">
        <v>244</v>
      </c>
      <c r="AL67" s="6" t="s">
        <v>178</v>
      </c>
      <c r="AM67" s="6" t="s">
        <v>244</v>
      </c>
      <c r="AN67" s="6" t="s">
        <v>371</v>
      </c>
      <c r="AO67" s="6" t="s">
        <v>244</v>
      </c>
      <c r="AP67" s="6" t="s">
        <v>247</v>
      </c>
      <c r="AQ67" s="6" t="s">
        <v>288</v>
      </c>
      <c r="AR67" s="6" t="s">
        <v>288</v>
      </c>
      <c r="AS67" s="6" t="s">
        <v>244</v>
      </c>
      <c r="AT67" s="6" t="s">
        <v>244</v>
      </c>
      <c r="AU67" s="6" t="s">
        <v>288</v>
      </c>
      <c r="AV67" s="6" t="s">
        <v>339</v>
      </c>
      <c r="AW67" s="6" t="s">
        <v>442</v>
      </c>
      <c r="AX67" s="6" t="s">
        <v>371</v>
      </c>
    </row>
    <row r="68" spans="1:50">
      <c r="A68" s="6">
        <v>15</v>
      </c>
      <c r="B68" s="5" t="s">
        <v>2757</v>
      </c>
      <c r="C68" s="6">
        <v>3</v>
      </c>
      <c r="D68" s="6" t="s">
        <v>98</v>
      </c>
      <c r="E68" s="6">
        <v>1</v>
      </c>
      <c r="F68" s="6" t="s">
        <v>732</v>
      </c>
      <c r="G68" s="6">
        <v>41988.923078703701</v>
      </c>
      <c r="H68" s="6">
        <v>41988.923078703701</v>
      </c>
      <c r="I68" s="6">
        <v>41988.923078703701</v>
      </c>
      <c r="J68" s="6" t="s">
        <v>103</v>
      </c>
      <c r="K68" s="6" t="s">
        <v>105</v>
      </c>
      <c r="L68" s="6" t="s">
        <v>733</v>
      </c>
      <c r="M68" s="6" t="s">
        <v>637</v>
      </c>
      <c r="N68" s="6" t="s">
        <v>734</v>
      </c>
      <c r="O68" s="6" t="s">
        <v>735</v>
      </c>
      <c r="P68" s="6" t="s">
        <v>501</v>
      </c>
      <c r="Q68" s="6">
        <v>156</v>
      </c>
      <c r="R68" s="6" t="s">
        <v>126</v>
      </c>
      <c r="S68" s="7">
        <v>156</v>
      </c>
      <c r="T68" s="7" t="s">
        <v>118</v>
      </c>
      <c r="U68" s="6" t="s">
        <v>70</v>
      </c>
      <c r="V68" s="6" t="s">
        <v>158</v>
      </c>
      <c r="W68" s="6" t="s">
        <v>376</v>
      </c>
      <c r="X68" s="6" t="s">
        <v>733</v>
      </c>
      <c r="Y68" s="8" t="s">
        <v>2758</v>
      </c>
      <c r="AB68" s="6">
        <v>41774</v>
      </c>
      <c r="AC68" s="6">
        <v>41774</v>
      </c>
      <c r="AE68" s="6" t="s">
        <v>244</v>
      </c>
      <c r="AF68" s="6" t="s">
        <v>178</v>
      </c>
      <c r="AG68" s="6" t="s">
        <v>180</v>
      </c>
      <c r="AH68" s="6" t="s">
        <v>371</v>
      </c>
      <c r="AI68" s="6" t="s">
        <v>182</v>
      </c>
      <c r="AJ68" s="6" t="s">
        <v>393</v>
      </c>
      <c r="AK68" s="6" t="s">
        <v>244</v>
      </c>
      <c r="AL68" s="6" t="s">
        <v>178</v>
      </c>
      <c r="AM68" s="6" t="s">
        <v>244</v>
      </c>
      <c r="AN68" s="6" t="s">
        <v>371</v>
      </c>
      <c r="AO68" s="6" t="s">
        <v>244</v>
      </c>
      <c r="AP68" s="6" t="s">
        <v>247</v>
      </c>
      <c r="AQ68" s="6" t="s">
        <v>288</v>
      </c>
      <c r="AR68" s="6" t="s">
        <v>288</v>
      </c>
      <c r="AS68" s="6" t="s">
        <v>244</v>
      </c>
      <c r="AT68" s="6" t="s">
        <v>244</v>
      </c>
      <c r="AU68" s="6" t="s">
        <v>288</v>
      </c>
      <c r="AV68" s="6" t="s">
        <v>339</v>
      </c>
      <c r="AW68" s="6" t="s">
        <v>244</v>
      </c>
      <c r="AX68" s="6" t="s">
        <v>247</v>
      </c>
    </row>
    <row r="69" spans="1:50">
      <c r="A69" s="6">
        <v>16</v>
      </c>
      <c r="B69" s="5" t="s">
        <v>2759</v>
      </c>
      <c r="C69" s="6">
        <v>3</v>
      </c>
      <c r="D69" s="6" t="s">
        <v>98</v>
      </c>
      <c r="E69" s="6">
        <v>1</v>
      </c>
      <c r="F69" s="6" t="s">
        <v>736</v>
      </c>
      <c r="G69" s="6">
        <v>41988.923090277778</v>
      </c>
      <c r="H69" s="6">
        <v>41988.923090277778</v>
      </c>
      <c r="I69" s="6">
        <v>41988.923090277778</v>
      </c>
      <c r="J69" s="6" t="s">
        <v>103</v>
      </c>
      <c r="K69" s="6" t="s">
        <v>105</v>
      </c>
      <c r="L69" s="6" t="s">
        <v>737</v>
      </c>
      <c r="M69" s="6" t="s">
        <v>469</v>
      </c>
      <c r="N69" s="6" t="s">
        <v>738</v>
      </c>
      <c r="O69" s="6" t="s">
        <v>739</v>
      </c>
      <c r="P69" s="6" t="s">
        <v>215</v>
      </c>
      <c r="Q69" s="6">
        <v>156</v>
      </c>
      <c r="R69" s="6" t="s">
        <v>126</v>
      </c>
      <c r="S69" s="7">
        <v>156</v>
      </c>
      <c r="T69" s="7" t="s">
        <v>118</v>
      </c>
      <c r="U69" s="6" t="s">
        <v>70</v>
      </c>
      <c r="V69" s="6" t="s">
        <v>158</v>
      </c>
      <c r="W69" s="6" t="s">
        <v>384</v>
      </c>
      <c r="X69" s="6" t="s">
        <v>737</v>
      </c>
      <c r="Y69" s="8" t="s">
        <v>2760</v>
      </c>
      <c r="Z69" s="8" t="s">
        <v>2761</v>
      </c>
      <c r="AA69" s="8" t="s">
        <v>2762</v>
      </c>
      <c r="AB69" s="6">
        <v>39845</v>
      </c>
      <c r="AC69" s="6" t="s">
        <v>740</v>
      </c>
      <c r="AE69" s="6" t="s">
        <v>177</v>
      </c>
      <c r="AF69" s="6" t="s">
        <v>178</v>
      </c>
      <c r="AG69" s="6" t="s">
        <v>180</v>
      </c>
      <c r="AH69" s="6" t="s">
        <v>392</v>
      </c>
      <c r="AI69" s="6" t="s">
        <v>182</v>
      </c>
      <c r="AJ69" s="6" t="s">
        <v>244</v>
      </c>
      <c r="AK69" s="6" t="s">
        <v>244</v>
      </c>
      <c r="AL69" s="6" t="s">
        <v>178</v>
      </c>
      <c r="AM69" s="6" t="s">
        <v>244</v>
      </c>
      <c r="AN69" s="6" t="s">
        <v>247</v>
      </c>
      <c r="AO69" s="6" t="s">
        <v>189</v>
      </c>
      <c r="AP69" s="6" t="s">
        <v>386</v>
      </c>
      <c r="AQ69" s="6" t="s">
        <v>288</v>
      </c>
      <c r="AR69" s="6" t="s">
        <v>185</v>
      </c>
      <c r="AS69" s="6" t="s">
        <v>244</v>
      </c>
      <c r="AT69" s="6" t="s">
        <v>244</v>
      </c>
      <c r="AU69" s="6" t="s">
        <v>288</v>
      </c>
      <c r="AV69" s="6" t="s">
        <v>371</v>
      </c>
      <c r="AW69" s="6" t="s">
        <v>341</v>
      </c>
      <c r="AX69" s="6" t="s">
        <v>198</v>
      </c>
    </row>
    <row r="70" spans="1:50">
      <c r="A70" s="6">
        <v>625</v>
      </c>
      <c r="B70" s="5" t="s">
        <v>2763</v>
      </c>
      <c r="C70" s="6">
        <v>4</v>
      </c>
      <c r="D70" s="6" t="s">
        <v>98</v>
      </c>
      <c r="E70" s="6">
        <v>362</v>
      </c>
      <c r="F70" s="6" t="s">
        <v>744</v>
      </c>
      <c r="G70" s="6">
        <v>41988.924247685187</v>
      </c>
      <c r="H70" s="6">
        <v>42046.981759259259</v>
      </c>
      <c r="I70" s="6">
        <v>41988.924247685187</v>
      </c>
      <c r="J70" s="6" t="s">
        <v>103</v>
      </c>
      <c r="K70" s="6" t="s">
        <v>105</v>
      </c>
      <c r="L70" s="6" t="s">
        <v>745</v>
      </c>
      <c r="M70" s="6" t="s">
        <v>352</v>
      </c>
      <c r="N70" s="6" t="s">
        <v>620</v>
      </c>
      <c r="O70" s="6" t="s">
        <v>390</v>
      </c>
      <c r="P70" s="6" t="s">
        <v>215</v>
      </c>
      <c r="Q70" s="6">
        <v>170</v>
      </c>
      <c r="R70" s="6" t="s">
        <v>127</v>
      </c>
      <c r="S70" s="7">
        <v>170</v>
      </c>
      <c r="T70" s="7" t="s">
        <v>118</v>
      </c>
      <c r="U70" s="6" t="s">
        <v>70</v>
      </c>
      <c r="V70" s="6" t="s">
        <v>158</v>
      </c>
      <c r="W70" s="6" t="s">
        <v>160</v>
      </c>
      <c r="X70" s="6" t="s">
        <v>745</v>
      </c>
      <c r="Y70" s="8" t="s">
        <v>2764</v>
      </c>
      <c r="Z70" s="8" t="s">
        <v>2765</v>
      </c>
      <c r="AA70" s="8" t="s">
        <v>2766</v>
      </c>
      <c r="AB70" s="6">
        <v>40563</v>
      </c>
      <c r="AE70" s="6" t="s">
        <v>177</v>
      </c>
      <c r="AF70" s="6" t="s">
        <v>178</v>
      </c>
      <c r="AG70" s="6" t="s">
        <v>180</v>
      </c>
      <c r="AH70" s="6" t="s">
        <v>244</v>
      </c>
      <c r="AI70" s="6" t="s">
        <v>385</v>
      </c>
      <c r="AJ70" s="6" t="s">
        <v>244</v>
      </c>
      <c r="AK70" s="6" t="s">
        <v>189</v>
      </c>
      <c r="AL70" s="6" t="s">
        <v>479</v>
      </c>
      <c r="AM70" s="6" t="s">
        <v>189</v>
      </c>
      <c r="AN70" s="6" t="s">
        <v>621</v>
      </c>
      <c r="AO70" s="6" t="s">
        <v>185</v>
      </c>
      <c r="AP70" s="6" t="s">
        <v>394</v>
      </c>
      <c r="AQ70" s="6" t="s">
        <v>288</v>
      </c>
      <c r="AR70" s="6" t="s">
        <v>189</v>
      </c>
      <c r="AS70" s="6" t="s">
        <v>244</v>
      </c>
      <c r="AT70" s="6" t="s">
        <v>244</v>
      </c>
      <c r="AU70" s="6" t="s">
        <v>288</v>
      </c>
      <c r="AV70" s="6" t="s">
        <v>339</v>
      </c>
      <c r="AW70" s="6" t="s">
        <v>244</v>
      </c>
      <c r="AX70" s="6" t="s">
        <v>247</v>
      </c>
    </row>
    <row r="71" spans="1:50">
      <c r="A71" s="6">
        <v>745</v>
      </c>
      <c r="B71" s="5" t="s">
        <v>2767</v>
      </c>
      <c r="C71" s="6">
        <v>8</v>
      </c>
      <c r="D71" s="6" t="s">
        <v>98</v>
      </c>
      <c r="E71" s="6">
        <v>646</v>
      </c>
      <c r="F71" s="6" t="s">
        <v>748</v>
      </c>
      <c r="G71" s="6">
        <v>42123.433321759258</v>
      </c>
      <c r="H71" s="6">
        <v>42123.433321759258</v>
      </c>
      <c r="I71" s="6">
        <v>42123.433321759258</v>
      </c>
      <c r="J71" s="6" t="s">
        <v>103</v>
      </c>
      <c r="K71" s="6" t="s">
        <v>105</v>
      </c>
      <c r="L71" s="6" t="s">
        <v>749</v>
      </c>
      <c r="Q71" s="6">
        <v>191</v>
      </c>
      <c r="R71" s="6" t="s">
        <v>134</v>
      </c>
      <c r="S71" s="7">
        <v>191</v>
      </c>
      <c r="T71" s="7" t="s">
        <v>118</v>
      </c>
      <c r="U71" s="6" t="s">
        <v>70</v>
      </c>
      <c r="V71" s="6" t="s">
        <v>158</v>
      </c>
      <c r="W71" s="6" t="s">
        <v>160</v>
      </c>
      <c r="X71" s="6" t="s">
        <v>749</v>
      </c>
      <c r="Y71" s="8" t="s">
        <v>2768</v>
      </c>
      <c r="Z71" s="8" t="s">
        <v>2769</v>
      </c>
      <c r="AA71" s="8" t="s">
        <v>2770</v>
      </c>
      <c r="AB71" s="6">
        <v>42108</v>
      </c>
      <c r="AC71" s="6">
        <v>42108</v>
      </c>
      <c r="AE71" s="6" t="s">
        <v>177</v>
      </c>
      <c r="AF71" s="6" t="s">
        <v>178</v>
      </c>
      <c r="AG71" s="6" t="s">
        <v>180</v>
      </c>
      <c r="AH71" s="6" t="s">
        <v>392</v>
      </c>
      <c r="AI71" s="6" t="s">
        <v>182</v>
      </c>
      <c r="AJ71" s="6" t="s">
        <v>393</v>
      </c>
      <c r="AK71" s="6" t="s">
        <v>189</v>
      </c>
      <c r="AL71" s="6" t="s">
        <v>479</v>
      </c>
      <c r="AM71" s="6" t="s">
        <v>189</v>
      </c>
      <c r="AN71" s="6" t="s">
        <v>181</v>
      </c>
      <c r="AO71" s="6" t="s">
        <v>185</v>
      </c>
      <c r="AP71" s="6" t="s">
        <v>247</v>
      </c>
      <c r="AQ71" s="6" t="s">
        <v>244</v>
      </c>
      <c r="AR71" s="6" t="s">
        <v>189</v>
      </c>
      <c r="AS71" s="6" t="s">
        <v>244</v>
      </c>
      <c r="AT71" s="6" t="s">
        <v>244</v>
      </c>
      <c r="AU71" s="6" t="s">
        <v>288</v>
      </c>
      <c r="AV71" s="6" t="s">
        <v>339</v>
      </c>
      <c r="AW71" s="6" t="s">
        <v>244</v>
      </c>
      <c r="AX71" s="6" t="s">
        <v>247</v>
      </c>
    </row>
    <row r="72" spans="1:50">
      <c r="A72" s="6">
        <v>99</v>
      </c>
      <c r="B72" s="5" t="s">
        <v>2771</v>
      </c>
      <c r="C72" s="6">
        <v>4</v>
      </c>
      <c r="D72" s="6" t="s">
        <v>98</v>
      </c>
      <c r="E72" s="6">
        <v>246</v>
      </c>
      <c r="F72" s="6" t="s">
        <v>754</v>
      </c>
      <c r="G72" s="6">
        <v>41988.923229166663</v>
      </c>
      <c r="H72" s="6">
        <v>42046.98165509259</v>
      </c>
      <c r="I72" s="6">
        <v>41988.923229166663</v>
      </c>
      <c r="J72" s="6" t="s">
        <v>103</v>
      </c>
      <c r="K72" s="6" t="s">
        <v>105</v>
      </c>
      <c r="L72" s="6" t="s">
        <v>755</v>
      </c>
      <c r="M72" s="6" t="s">
        <v>374</v>
      </c>
      <c r="P72" s="6" t="s">
        <v>756</v>
      </c>
      <c r="Q72" s="6">
        <v>203</v>
      </c>
      <c r="R72" s="6" t="s">
        <v>137</v>
      </c>
      <c r="S72" s="7">
        <v>203</v>
      </c>
      <c r="T72" s="7" t="s">
        <v>118</v>
      </c>
      <c r="U72" s="6" t="s">
        <v>70</v>
      </c>
      <c r="V72" s="6" t="s">
        <v>158</v>
      </c>
      <c r="W72" s="6" t="s">
        <v>757</v>
      </c>
      <c r="X72" s="6" t="s">
        <v>755</v>
      </c>
      <c r="Y72" s="8" t="s">
        <v>2772</v>
      </c>
      <c r="Z72" s="8" t="s">
        <v>2773</v>
      </c>
      <c r="AA72" s="8" t="s">
        <v>2774</v>
      </c>
      <c r="AB72" s="6">
        <v>40465</v>
      </c>
      <c r="AC72" s="6">
        <v>40924</v>
      </c>
      <c r="AE72" s="6" t="s">
        <v>244</v>
      </c>
      <c r="AF72" s="6" t="s">
        <v>178</v>
      </c>
      <c r="AG72" s="6" t="s">
        <v>180</v>
      </c>
      <c r="AH72" s="6" t="s">
        <v>181</v>
      </c>
      <c r="AI72" s="6" t="s">
        <v>182</v>
      </c>
      <c r="AJ72" s="6" t="s">
        <v>244</v>
      </c>
      <c r="AK72" s="6" t="s">
        <v>244</v>
      </c>
      <c r="AL72" s="6" t="s">
        <v>479</v>
      </c>
      <c r="AM72" s="6" t="s">
        <v>244</v>
      </c>
      <c r="AN72" s="6" t="s">
        <v>181</v>
      </c>
      <c r="AO72" s="6" t="s">
        <v>185</v>
      </c>
      <c r="AP72" s="6" t="s">
        <v>247</v>
      </c>
      <c r="AQ72" s="6" t="s">
        <v>288</v>
      </c>
      <c r="AR72" s="6" t="s">
        <v>185</v>
      </c>
      <c r="AS72" s="6" t="s">
        <v>244</v>
      </c>
      <c r="AT72" s="6" t="s">
        <v>244</v>
      </c>
      <c r="AU72" s="6" t="s">
        <v>288</v>
      </c>
      <c r="AV72" s="6" t="s">
        <v>339</v>
      </c>
      <c r="AW72" s="6" t="s">
        <v>244</v>
      </c>
      <c r="AX72" s="6" t="s">
        <v>247</v>
      </c>
    </row>
    <row r="73" spans="1:50">
      <c r="A73" s="6">
        <v>674</v>
      </c>
      <c r="B73" s="5" t="s">
        <v>2775</v>
      </c>
      <c r="C73" s="6">
        <v>4</v>
      </c>
      <c r="D73" s="6" t="s">
        <v>98</v>
      </c>
      <c r="E73" s="6">
        <v>388</v>
      </c>
      <c r="F73" s="6" t="s">
        <v>760</v>
      </c>
      <c r="G73" s="6">
        <v>42055.574675925927</v>
      </c>
      <c r="H73" s="6">
        <v>42055.574675925927</v>
      </c>
      <c r="I73" s="6">
        <v>42055.574675925927</v>
      </c>
      <c r="J73" s="6" t="s">
        <v>103</v>
      </c>
      <c r="K73" s="6" t="s">
        <v>105</v>
      </c>
      <c r="L73" s="6" t="s">
        <v>761</v>
      </c>
      <c r="N73" s="6" t="s">
        <v>762</v>
      </c>
      <c r="O73" s="6" t="s">
        <v>763</v>
      </c>
      <c r="P73" s="6" t="s">
        <v>764</v>
      </c>
      <c r="Q73" s="6">
        <v>203</v>
      </c>
      <c r="R73" s="6" t="s">
        <v>137</v>
      </c>
      <c r="S73" s="7">
        <v>203</v>
      </c>
      <c r="T73" s="7" t="s">
        <v>118</v>
      </c>
      <c r="U73" s="6" t="s">
        <v>70</v>
      </c>
      <c r="V73" s="6" t="s">
        <v>158</v>
      </c>
      <c r="W73" s="6" t="s">
        <v>160</v>
      </c>
      <c r="X73" s="6" t="s">
        <v>761</v>
      </c>
      <c r="Y73" s="8" t="s">
        <v>2776</v>
      </c>
      <c r="Z73" s="8" t="s">
        <v>2777</v>
      </c>
      <c r="AA73" s="8" t="s">
        <v>2778</v>
      </c>
      <c r="AB73" s="6">
        <v>40886</v>
      </c>
      <c r="AC73" s="6">
        <v>40886</v>
      </c>
      <c r="AD73" s="6">
        <v>41666</v>
      </c>
      <c r="AE73" s="6" t="s">
        <v>177</v>
      </c>
      <c r="AF73" s="6" t="s">
        <v>178</v>
      </c>
      <c r="AG73" s="6" t="s">
        <v>180</v>
      </c>
      <c r="AH73" s="6" t="s">
        <v>181</v>
      </c>
      <c r="AI73" s="6" t="s">
        <v>182</v>
      </c>
      <c r="AJ73" s="6" t="s">
        <v>393</v>
      </c>
      <c r="AK73" s="6" t="s">
        <v>244</v>
      </c>
      <c r="AL73" s="6" t="s">
        <v>479</v>
      </c>
      <c r="AM73" s="6" t="s">
        <v>244</v>
      </c>
      <c r="AN73" s="6" t="s">
        <v>181</v>
      </c>
      <c r="AO73" s="6" t="s">
        <v>189</v>
      </c>
      <c r="AP73" s="6" t="s">
        <v>247</v>
      </c>
      <c r="AQ73" s="6" t="s">
        <v>244</v>
      </c>
      <c r="AR73" s="6" t="s">
        <v>244</v>
      </c>
      <c r="AS73" s="6" t="s">
        <v>244</v>
      </c>
      <c r="AT73" s="6" t="s">
        <v>244</v>
      </c>
      <c r="AU73" s="6" t="s">
        <v>244</v>
      </c>
      <c r="AV73" s="6" t="s">
        <v>244</v>
      </c>
      <c r="AW73" s="6" t="s">
        <v>244</v>
      </c>
      <c r="AX73" s="6" t="s">
        <v>247</v>
      </c>
    </row>
    <row r="74" spans="1:50">
      <c r="A74" s="6">
        <v>101</v>
      </c>
      <c r="B74" s="5" t="s">
        <v>2779</v>
      </c>
      <c r="C74" s="6">
        <v>3</v>
      </c>
      <c r="D74" s="6" t="s">
        <v>98</v>
      </c>
      <c r="E74" s="6">
        <v>1</v>
      </c>
      <c r="F74" s="6" t="s">
        <v>768</v>
      </c>
      <c r="G74" s="6">
        <v>41988.92324074074</v>
      </c>
      <c r="H74" s="6">
        <v>41988.92324074074</v>
      </c>
      <c r="I74" s="6">
        <v>41988.92324074074</v>
      </c>
      <c r="J74" s="6" t="s">
        <v>103</v>
      </c>
      <c r="K74" s="6" t="s">
        <v>105</v>
      </c>
      <c r="L74" s="6" t="s">
        <v>769</v>
      </c>
      <c r="M74" s="6" t="s">
        <v>469</v>
      </c>
      <c r="Q74" s="6">
        <v>208</v>
      </c>
      <c r="R74" s="6" t="s">
        <v>139</v>
      </c>
      <c r="S74" s="7">
        <v>208</v>
      </c>
      <c r="T74" s="7" t="s">
        <v>123</v>
      </c>
      <c r="U74" s="6" t="s">
        <v>125</v>
      </c>
      <c r="V74" s="6" t="s">
        <v>158</v>
      </c>
      <c r="W74" s="6" t="s">
        <v>160</v>
      </c>
      <c r="X74" s="6" t="s">
        <v>769</v>
      </c>
      <c r="Y74" s="8" t="s">
        <v>2780</v>
      </c>
      <c r="Z74" s="8" t="s">
        <v>2781</v>
      </c>
      <c r="AA74" s="8" t="s">
        <v>2782</v>
      </c>
      <c r="AB74" s="6">
        <v>40391</v>
      </c>
      <c r="AC74" s="6">
        <v>40186</v>
      </c>
      <c r="AE74" s="6" t="s">
        <v>177</v>
      </c>
      <c r="AF74" s="6" t="s">
        <v>178</v>
      </c>
      <c r="AG74" s="6" t="s">
        <v>180</v>
      </c>
      <c r="AH74" s="6" t="s">
        <v>244</v>
      </c>
      <c r="AI74" s="6" t="s">
        <v>244</v>
      </c>
      <c r="AJ74" s="6" t="s">
        <v>244</v>
      </c>
      <c r="AK74" s="6" t="s">
        <v>189</v>
      </c>
      <c r="AL74" s="6" t="s">
        <v>371</v>
      </c>
      <c r="AM74" s="6" t="s">
        <v>189</v>
      </c>
      <c r="AN74" s="6" t="s">
        <v>181</v>
      </c>
      <c r="AO74" s="6" t="s">
        <v>244</v>
      </c>
      <c r="AP74" s="6" t="s">
        <v>394</v>
      </c>
      <c r="AQ74" s="6" t="s">
        <v>288</v>
      </c>
      <c r="AR74" s="6" t="s">
        <v>189</v>
      </c>
      <c r="AS74" s="6" t="s">
        <v>244</v>
      </c>
      <c r="AT74" s="6" t="s">
        <v>244</v>
      </c>
      <c r="AU74" s="6" t="s">
        <v>288</v>
      </c>
      <c r="AV74" s="6" t="s">
        <v>371</v>
      </c>
      <c r="AW74" s="6" t="s">
        <v>442</v>
      </c>
      <c r="AX74" s="6" t="s">
        <v>371</v>
      </c>
    </row>
    <row r="75" spans="1:50">
      <c r="A75" s="6">
        <v>102</v>
      </c>
      <c r="B75" s="5" t="s">
        <v>2783</v>
      </c>
      <c r="C75" s="6">
        <v>3</v>
      </c>
      <c r="D75" s="6" t="s">
        <v>98</v>
      </c>
      <c r="E75" s="6">
        <v>1</v>
      </c>
      <c r="F75" s="6" t="s">
        <v>770</v>
      </c>
      <c r="G75" s="6">
        <v>41988.92324074074</v>
      </c>
      <c r="H75" s="6">
        <v>41988.92324074074</v>
      </c>
      <c r="I75" s="6">
        <v>41988.92324074074</v>
      </c>
      <c r="J75" s="6" t="s">
        <v>103</v>
      </c>
      <c r="K75" s="6" t="s">
        <v>105</v>
      </c>
      <c r="L75" s="6" t="s">
        <v>771</v>
      </c>
      <c r="M75" s="6" t="s">
        <v>374</v>
      </c>
      <c r="N75" s="6" t="s">
        <v>772</v>
      </c>
      <c r="O75" s="6" t="s">
        <v>773</v>
      </c>
      <c r="Q75" s="6">
        <v>208</v>
      </c>
      <c r="R75" s="6" t="s">
        <v>139</v>
      </c>
      <c r="S75" s="7">
        <v>208</v>
      </c>
      <c r="T75" s="7" t="s">
        <v>123</v>
      </c>
      <c r="U75" s="6" t="s">
        <v>125</v>
      </c>
      <c r="V75" s="6" t="s">
        <v>158</v>
      </c>
      <c r="W75" s="6" t="s">
        <v>160</v>
      </c>
      <c r="X75" s="6" t="s">
        <v>771</v>
      </c>
      <c r="Y75" s="8" t="s">
        <v>2784</v>
      </c>
      <c r="Z75" s="8" t="s">
        <v>2785</v>
      </c>
      <c r="AA75" s="8" t="s">
        <v>2786</v>
      </c>
      <c r="AB75" s="6">
        <v>39965</v>
      </c>
      <c r="AC75" s="6">
        <v>39965</v>
      </c>
      <c r="AE75" s="6" t="s">
        <v>478</v>
      </c>
      <c r="AF75" s="6" t="s">
        <v>178</v>
      </c>
      <c r="AG75" s="6" t="s">
        <v>180</v>
      </c>
      <c r="AH75" s="6" t="s">
        <v>187</v>
      </c>
      <c r="AI75" s="6" t="s">
        <v>182</v>
      </c>
      <c r="AJ75" s="6" t="s">
        <v>393</v>
      </c>
      <c r="AK75" s="6" t="s">
        <v>189</v>
      </c>
      <c r="AL75" s="6" t="s">
        <v>178</v>
      </c>
      <c r="AM75" s="6" t="s">
        <v>185</v>
      </c>
      <c r="AN75" s="6" t="s">
        <v>378</v>
      </c>
      <c r="AO75" s="6" t="s">
        <v>244</v>
      </c>
      <c r="AP75" s="6" t="s">
        <v>394</v>
      </c>
      <c r="AQ75" s="6" t="s">
        <v>288</v>
      </c>
      <c r="AR75" s="6" t="s">
        <v>185</v>
      </c>
      <c r="AS75" s="6" t="s">
        <v>395</v>
      </c>
      <c r="AT75" s="6" t="s">
        <v>395</v>
      </c>
      <c r="AU75" s="6" t="s">
        <v>288</v>
      </c>
      <c r="AV75" s="6" t="s">
        <v>630</v>
      </c>
      <c r="AW75" s="6" t="s">
        <v>442</v>
      </c>
      <c r="AX75" s="6" t="s">
        <v>247</v>
      </c>
    </row>
    <row r="76" spans="1:50">
      <c r="A76" s="6">
        <v>103</v>
      </c>
      <c r="B76" s="5" t="s">
        <v>2787</v>
      </c>
      <c r="C76" s="6">
        <v>3</v>
      </c>
      <c r="D76" s="6" t="s">
        <v>98</v>
      </c>
      <c r="E76" s="6">
        <v>1</v>
      </c>
      <c r="F76" s="6" t="s">
        <v>774</v>
      </c>
      <c r="G76" s="6">
        <v>41988.92324074074</v>
      </c>
      <c r="H76" s="6">
        <v>41988.92324074074</v>
      </c>
      <c r="I76" s="6">
        <v>41988.92324074074</v>
      </c>
      <c r="J76" s="6" t="s">
        <v>103</v>
      </c>
      <c r="K76" s="6" t="s">
        <v>105</v>
      </c>
      <c r="L76" s="6" t="s">
        <v>775</v>
      </c>
      <c r="M76" s="6" t="s">
        <v>374</v>
      </c>
      <c r="N76" s="6" t="s">
        <v>776</v>
      </c>
      <c r="Q76" s="6">
        <v>208</v>
      </c>
      <c r="R76" s="6" t="s">
        <v>139</v>
      </c>
      <c r="S76" s="7">
        <v>208</v>
      </c>
      <c r="T76" s="7" t="s">
        <v>123</v>
      </c>
      <c r="U76" s="6" t="s">
        <v>125</v>
      </c>
      <c r="V76" s="6" t="s">
        <v>158</v>
      </c>
      <c r="W76" s="6" t="s">
        <v>376</v>
      </c>
      <c r="X76" s="6" t="s">
        <v>777</v>
      </c>
      <c r="Y76" s="8" t="s">
        <v>2788</v>
      </c>
      <c r="Z76" s="8" t="s">
        <v>2789</v>
      </c>
      <c r="AB76" s="6">
        <v>41061</v>
      </c>
      <c r="AC76" s="6">
        <v>41061</v>
      </c>
      <c r="AD76" s="6">
        <v>41487</v>
      </c>
      <c r="AE76" s="6" t="s">
        <v>177</v>
      </c>
      <c r="AF76" s="6" t="s">
        <v>178</v>
      </c>
      <c r="AG76" s="6" t="s">
        <v>370</v>
      </c>
      <c r="AH76" s="6" t="s">
        <v>187</v>
      </c>
      <c r="AI76" s="6" t="s">
        <v>182</v>
      </c>
      <c r="AJ76" s="6" t="s">
        <v>393</v>
      </c>
      <c r="AK76" s="6" t="s">
        <v>185</v>
      </c>
      <c r="AL76" s="6" t="s">
        <v>178</v>
      </c>
      <c r="AM76" s="6" t="s">
        <v>185</v>
      </c>
      <c r="AN76" s="6" t="s">
        <v>247</v>
      </c>
      <c r="AO76" s="6" t="s">
        <v>244</v>
      </c>
      <c r="AP76" s="6" t="s">
        <v>394</v>
      </c>
      <c r="AQ76" s="6" t="s">
        <v>288</v>
      </c>
      <c r="AR76" s="6" t="s">
        <v>185</v>
      </c>
      <c r="AS76" s="6" t="s">
        <v>379</v>
      </c>
      <c r="AT76" s="6" t="s">
        <v>395</v>
      </c>
      <c r="AU76" s="6" t="s">
        <v>244</v>
      </c>
      <c r="AV76" s="6" t="s">
        <v>339</v>
      </c>
      <c r="AW76" s="6" t="s">
        <v>442</v>
      </c>
      <c r="AX76" s="6" t="s">
        <v>247</v>
      </c>
    </row>
    <row r="77" spans="1:50">
      <c r="A77" s="6">
        <v>105</v>
      </c>
      <c r="B77" s="5" t="s">
        <v>2790</v>
      </c>
      <c r="C77" s="6">
        <v>4</v>
      </c>
      <c r="D77" s="6" t="s">
        <v>98</v>
      </c>
      <c r="E77" s="6">
        <v>248</v>
      </c>
      <c r="F77" s="6" t="s">
        <v>782</v>
      </c>
      <c r="G77" s="6">
        <v>41988.923252314817</v>
      </c>
      <c r="H77" s="6">
        <v>42046.98165509259</v>
      </c>
      <c r="I77" s="6">
        <v>41988.923252314817</v>
      </c>
      <c r="J77" s="6" t="s">
        <v>103</v>
      </c>
      <c r="K77" s="6" t="s">
        <v>105</v>
      </c>
      <c r="L77" s="6" t="s">
        <v>783</v>
      </c>
      <c r="M77" s="6" t="s">
        <v>374</v>
      </c>
      <c r="N77" s="6" t="s">
        <v>784</v>
      </c>
      <c r="P77" s="6" t="s">
        <v>215</v>
      </c>
      <c r="Q77" s="6">
        <v>208</v>
      </c>
      <c r="R77" s="6" t="s">
        <v>139</v>
      </c>
      <c r="S77" s="7">
        <v>208</v>
      </c>
      <c r="T77" s="7" t="s">
        <v>123</v>
      </c>
      <c r="U77" s="6" t="s">
        <v>125</v>
      </c>
      <c r="V77" s="6" t="s">
        <v>158</v>
      </c>
      <c r="W77" s="6" t="s">
        <v>376</v>
      </c>
      <c r="X77" s="6" t="s">
        <v>783</v>
      </c>
      <c r="Y77" s="8" t="s">
        <v>2791</v>
      </c>
      <c r="Z77" s="8" t="s">
        <v>2792</v>
      </c>
      <c r="AA77" s="8" t="s">
        <v>2793</v>
      </c>
      <c r="AB77" s="6">
        <v>41668</v>
      </c>
      <c r="AC77" s="6">
        <v>41791</v>
      </c>
      <c r="AE77" s="6" t="s">
        <v>177</v>
      </c>
      <c r="AF77" s="6" t="s">
        <v>178</v>
      </c>
      <c r="AG77" s="6" t="s">
        <v>180</v>
      </c>
      <c r="AH77" s="6" t="s">
        <v>392</v>
      </c>
      <c r="AI77" s="6" t="s">
        <v>371</v>
      </c>
      <c r="AJ77" s="6" t="s">
        <v>244</v>
      </c>
      <c r="AK77" s="6" t="s">
        <v>185</v>
      </c>
      <c r="AL77" s="6" t="s">
        <v>178</v>
      </c>
      <c r="AM77" s="6" t="s">
        <v>185</v>
      </c>
      <c r="AN77" s="6" t="s">
        <v>392</v>
      </c>
      <c r="AO77" s="6" t="s">
        <v>244</v>
      </c>
      <c r="AP77" s="6" t="s">
        <v>190</v>
      </c>
      <c r="AQ77" s="6" t="s">
        <v>288</v>
      </c>
      <c r="AR77" s="6" t="s">
        <v>185</v>
      </c>
      <c r="AS77" s="6" t="s">
        <v>785</v>
      </c>
      <c r="AT77" s="6" t="s">
        <v>785</v>
      </c>
      <c r="AU77" s="6" t="s">
        <v>244</v>
      </c>
      <c r="AV77" s="6" t="s">
        <v>520</v>
      </c>
      <c r="AW77" s="6" t="s">
        <v>244</v>
      </c>
      <c r="AX77" s="6" t="s">
        <v>247</v>
      </c>
    </row>
    <row r="78" spans="1:50">
      <c r="A78" s="6">
        <v>106</v>
      </c>
      <c r="B78" s="5" t="s">
        <v>2794</v>
      </c>
      <c r="C78" s="6">
        <v>3</v>
      </c>
      <c r="D78" s="6" t="s">
        <v>98</v>
      </c>
      <c r="E78" s="6">
        <v>1</v>
      </c>
      <c r="F78" s="6" t="s">
        <v>786</v>
      </c>
      <c r="G78" s="6">
        <v>41988.923252314817</v>
      </c>
      <c r="H78" s="6">
        <v>41988.923252314817</v>
      </c>
      <c r="I78" s="6">
        <v>41988.923252314817</v>
      </c>
      <c r="J78" s="6" t="s">
        <v>103</v>
      </c>
      <c r="K78" s="6" t="s">
        <v>105</v>
      </c>
      <c r="L78" s="6" t="s">
        <v>787</v>
      </c>
      <c r="M78" s="6" t="s">
        <v>374</v>
      </c>
      <c r="N78" s="6" t="s">
        <v>788</v>
      </c>
      <c r="P78" s="6" t="s">
        <v>215</v>
      </c>
      <c r="Q78" s="6">
        <v>208</v>
      </c>
      <c r="R78" s="6" t="s">
        <v>139</v>
      </c>
      <c r="S78" s="7">
        <v>208</v>
      </c>
      <c r="T78" s="7" t="s">
        <v>123</v>
      </c>
      <c r="U78" s="6" t="s">
        <v>125</v>
      </c>
      <c r="V78" s="6" t="s">
        <v>158</v>
      </c>
      <c r="W78" s="6" t="s">
        <v>160</v>
      </c>
      <c r="X78" s="6" t="s">
        <v>787</v>
      </c>
      <c r="Y78" s="8" t="s">
        <v>2795</v>
      </c>
      <c r="Z78" s="8" t="s">
        <v>2796</v>
      </c>
      <c r="AA78" s="8" t="s">
        <v>2797</v>
      </c>
      <c r="AB78" s="6">
        <v>39668</v>
      </c>
      <c r="AC78" s="6">
        <v>39700</v>
      </c>
      <c r="AE78" s="6" t="s">
        <v>177</v>
      </c>
      <c r="AF78" s="6" t="s">
        <v>178</v>
      </c>
      <c r="AG78" s="6" t="s">
        <v>180</v>
      </c>
      <c r="AH78" s="6" t="s">
        <v>244</v>
      </c>
      <c r="AI78" s="6" t="s">
        <v>182</v>
      </c>
      <c r="AJ78" s="6" t="s">
        <v>244</v>
      </c>
      <c r="AK78" s="6" t="s">
        <v>185</v>
      </c>
      <c r="AL78" s="6" t="s">
        <v>178</v>
      </c>
      <c r="AM78" s="6" t="s">
        <v>189</v>
      </c>
      <c r="AN78" s="6" t="s">
        <v>181</v>
      </c>
      <c r="AO78" s="6" t="s">
        <v>244</v>
      </c>
      <c r="AP78" s="6" t="s">
        <v>394</v>
      </c>
      <c r="AQ78" s="6" t="s">
        <v>288</v>
      </c>
      <c r="AR78" s="6" t="s">
        <v>185</v>
      </c>
      <c r="AS78" s="6" t="s">
        <v>244</v>
      </c>
      <c r="AT78" s="6" t="s">
        <v>244</v>
      </c>
      <c r="AU78" s="6" t="s">
        <v>288</v>
      </c>
      <c r="AV78" s="6" t="s">
        <v>630</v>
      </c>
      <c r="AW78" s="6" t="s">
        <v>442</v>
      </c>
      <c r="AX78" s="6" t="s">
        <v>371</v>
      </c>
    </row>
    <row r="79" spans="1:50">
      <c r="A79" s="6">
        <v>177</v>
      </c>
      <c r="B79" s="5" t="s">
        <v>2798</v>
      </c>
      <c r="C79" s="6">
        <v>3</v>
      </c>
      <c r="D79" s="6" t="s">
        <v>98</v>
      </c>
      <c r="E79" s="6">
        <v>1</v>
      </c>
      <c r="F79" s="6" t="s">
        <v>791</v>
      </c>
      <c r="G79" s="6">
        <v>41988.923333333332</v>
      </c>
      <c r="H79" s="6">
        <v>41988.923333333332</v>
      </c>
      <c r="I79" s="6">
        <v>41988.923333333332</v>
      </c>
      <c r="J79" s="6" t="s">
        <v>103</v>
      </c>
      <c r="K79" s="6" t="s">
        <v>105</v>
      </c>
      <c r="L79" s="6" t="s">
        <v>792</v>
      </c>
      <c r="M79" s="6" t="s">
        <v>374</v>
      </c>
      <c r="N79" s="6" t="s">
        <v>793</v>
      </c>
      <c r="O79" s="6" t="s">
        <v>794</v>
      </c>
      <c r="P79" s="6" t="s">
        <v>795</v>
      </c>
      <c r="Q79" s="6">
        <v>233</v>
      </c>
      <c r="R79" s="6" t="s">
        <v>147</v>
      </c>
      <c r="S79" s="7">
        <v>233</v>
      </c>
      <c r="T79" s="7" t="s">
        <v>123</v>
      </c>
      <c r="U79" s="6" t="s">
        <v>125</v>
      </c>
      <c r="V79" s="6" t="s">
        <v>158</v>
      </c>
      <c r="W79" s="6" t="s">
        <v>376</v>
      </c>
      <c r="X79" s="6" t="s">
        <v>792</v>
      </c>
      <c r="Y79" s="8" t="s">
        <v>2799</v>
      </c>
      <c r="Z79" s="8" t="s">
        <v>2800</v>
      </c>
      <c r="AA79" s="8" t="s">
        <v>2801</v>
      </c>
      <c r="AB79" s="6">
        <v>41150</v>
      </c>
      <c r="AD79" s="6">
        <v>41523</v>
      </c>
      <c r="AE79" s="6" t="s">
        <v>177</v>
      </c>
      <c r="AF79" s="6" t="s">
        <v>178</v>
      </c>
      <c r="AG79" s="6" t="s">
        <v>180</v>
      </c>
      <c r="AH79" s="6" t="s">
        <v>392</v>
      </c>
      <c r="AI79" s="6" t="s">
        <v>182</v>
      </c>
      <c r="AJ79" s="6" t="s">
        <v>183</v>
      </c>
      <c r="AK79" s="6" t="s">
        <v>244</v>
      </c>
      <c r="AL79" s="6" t="s">
        <v>479</v>
      </c>
      <c r="AM79" s="6" t="s">
        <v>244</v>
      </c>
      <c r="AN79" s="6" t="s">
        <v>181</v>
      </c>
      <c r="AO79" s="6" t="s">
        <v>189</v>
      </c>
      <c r="AP79" s="6" t="s">
        <v>247</v>
      </c>
      <c r="AQ79" s="6" t="s">
        <v>288</v>
      </c>
      <c r="AR79" s="6" t="s">
        <v>288</v>
      </c>
      <c r="AS79" s="6" t="s">
        <v>244</v>
      </c>
      <c r="AT79" s="6" t="s">
        <v>244</v>
      </c>
      <c r="AU79" s="6" t="s">
        <v>288</v>
      </c>
      <c r="AV79" s="6" t="s">
        <v>371</v>
      </c>
      <c r="AW79" s="6" t="s">
        <v>244</v>
      </c>
      <c r="AX79" s="6" t="s">
        <v>198</v>
      </c>
    </row>
    <row r="80" spans="1:50">
      <c r="A80" s="6">
        <v>176</v>
      </c>
      <c r="B80" s="5" t="s">
        <v>2802</v>
      </c>
      <c r="C80" s="6">
        <v>3</v>
      </c>
      <c r="D80" s="6" t="s">
        <v>98</v>
      </c>
      <c r="E80" s="6">
        <v>1</v>
      </c>
      <c r="F80" s="6" t="s">
        <v>796</v>
      </c>
      <c r="G80" s="6">
        <v>41988.923333333332</v>
      </c>
      <c r="H80" s="6">
        <v>41988.923333333332</v>
      </c>
      <c r="I80" s="6">
        <v>41988.923333333332</v>
      </c>
      <c r="J80" s="6" t="s">
        <v>103</v>
      </c>
      <c r="K80" s="6" t="s">
        <v>105</v>
      </c>
      <c r="L80" s="6" t="s">
        <v>797</v>
      </c>
      <c r="M80" s="6" t="s">
        <v>637</v>
      </c>
      <c r="N80" s="6" t="s">
        <v>798</v>
      </c>
      <c r="O80" s="6" t="s">
        <v>794</v>
      </c>
      <c r="P80" s="6" t="s">
        <v>795</v>
      </c>
      <c r="Q80" s="6">
        <v>233</v>
      </c>
      <c r="R80" s="6" t="s">
        <v>147</v>
      </c>
      <c r="S80" s="7">
        <v>233</v>
      </c>
      <c r="T80" s="7" t="s">
        <v>123</v>
      </c>
      <c r="U80" s="6" t="s">
        <v>125</v>
      </c>
      <c r="V80" s="6" t="s">
        <v>158</v>
      </c>
      <c r="W80" s="6" t="s">
        <v>376</v>
      </c>
      <c r="X80" s="6" t="s">
        <v>797</v>
      </c>
      <c r="Y80" s="8" t="s">
        <v>2803</v>
      </c>
      <c r="Z80" s="8" t="s">
        <v>2804</v>
      </c>
      <c r="AA80" s="8" t="s">
        <v>2805</v>
      </c>
      <c r="AB80" s="6">
        <v>40904</v>
      </c>
      <c r="AC80" s="6">
        <v>40969</v>
      </c>
      <c r="AD80" s="6">
        <v>41692</v>
      </c>
      <c r="AE80" s="6" t="s">
        <v>177</v>
      </c>
      <c r="AF80" s="6" t="s">
        <v>178</v>
      </c>
      <c r="AG80" s="6" t="s">
        <v>180</v>
      </c>
      <c r="AH80" s="6" t="s">
        <v>392</v>
      </c>
      <c r="AI80" s="6" t="s">
        <v>182</v>
      </c>
      <c r="AJ80" s="6" t="s">
        <v>183</v>
      </c>
      <c r="AK80" s="6" t="s">
        <v>244</v>
      </c>
      <c r="AL80" s="6" t="s">
        <v>479</v>
      </c>
      <c r="AM80" s="6" t="s">
        <v>189</v>
      </c>
      <c r="AN80" s="6" t="s">
        <v>181</v>
      </c>
      <c r="AO80" s="6" t="s">
        <v>189</v>
      </c>
      <c r="AP80" s="6" t="s">
        <v>247</v>
      </c>
      <c r="AQ80" s="6" t="s">
        <v>288</v>
      </c>
      <c r="AR80" s="6" t="s">
        <v>189</v>
      </c>
      <c r="AS80" s="6" t="s">
        <v>244</v>
      </c>
      <c r="AT80" s="6" t="s">
        <v>244</v>
      </c>
      <c r="AU80" s="6" t="s">
        <v>288</v>
      </c>
      <c r="AV80" s="6" t="s">
        <v>371</v>
      </c>
      <c r="AW80" s="6" t="s">
        <v>244</v>
      </c>
      <c r="AX80" s="6" t="s">
        <v>198</v>
      </c>
    </row>
    <row r="81" spans="1:50">
      <c r="A81" s="6">
        <v>108</v>
      </c>
      <c r="B81" s="5" t="s">
        <v>2806</v>
      </c>
      <c r="C81" s="6">
        <v>3</v>
      </c>
      <c r="D81" s="6" t="s">
        <v>98</v>
      </c>
      <c r="E81" s="6">
        <v>1</v>
      </c>
      <c r="F81" s="6" t="s">
        <v>806</v>
      </c>
      <c r="G81" s="6">
        <v>41988.923252314817</v>
      </c>
      <c r="H81" s="6">
        <v>41988.923252314817</v>
      </c>
      <c r="I81" s="6">
        <v>41988.923252314817</v>
      </c>
      <c r="J81" s="6" t="s">
        <v>103</v>
      </c>
      <c r="K81" s="6" t="s">
        <v>105</v>
      </c>
      <c r="L81" s="6" t="s">
        <v>807</v>
      </c>
      <c r="M81" s="6" t="s">
        <v>374</v>
      </c>
      <c r="N81" s="6" t="s">
        <v>808</v>
      </c>
      <c r="O81" s="6" t="s">
        <v>809</v>
      </c>
      <c r="P81" s="6" t="s">
        <v>215</v>
      </c>
      <c r="Q81" s="6">
        <v>246</v>
      </c>
      <c r="R81" s="6" t="s">
        <v>151</v>
      </c>
      <c r="S81" s="7">
        <v>246</v>
      </c>
      <c r="T81" s="7" t="s">
        <v>123</v>
      </c>
      <c r="U81" s="6" t="s">
        <v>125</v>
      </c>
      <c r="V81" s="6" t="s">
        <v>158</v>
      </c>
      <c r="W81" s="6" t="s">
        <v>160</v>
      </c>
      <c r="X81" s="6" t="s">
        <v>807</v>
      </c>
      <c r="Y81" s="8" t="s">
        <v>2807</v>
      </c>
      <c r="Z81" s="8" t="s">
        <v>2808</v>
      </c>
      <c r="AA81" s="8" t="s">
        <v>2809</v>
      </c>
      <c r="AB81" s="6">
        <v>40108</v>
      </c>
      <c r="AC81" s="6">
        <v>40179</v>
      </c>
      <c r="AE81" s="6" t="s">
        <v>177</v>
      </c>
      <c r="AF81" s="6" t="s">
        <v>178</v>
      </c>
      <c r="AG81" s="6" t="s">
        <v>180</v>
      </c>
      <c r="AH81" s="6" t="s">
        <v>244</v>
      </c>
      <c r="AI81" s="6" t="s">
        <v>182</v>
      </c>
      <c r="AJ81" s="6" t="s">
        <v>244</v>
      </c>
      <c r="AK81" s="6" t="s">
        <v>244</v>
      </c>
      <c r="AL81" s="6" t="s">
        <v>178</v>
      </c>
      <c r="AM81" s="6" t="s">
        <v>244</v>
      </c>
      <c r="AN81" s="6" t="s">
        <v>247</v>
      </c>
      <c r="AO81" s="6" t="s">
        <v>244</v>
      </c>
      <c r="AP81" s="6" t="s">
        <v>247</v>
      </c>
      <c r="AQ81" s="6" t="s">
        <v>288</v>
      </c>
      <c r="AR81" s="6" t="s">
        <v>185</v>
      </c>
      <c r="AS81" s="6" t="s">
        <v>244</v>
      </c>
      <c r="AT81" s="6" t="s">
        <v>244</v>
      </c>
      <c r="AU81" s="6" t="s">
        <v>288</v>
      </c>
      <c r="AV81" s="6" t="s">
        <v>339</v>
      </c>
      <c r="AW81" s="6" t="s">
        <v>341</v>
      </c>
      <c r="AX81" s="6" t="s">
        <v>247</v>
      </c>
    </row>
    <row r="82" spans="1:50">
      <c r="A82" s="6">
        <v>109</v>
      </c>
      <c r="B82" s="5" t="s">
        <v>2810</v>
      </c>
      <c r="C82" s="6">
        <v>3</v>
      </c>
      <c r="D82" s="6" t="s">
        <v>98</v>
      </c>
      <c r="E82" s="6">
        <v>1</v>
      </c>
      <c r="F82" s="6" t="s">
        <v>810</v>
      </c>
      <c r="G82" s="6">
        <v>41988.923252314817</v>
      </c>
      <c r="H82" s="6">
        <v>41988.923252314817</v>
      </c>
      <c r="I82" s="6">
        <v>41988.923252314817</v>
      </c>
      <c r="J82" s="6" t="s">
        <v>103</v>
      </c>
      <c r="K82" s="6" t="s">
        <v>105</v>
      </c>
      <c r="L82" s="6" t="s">
        <v>811</v>
      </c>
      <c r="M82" s="6" t="s">
        <v>374</v>
      </c>
      <c r="N82" s="6" t="s">
        <v>812</v>
      </c>
      <c r="P82" s="6" t="s">
        <v>215</v>
      </c>
      <c r="Q82" s="6">
        <v>246</v>
      </c>
      <c r="R82" s="6" t="s">
        <v>151</v>
      </c>
      <c r="S82" s="7">
        <v>246</v>
      </c>
      <c r="T82" s="7" t="s">
        <v>123</v>
      </c>
      <c r="U82" s="6" t="s">
        <v>125</v>
      </c>
      <c r="V82" s="6" t="s">
        <v>158</v>
      </c>
      <c r="W82" s="6" t="s">
        <v>160</v>
      </c>
      <c r="X82" s="6" t="s">
        <v>811</v>
      </c>
      <c r="Y82" s="8" t="s">
        <v>2811</v>
      </c>
      <c r="Z82" s="8" t="s">
        <v>2808</v>
      </c>
      <c r="AA82" s="8" t="s">
        <v>2809</v>
      </c>
      <c r="AB82" s="6">
        <v>40108</v>
      </c>
      <c r="AC82" s="6">
        <v>40179</v>
      </c>
      <c r="AE82" s="6" t="s">
        <v>177</v>
      </c>
      <c r="AF82" s="6" t="s">
        <v>178</v>
      </c>
      <c r="AG82" s="6" t="s">
        <v>180</v>
      </c>
      <c r="AH82" s="6" t="s">
        <v>244</v>
      </c>
      <c r="AI82" s="6" t="s">
        <v>182</v>
      </c>
      <c r="AJ82" s="6" t="s">
        <v>244</v>
      </c>
      <c r="AK82" s="6" t="s">
        <v>244</v>
      </c>
      <c r="AL82" s="6" t="s">
        <v>178</v>
      </c>
      <c r="AM82" s="6" t="s">
        <v>244</v>
      </c>
      <c r="AN82" s="6" t="s">
        <v>247</v>
      </c>
      <c r="AO82" s="6" t="s">
        <v>244</v>
      </c>
      <c r="AP82" s="6" t="s">
        <v>247</v>
      </c>
      <c r="AQ82" s="6" t="s">
        <v>288</v>
      </c>
      <c r="AR82" s="6" t="s">
        <v>185</v>
      </c>
      <c r="AS82" s="6" t="s">
        <v>244</v>
      </c>
      <c r="AT82" s="6" t="s">
        <v>244</v>
      </c>
      <c r="AU82" s="6" t="s">
        <v>288</v>
      </c>
      <c r="AV82" s="6" t="s">
        <v>339</v>
      </c>
      <c r="AW82" s="6" t="s">
        <v>341</v>
      </c>
      <c r="AX82" s="6" t="s">
        <v>247</v>
      </c>
    </row>
    <row r="83" spans="1:50">
      <c r="A83" s="6">
        <v>110</v>
      </c>
      <c r="B83" s="5" t="s">
        <v>2812</v>
      </c>
      <c r="C83" s="6">
        <v>3</v>
      </c>
      <c r="D83" s="6" t="s">
        <v>98</v>
      </c>
      <c r="E83" s="6">
        <v>1</v>
      </c>
      <c r="F83" s="6" t="s">
        <v>813</v>
      </c>
      <c r="G83" s="6">
        <v>41988.923252314817</v>
      </c>
      <c r="H83" s="6">
        <v>41988.923252314817</v>
      </c>
      <c r="I83" s="6">
        <v>41988.923252314817</v>
      </c>
      <c r="J83" s="6" t="s">
        <v>103</v>
      </c>
      <c r="K83" s="6" t="s">
        <v>105</v>
      </c>
      <c r="L83" s="6" t="s">
        <v>814</v>
      </c>
      <c r="M83" s="6" t="s">
        <v>374</v>
      </c>
      <c r="N83" s="6" t="s">
        <v>815</v>
      </c>
      <c r="P83" s="6" t="s">
        <v>215</v>
      </c>
      <c r="Q83" s="6">
        <v>246</v>
      </c>
      <c r="R83" s="6" t="s">
        <v>151</v>
      </c>
      <c r="S83" s="7">
        <v>246</v>
      </c>
      <c r="T83" s="7" t="s">
        <v>123</v>
      </c>
      <c r="U83" s="6" t="s">
        <v>125</v>
      </c>
      <c r="V83" s="6" t="s">
        <v>158</v>
      </c>
      <c r="W83" s="6" t="s">
        <v>160</v>
      </c>
      <c r="X83" s="6" t="s">
        <v>814</v>
      </c>
      <c r="Y83" s="8" t="s">
        <v>2813</v>
      </c>
      <c r="Z83" s="8" t="s">
        <v>2808</v>
      </c>
      <c r="AA83" s="8" t="s">
        <v>2809</v>
      </c>
      <c r="AB83" s="6">
        <v>40108</v>
      </c>
      <c r="AC83" s="6">
        <v>40179</v>
      </c>
      <c r="AE83" s="6" t="s">
        <v>177</v>
      </c>
      <c r="AF83" s="6" t="s">
        <v>178</v>
      </c>
      <c r="AG83" s="6" t="s">
        <v>180</v>
      </c>
      <c r="AH83" s="6" t="s">
        <v>244</v>
      </c>
      <c r="AI83" s="6" t="s">
        <v>182</v>
      </c>
      <c r="AJ83" s="6" t="s">
        <v>244</v>
      </c>
      <c r="AK83" s="6" t="s">
        <v>244</v>
      </c>
      <c r="AL83" s="6" t="s">
        <v>178</v>
      </c>
      <c r="AM83" s="6" t="s">
        <v>244</v>
      </c>
      <c r="AN83" s="6" t="s">
        <v>247</v>
      </c>
      <c r="AO83" s="6" t="s">
        <v>244</v>
      </c>
      <c r="AP83" s="6" t="s">
        <v>247</v>
      </c>
      <c r="AQ83" s="6" t="s">
        <v>288</v>
      </c>
      <c r="AR83" s="6" t="s">
        <v>185</v>
      </c>
      <c r="AS83" s="6" t="s">
        <v>244</v>
      </c>
      <c r="AT83" s="6" t="s">
        <v>244</v>
      </c>
      <c r="AU83" s="6" t="s">
        <v>288</v>
      </c>
      <c r="AV83" s="6" t="s">
        <v>339</v>
      </c>
      <c r="AW83" s="6" t="s">
        <v>341</v>
      </c>
      <c r="AX83" s="6" t="s">
        <v>247</v>
      </c>
    </row>
    <row r="84" spans="1:50">
      <c r="A84" s="6">
        <v>111</v>
      </c>
      <c r="B84" s="5" t="s">
        <v>2814</v>
      </c>
      <c r="C84" s="6">
        <v>3</v>
      </c>
      <c r="D84" s="6" t="s">
        <v>98</v>
      </c>
      <c r="E84" s="6">
        <v>1</v>
      </c>
      <c r="F84" s="6" t="s">
        <v>816</v>
      </c>
      <c r="G84" s="6">
        <v>41988.923252314817</v>
      </c>
      <c r="H84" s="6">
        <v>41988.923252314817</v>
      </c>
      <c r="I84" s="6">
        <v>41988.923252314817</v>
      </c>
      <c r="J84" s="6" t="s">
        <v>103</v>
      </c>
      <c r="K84" s="6" t="s">
        <v>105</v>
      </c>
      <c r="L84" s="6" t="s">
        <v>817</v>
      </c>
      <c r="M84" s="6" t="s">
        <v>374</v>
      </c>
      <c r="N84" s="6" t="s">
        <v>815</v>
      </c>
      <c r="P84" s="6" t="s">
        <v>215</v>
      </c>
      <c r="Q84" s="6">
        <v>246</v>
      </c>
      <c r="R84" s="6" t="s">
        <v>151</v>
      </c>
      <c r="S84" s="7">
        <v>246</v>
      </c>
      <c r="T84" s="7" t="s">
        <v>123</v>
      </c>
      <c r="U84" s="6" t="s">
        <v>125</v>
      </c>
      <c r="V84" s="6" t="s">
        <v>158</v>
      </c>
      <c r="W84" s="6" t="s">
        <v>160</v>
      </c>
      <c r="X84" s="6" t="s">
        <v>817</v>
      </c>
      <c r="Y84" s="8" t="s">
        <v>2815</v>
      </c>
      <c r="Z84" s="8" t="s">
        <v>2808</v>
      </c>
      <c r="AA84" s="8" t="s">
        <v>2809</v>
      </c>
      <c r="AB84" s="6">
        <v>40108</v>
      </c>
      <c r="AC84" s="6">
        <v>40179</v>
      </c>
      <c r="AE84" s="6" t="s">
        <v>177</v>
      </c>
      <c r="AF84" s="6" t="s">
        <v>178</v>
      </c>
      <c r="AG84" s="6" t="s">
        <v>180</v>
      </c>
      <c r="AH84" s="6" t="s">
        <v>244</v>
      </c>
      <c r="AI84" s="6" t="s">
        <v>182</v>
      </c>
      <c r="AJ84" s="6" t="s">
        <v>244</v>
      </c>
      <c r="AK84" s="6" t="s">
        <v>244</v>
      </c>
      <c r="AL84" s="6" t="s">
        <v>178</v>
      </c>
      <c r="AM84" s="6" t="s">
        <v>244</v>
      </c>
      <c r="AN84" s="6" t="s">
        <v>247</v>
      </c>
      <c r="AO84" s="6" t="s">
        <v>244</v>
      </c>
      <c r="AP84" s="6" t="s">
        <v>247</v>
      </c>
      <c r="AQ84" s="6" t="s">
        <v>288</v>
      </c>
      <c r="AR84" s="6" t="s">
        <v>185</v>
      </c>
      <c r="AS84" s="6" t="s">
        <v>244</v>
      </c>
      <c r="AT84" s="6" t="s">
        <v>244</v>
      </c>
      <c r="AU84" s="6" t="s">
        <v>288</v>
      </c>
      <c r="AV84" s="6" t="s">
        <v>339</v>
      </c>
      <c r="AW84" s="6" t="s">
        <v>341</v>
      </c>
      <c r="AX84" s="6" t="s">
        <v>247</v>
      </c>
    </row>
    <row r="85" spans="1:50">
      <c r="A85" s="6">
        <v>112</v>
      </c>
      <c r="B85" s="5" t="s">
        <v>2816</v>
      </c>
      <c r="C85" s="6">
        <v>3</v>
      </c>
      <c r="D85" s="6" t="s">
        <v>98</v>
      </c>
      <c r="E85" s="6">
        <v>1</v>
      </c>
      <c r="F85" s="6" t="s">
        <v>818</v>
      </c>
      <c r="G85" s="6">
        <v>41988.923252314817</v>
      </c>
      <c r="H85" s="6">
        <v>41988.923252314817</v>
      </c>
      <c r="I85" s="6">
        <v>41988.923252314817</v>
      </c>
      <c r="J85" s="6" t="s">
        <v>103</v>
      </c>
      <c r="K85" s="6" t="s">
        <v>105</v>
      </c>
      <c r="L85" s="6" t="s">
        <v>819</v>
      </c>
      <c r="M85" s="6" t="s">
        <v>374</v>
      </c>
      <c r="N85" s="6" t="s">
        <v>820</v>
      </c>
      <c r="P85" s="6" t="s">
        <v>215</v>
      </c>
      <c r="Q85" s="6">
        <v>246</v>
      </c>
      <c r="R85" s="6" t="s">
        <v>151</v>
      </c>
      <c r="S85" s="7">
        <v>246</v>
      </c>
      <c r="T85" s="7" t="s">
        <v>123</v>
      </c>
      <c r="U85" s="6" t="s">
        <v>125</v>
      </c>
      <c r="V85" s="6" t="s">
        <v>158</v>
      </c>
      <c r="W85" s="6" t="s">
        <v>160</v>
      </c>
      <c r="X85" s="6" t="s">
        <v>819</v>
      </c>
      <c r="Y85" s="8" t="s">
        <v>2817</v>
      </c>
      <c r="Z85" s="8" t="s">
        <v>2808</v>
      </c>
      <c r="AA85" s="8" t="s">
        <v>2809</v>
      </c>
      <c r="AB85" s="6">
        <v>40108</v>
      </c>
      <c r="AC85" s="6">
        <v>40179</v>
      </c>
      <c r="AE85" s="6" t="s">
        <v>177</v>
      </c>
      <c r="AF85" s="6" t="s">
        <v>178</v>
      </c>
      <c r="AG85" s="6" t="s">
        <v>180</v>
      </c>
      <c r="AH85" s="6" t="s">
        <v>244</v>
      </c>
      <c r="AI85" s="6" t="s">
        <v>182</v>
      </c>
      <c r="AJ85" s="6" t="s">
        <v>244</v>
      </c>
      <c r="AK85" s="6" t="s">
        <v>244</v>
      </c>
      <c r="AL85" s="6" t="s">
        <v>178</v>
      </c>
      <c r="AM85" s="6" t="s">
        <v>244</v>
      </c>
      <c r="AN85" s="6" t="s">
        <v>247</v>
      </c>
      <c r="AO85" s="6" t="s">
        <v>244</v>
      </c>
      <c r="AP85" s="6" t="s">
        <v>247</v>
      </c>
      <c r="AQ85" s="6" t="s">
        <v>288</v>
      </c>
      <c r="AR85" s="6" t="s">
        <v>185</v>
      </c>
      <c r="AS85" s="6" t="s">
        <v>244</v>
      </c>
      <c r="AT85" s="6" t="s">
        <v>244</v>
      </c>
      <c r="AU85" s="6" t="s">
        <v>288</v>
      </c>
      <c r="AV85" s="6" t="s">
        <v>339</v>
      </c>
      <c r="AW85" s="6" t="s">
        <v>341</v>
      </c>
      <c r="AX85" s="6" t="s">
        <v>247</v>
      </c>
    </row>
    <row r="86" spans="1:50">
      <c r="A86" s="6">
        <v>113</v>
      </c>
      <c r="B86" s="5" t="s">
        <v>2818</v>
      </c>
      <c r="C86" s="6">
        <v>3</v>
      </c>
      <c r="D86" s="6" t="s">
        <v>98</v>
      </c>
      <c r="E86" s="6">
        <v>1</v>
      </c>
      <c r="F86" s="6" t="s">
        <v>821</v>
      </c>
      <c r="G86" s="6">
        <v>41988.923252314817</v>
      </c>
      <c r="H86" s="6">
        <v>41988.923252314817</v>
      </c>
      <c r="I86" s="6">
        <v>41988.923252314817</v>
      </c>
      <c r="J86" s="6" t="s">
        <v>103</v>
      </c>
      <c r="K86" s="6" t="s">
        <v>105</v>
      </c>
      <c r="L86" s="6" t="s">
        <v>822</v>
      </c>
      <c r="M86" s="6" t="s">
        <v>374</v>
      </c>
      <c r="N86" s="6" t="s">
        <v>815</v>
      </c>
      <c r="P86" s="6" t="s">
        <v>215</v>
      </c>
      <c r="Q86" s="6">
        <v>246</v>
      </c>
      <c r="R86" s="6" t="s">
        <v>151</v>
      </c>
      <c r="S86" s="7">
        <v>246</v>
      </c>
      <c r="T86" s="7" t="s">
        <v>123</v>
      </c>
      <c r="U86" s="6" t="s">
        <v>125</v>
      </c>
      <c r="V86" s="6" t="s">
        <v>158</v>
      </c>
      <c r="W86" s="6" t="s">
        <v>160</v>
      </c>
      <c r="X86" s="6" t="s">
        <v>822</v>
      </c>
      <c r="Y86" s="8" t="s">
        <v>2819</v>
      </c>
      <c r="Z86" s="8" t="s">
        <v>2808</v>
      </c>
      <c r="AA86" s="8" t="s">
        <v>2820</v>
      </c>
      <c r="AB86" s="6">
        <v>40108</v>
      </c>
      <c r="AC86" s="6">
        <v>40179</v>
      </c>
      <c r="AE86" s="6" t="s">
        <v>177</v>
      </c>
      <c r="AF86" s="6" t="s">
        <v>178</v>
      </c>
      <c r="AG86" s="6" t="s">
        <v>180</v>
      </c>
      <c r="AH86" s="6" t="s">
        <v>244</v>
      </c>
      <c r="AI86" s="6" t="s">
        <v>182</v>
      </c>
      <c r="AJ86" s="6" t="s">
        <v>244</v>
      </c>
      <c r="AK86" s="6" t="s">
        <v>244</v>
      </c>
      <c r="AL86" s="6" t="s">
        <v>178</v>
      </c>
      <c r="AM86" s="6" t="s">
        <v>244</v>
      </c>
      <c r="AN86" s="6" t="s">
        <v>247</v>
      </c>
      <c r="AO86" s="6" t="s">
        <v>244</v>
      </c>
      <c r="AP86" s="6" t="s">
        <v>247</v>
      </c>
      <c r="AQ86" s="6" t="s">
        <v>288</v>
      </c>
      <c r="AR86" s="6" t="s">
        <v>185</v>
      </c>
      <c r="AS86" s="6" t="s">
        <v>244</v>
      </c>
      <c r="AT86" s="6" t="s">
        <v>244</v>
      </c>
      <c r="AU86" s="6" t="s">
        <v>288</v>
      </c>
      <c r="AV86" s="6" t="s">
        <v>339</v>
      </c>
      <c r="AW86" s="6" t="s">
        <v>341</v>
      </c>
      <c r="AX86" s="6" t="s">
        <v>247</v>
      </c>
    </row>
    <row r="87" spans="1:50">
      <c r="A87" s="6">
        <v>114</v>
      </c>
      <c r="B87" s="5" t="s">
        <v>2821</v>
      </c>
      <c r="C87" s="6">
        <v>3</v>
      </c>
      <c r="D87" s="6" t="s">
        <v>98</v>
      </c>
      <c r="E87" s="6">
        <v>1</v>
      </c>
      <c r="F87" s="6" t="s">
        <v>823</v>
      </c>
      <c r="G87" s="6">
        <v>41988.923252314817</v>
      </c>
      <c r="H87" s="6">
        <v>41988.923252314817</v>
      </c>
      <c r="I87" s="6">
        <v>41988.923252314817</v>
      </c>
      <c r="J87" s="6" t="s">
        <v>103</v>
      </c>
      <c r="K87" s="6" t="s">
        <v>105</v>
      </c>
      <c r="L87" s="6" t="s">
        <v>824</v>
      </c>
      <c r="M87" s="6" t="s">
        <v>374</v>
      </c>
      <c r="N87" s="6" t="s">
        <v>825</v>
      </c>
      <c r="P87" s="6" t="s">
        <v>215</v>
      </c>
      <c r="Q87" s="6">
        <v>246</v>
      </c>
      <c r="R87" s="6" t="s">
        <v>151</v>
      </c>
      <c r="S87" s="7">
        <v>246</v>
      </c>
      <c r="T87" s="7" t="s">
        <v>123</v>
      </c>
      <c r="U87" s="6" t="s">
        <v>125</v>
      </c>
      <c r="V87" s="6" t="s">
        <v>158</v>
      </c>
      <c r="W87" s="6" t="s">
        <v>160</v>
      </c>
      <c r="X87" s="6" t="s">
        <v>824</v>
      </c>
      <c r="Y87" s="8" t="s">
        <v>2822</v>
      </c>
      <c r="Z87" s="8" t="s">
        <v>2808</v>
      </c>
      <c r="AA87" s="8" t="s">
        <v>2809</v>
      </c>
      <c r="AB87" s="6">
        <v>40108</v>
      </c>
      <c r="AC87" s="6">
        <v>40179</v>
      </c>
      <c r="AE87" s="6" t="s">
        <v>177</v>
      </c>
      <c r="AF87" s="6" t="s">
        <v>178</v>
      </c>
      <c r="AG87" s="6" t="s">
        <v>180</v>
      </c>
      <c r="AH87" s="6" t="s">
        <v>244</v>
      </c>
      <c r="AI87" s="6" t="s">
        <v>182</v>
      </c>
      <c r="AJ87" s="6" t="s">
        <v>244</v>
      </c>
      <c r="AK87" s="6" t="s">
        <v>244</v>
      </c>
      <c r="AL87" s="6" t="s">
        <v>178</v>
      </c>
      <c r="AM87" s="6" t="s">
        <v>244</v>
      </c>
      <c r="AN87" s="6" t="s">
        <v>247</v>
      </c>
      <c r="AO87" s="6" t="s">
        <v>244</v>
      </c>
      <c r="AP87" s="6" t="s">
        <v>247</v>
      </c>
      <c r="AQ87" s="6" t="s">
        <v>288</v>
      </c>
      <c r="AR87" s="6" t="s">
        <v>185</v>
      </c>
      <c r="AS87" s="6" t="s">
        <v>244</v>
      </c>
      <c r="AT87" s="6" t="s">
        <v>244</v>
      </c>
      <c r="AU87" s="6" t="s">
        <v>288</v>
      </c>
      <c r="AV87" s="6" t="s">
        <v>339</v>
      </c>
      <c r="AW87" s="6" t="s">
        <v>341</v>
      </c>
      <c r="AX87" s="6" t="s">
        <v>247</v>
      </c>
    </row>
    <row r="88" spans="1:50">
      <c r="A88" s="6">
        <v>115</v>
      </c>
      <c r="B88" s="5" t="s">
        <v>2823</v>
      </c>
      <c r="C88" s="6">
        <v>3</v>
      </c>
      <c r="D88" s="6" t="s">
        <v>98</v>
      </c>
      <c r="E88" s="6">
        <v>1</v>
      </c>
      <c r="F88" s="6" t="s">
        <v>826</v>
      </c>
      <c r="G88" s="6">
        <v>41988.923252314817</v>
      </c>
      <c r="H88" s="6">
        <v>41988.923252314817</v>
      </c>
      <c r="I88" s="6">
        <v>41988.923252314817</v>
      </c>
      <c r="J88" s="6" t="s">
        <v>103</v>
      </c>
      <c r="K88" s="6" t="s">
        <v>105</v>
      </c>
      <c r="L88" s="6" t="s">
        <v>827</v>
      </c>
      <c r="M88" s="6" t="s">
        <v>374</v>
      </c>
      <c r="N88" s="6" t="s">
        <v>815</v>
      </c>
      <c r="O88" s="6" t="s">
        <v>828</v>
      </c>
      <c r="P88" s="6" t="s">
        <v>215</v>
      </c>
      <c r="Q88" s="6">
        <v>246</v>
      </c>
      <c r="R88" s="6" t="s">
        <v>151</v>
      </c>
      <c r="S88" s="7">
        <v>246</v>
      </c>
      <c r="T88" s="7" t="s">
        <v>123</v>
      </c>
      <c r="U88" s="6" t="s">
        <v>125</v>
      </c>
      <c r="V88" s="6" t="s">
        <v>158</v>
      </c>
      <c r="W88" s="6" t="s">
        <v>160</v>
      </c>
      <c r="X88" s="6" t="s">
        <v>827</v>
      </c>
      <c r="Y88" s="8" t="s">
        <v>2824</v>
      </c>
      <c r="Z88" s="8" t="s">
        <v>2808</v>
      </c>
      <c r="AA88" s="8" t="s">
        <v>2820</v>
      </c>
      <c r="AB88" s="6">
        <v>40108</v>
      </c>
      <c r="AC88" s="6">
        <v>40179</v>
      </c>
      <c r="AE88" s="6" t="s">
        <v>177</v>
      </c>
      <c r="AF88" s="6" t="s">
        <v>178</v>
      </c>
      <c r="AG88" s="6" t="s">
        <v>180</v>
      </c>
      <c r="AH88" s="6" t="s">
        <v>244</v>
      </c>
      <c r="AI88" s="6" t="s">
        <v>182</v>
      </c>
      <c r="AJ88" s="6" t="s">
        <v>244</v>
      </c>
      <c r="AK88" s="6" t="s">
        <v>244</v>
      </c>
      <c r="AL88" s="6" t="s">
        <v>178</v>
      </c>
      <c r="AM88" s="6" t="s">
        <v>244</v>
      </c>
      <c r="AN88" s="6" t="s">
        <v>247</v>
      </c>
      <c r="AO88" s="6" t="s">
        <v>244</v>
      </c>
      <c r="AP88" s="6" t="s">
        <v>247</v>
      </c>
      <c r="AQ88" s="6" t="s">
        <v>288</v>
      </c>
      <c r="AR88" s="6" t="s">
        <v>185</v>
      </c>
      <c r="AS88" s="6" t="s">
        <v>244</v>
      </c>
      <c r="AT88" s="6" t="s">
        <v>244</v>
      </c>
      <c r="AU88" s="6" t="s">
        <v>288</v>
      </c>
      <c r="AV88" s="6" t="s">
        <v>339</v>
      </c>
      <c r="AW88" s="6" t="s">
        <v>341</v>
      </c>
      <c r="AX88" s="6" t="s">
        <v>247</v>
      </c>
    </row>
    <row r="89" spans="1:50">
      <c r="A89" s="6">
        <v>116</v>
      </c>
      <c r="B89" s="5" t="s">
        <v>2825</v>
      </c>
      <c r="C89" s="6">
        <v>3</v>
      </c>
      <c r="D89" s="6" t="s">
        <v>98</v>
      </c>
      <c r="E89" s="6">
        <v>1</v>
      </c>
      <c r="F89" s="6" t="s">
        <v>829</v>
      </c>
      <c r="G89" s="6">
        <v>41988.923252314817</v>
      </c>
      <c r="H89" s="6">
        <v>41988.923263888886</v>
      </c>
      <c r="I89" s="6">
        <v>41988.923252314817</v>
      </c>
      <c r="J89" s="6" t="s">
        <v>103</v>
      </c>
      <c r="K89" s="6" t="s">
        <v>105</v>
      </c>
      <c r="L89" s="6" t="s">
        <v>830</v>
      </c>
      <c r="M89" s="6" t="s">
        <v>374</v>
      </c>
      <c r="N89" s="6" t="s">
        <v>815</v>
      </c>
      <c r="P89" s="6" t="s">
        <v>215</v>
      </c>
      <c r="Q89" s="6">
        <v>246</v>
      </c>
      <c r="R89" s="6" t="s">
        <v>151</v>
      </c>
      <c r="S89" s="7">
        <v>246</v>
      </c>
      <c r="T89" s="7" t="s">
        <v>123</v>
      </c>
      <c r="U89" s="6" t="s">
        <v>125</v>
      </c>
      <c r="V89" s="6" t="s">
        <v>158</v>
      </c>
      <c r="W89" s="6" t="s">
        <v>160</v>
      </c>
      <c r="X89" s="6" t="s">
        <v>830</v>
      </c>
      <c r="Y89" s="8" t="s">
        <v>2826</v>
      </c>
      <c r="Z89" s="8" t="s">
        <v>2808</v>
      </c>
      <c r="AA89" s="8" t="s">
        <v>2820</v>
      </c>
      <c r="AB89" s="6">
        <v>40108</v>
      </c>
      <c r="AC89" s="6">
        <v>40179</v>
      </c>
      <c r="AE89" s="6" t="s">
        <v>177</v>
      </c>
      <c r="AF89" s="6" t="s">
        <v>178</v>
      </c>
      <c r="AG89" s="6" t="s">
        <v>180</v>
      </c>
      <c r="AH89" s="6" t="s">
        <v>244</v>
      </c>
      <c r="AI89" s="6" t="s">
        <v>182</v>
      </c>
      <c r="AJ89" s="6" t="s">
        <v>244</v>
      </c>
      <c r="AK89" s="6" t="s">
        <v>244</v>
      </c>
      <c r="AL89" s="6" t="s">
        <v>178</v>
      </c>
      <c r="AM89" s="6" t="s">
        <v>244</v>
      </c>
      <c r="AN89" s="6" t="s">
        <v>247</v>
      </c>
      <c r="AO89" s="6" t="s">
        <v>244</v>
      </c>
      <c r="AP89" s="6" t="s">
        <v>247</v>
      </c>
      <c r="AQ89" s="6" t="s">
        <v>288</v>
      </c>
      <c r="AR89" s="6" t="s">
        <v>185</v>
      </c>
      <c r="AS89" s="6" t="s">
        <v>244</v>
      </c>
      <c r="AT89" s="6" t="s">
        <v>244</v>
      </c>
      <c r="AU89" s="6" t="s">
        <v>288</v>
      </c>
      <c r="AV89" s="6" t="s">
        <v>339</v>
      </c>
      <c r="AW89" s="6" t="s">
        <v>341</v>
      </c>
      <c r="AX89" s="6" t="s">
        <v>247</v>
      </c>
    </row>
    <row r="90" spans="1:50">
      <c r="A90" s="6">
        <v>117</v>
      </c>
      <c r="B90" s="5" t="s">
        <v>2827</v>
      </c>
      <c r="C90" s="6">
        <v>3</v>
      </c>
      <c r="D90" s="6" t="s">
        <v>98</v>
      </c>
      <c r="E90" s="6">
        <v>1</v>
      </c>
      <c r="F90" s="6" t="s">
        <v>831</v>
      </c>
      <c r="G90" s="6">
        <v>41988.923263888886</v>
      </c>
      <c r="H90" s="6">
        <v>41988.923263888886</v>
      </c>
      <c r="I90" s="6">
        <v>41988.923263888886</v>
      </c>
      <c r="J90" s="6" t="s">
        <v>103</v>
      </c>
      <c r="K90" s="6" t="s">
        <v>105</v>
      </c>
      <c r="L90" s="6" t="s">
        <v>832</v>
      </c>
      <c r="M90" s="6" t="s">
        <v>374</v>
      </c>
      <c r="N90" s="6" t="s">
        <v>815</v>
      </c>
      <c r="O90" s="6" t="s">
        <v>833</v>
      </c>
      <c r="P90" s="6" t="s">
        <v>215</v>
      </c>
      <c r="Q90" s="6">
        <v>246</v>
      </c>
      <c r="R90" s="6" t="s">
        <v>151</v>
      </c>
      <c r="S90" s="7">
        <v>246</v>
      </c>
      <c r="T90" s="7" t="s">
        <v>123</v>
      </c>
      <c r="U90" s="6" t="s">
        <v>125</v>
      </c>
      <c r="V90" s="6" t="s">
        <v>158</v>
      </c>
      <c r="W90" s="6" t="s">
        <v>160</v>
      </c>
      <c r="X90" s="6" t="s">
        <v>832</v>
      </c>
      <c r="Y90" s="8" t="s">
        <v>2828</v>
      </c>
      <c r="Z90" s="8" t="s">
        <v>2808</v>
      </c>
      <c r="AA90" s="8" t="s">
        <v>2820</v>
      </c>
      <c r="AB90" s="6">
        <v>40108</v>
      </c>
      <c r="AC90" s="6">
        <v>40179</v>
      </c>
      <c r="AE90" s="6" t="s">
        <v>177</v>
      </c>
      <c r="AF90" s="6" t="s">
        <v>178</v>
      </c>
      <c r="AG90" s="6" t="s">
        <v>180</v>
      </c>
      <c r="AH90" s="6" t="s">
        <v>244</v>
      </c>
      <c r="AI90" s="6" t="s">
        <v>182</v>
      </c>
      <c r="AJ90" s="6" t="s">
        <v>244</v>
      </c>
      <c r="AK90" s="6" t="s">
        <v>244</v>
      </c>
      <c r="AL90" s="6" t="s">
        <v>178</v>
      </c>
      <c r="AM90" s="6" t="s">
        <v>244</v>
      </c>
      <c r="AN90" s="6" t="s">
        <v>247</v>
      </c>
      <c r="AO90" s="6" t="s">
        <v>244</v>
      </c>
      <c r="AP90" s="6" t="s">
        <v>247</v>
      </c>
      <c r="AQ90" s="6" t="s">
        <v>288</v>
      </c>
      <c r="AR90" s="6" t="s">
        <v>185</v>
      </c>
      <c r="AS90" s="6" t="s">
        <v>244</v>
      </c>
      <c r="AT90" s="6" t="s">
        <v>244</v>
      </c>
      <c r="AU90" s="6" t="s">
        <v>288</v>
      </c>
      <c r="AV90" s="6" t="s">
        <v>339</v>
      </c>
      <c r="AW90" s="6" t="s">
        <v>341</v>
      </c>
      <c r="AX90" s="6" t="s">
        <v>247</v>
      </c>
    </row>
    <row r="91" spans="1:50">
      <c r="A91" s="6">
        <v>118</v>
      </c>
      <c r="B91" s="5" t="s">
        <v>2829</v>
      </c>
      <c r="C91" s="6">
        <v>3</v>
      </c>
      <c r="D91" s="6" t="s">
        <v>98</v>
      </c>
      <c r="E91" s="6">
        <v>1</v>
      </c>
      <c r="F91" s="6" t="s">
        <v>834</v>
      </c>
      <c r="G91" s="6">
        <v>41988.923263888886</v>
      </c>
      <c r="H91" s="6">
        <v>41988.923263888886</v>
      </c>
      <c r="I91" s="6">
        <v>41988.923263888886</v>
      </c>
      <c r="J91" s="6" t="s">
        <v>103</v>
      </c>
      <c r="K91" s="6" t="s">
        <v>105</v>
      </c>
      <c r="L91" s="6" t="s">
        <v>835</v>
      </c>
      <c r="M91" s="6" t="s">
        <v>374</v>
      </c>
      <c r="N91" s="6" t="s">
        <v>815</v>
      </c>
      <c r="P91" s="6" t="s">
        <v>215</v>
      </c>
      <c r="Q91" s="6">
        <v>246</v>
      </c>
      <c r="R91" s="6" t="s">
        <v>151</v>
      </c>
      <c r="S91" s="7">
        <v>246</v>
      </c>
      <c r="T91" s="7" t="s">
        <v>123</v>
      </c>
      <c r="U91" s="6" t="s">
        <v>125</v>
      </c>
      <c r="V91" s="6" t="s">
        <v>158</v>
      </c>
      <c r="W91" s="6" t="s">
        <v>160</v>
      </c>
      <c r="X91" s="6" t="s">
        <v>835</v>
      </c>
      <c r="Y91" s="8" t="s">
        <v>2830</v>
      </c>
      <c r="Z91" s="8" t="s">
        <v>2808</v>
      </c>
      <c r="AA91" s="8" t="s">
        <v>2820</v>
      </c>
      <c r="AB91" s="6">
        <v>40108</v>
      </c>
      <c r="AC91" s="6">
        <v>40179</v>
      </c>
      <c r="AE91" s="6" t="s">
        <v>177</v>
      </c>
      <c r="AF91" s="6" t="s">
        <v>178</v>
      </c>
      <c r="AG91" s="6" t="s">
        <v>180</v>
      </c>
      <c r="AH91" s="6" t="s">
        <v>244</v>
      </c>
      <c r="AI91" s="6" t="s">
        <v>182</v>
      </c>
      <c r="AJ91" s="6" t="s">
        <v>244</v>
      </c>
      <c r="AK91" s="6" t="s">
        <v>244</v>
      </c>
      <c r="AL91" s="6" t="s">
        <v>178</v>
      </c>
      <c r="AM91" s="6" t="s">
        <v>244</v>
      </c>
      <c r="AN91" s="6" t="s">
        <v>247</v>
      </c>
      <c r="AO91" s="6" t="s">
        <v>244</v>
      </c>
      <c r="AP91" s="6" t="s">
        <v>247</v>
      </c>
      <c r="AQ91" s="6" t="s">
        <v>288</v>
      </c>
      <c r="AR91" s="6" t="s">
        <v>185</v>
      </c>
      <c r="AS91" s="6" t="s">
        <v>244</v>
      </c>
      <c r="AT91" s="6" t="s">
        <v>244</v>
      </c>
      <c r="AU91" s="6" t="s">
        <v>288</v>
      </c>
      <c r="AV91" s="6" t="s">
        <v>339</v>
      </c>
      <c r="AW91" s="6" t="s">
        <v>341</v>
      </c>
      <c r="AX91" s="6" t="s">
        <v>247</v>
      </c>
    </row>
    <row r="92" spans="1:50">
      <c r="A92" s="6">
        <v>119</v>
      </c>
      <c r="B92" s="5" t="s">
        <v>2831</v>
      </c>
      <c r="C92" s="6">
        <v>3</v>
      </c>
      <c r="D92" s="6" t="s">
        <v>98</v>
      </c>
      <c r="E92" s="6">
        <v>1</v>
      </c>
      <c r="F92" s="6" t="s">
        <v>836</v>
      </c>
      <c r="G92" s="6">
        <v>41988.923263888886</v>
      </c>
      <c r="H92" s="6">
        <v>41988.923263888886</v>
      </c>
      <c r="I92" s="6">
        <v>41988.923263888886</v>
      </c>
      <c r="J92" s="6" t="s">
        <v>103</v>
      </c>
      <c r="K92" s="6" t="s">
        <v>105</v>
      </c>
      <c r="L92" s="6" t="s">
        <v>837</v>
      </c>
      <c r="M92" s="6" t="s">
        <v>374</v>
      </c>
      <c r="N92" s="6" t="s">
        <v>815</v>
      </c>
      <c r="O92" s="6" t="s">
        <v>838</v>
      </c>
      <c r="P92" s="6" t="s">
        <v>215</v>
      </c>
      <c r="Q92" s="6">
        <v>246</v>
      </c>
      <c r="R92" s="6" t="s">
        <v>151</v>
      </c>
      <c r="S92" s="7">
        <v>246</v>
      </c>
      <c r="T92" s="7" t="s">
        <v>123</v>
      </c>
      <c r="U92" s="6" t="s">
        <v>125</v>
      </c>
      <c r="V92" s="6" t="s">
        <v>158</v>
      </c>
      <c r="W92" s="6" t="s">
        <v>160</v>
      </c>
      <c r="X92" s="6" t="s">
        <v>837</v>
      </c>
      <c r="Y92" s="8" t="s">
        <v>2832</v>
      </c>
      <c r="Z92" s="8" t="s">
        <v>2808</v>
      </c>
      <c r="AA92" s="8" t="s">
        <v>2820</v>
      </c>
      <c r="AB92" s="6">
        <v>40108</v>
      </c>
      <c r="AC92" s="6">
        <v>40179</v>
      </c>
      <c r="AE92" s="6" t="s">
        <v>177</v>
      </c>
      <c r="AF92" s="6" t="s">
        <v>178</v>
      </c>
      <c r="AG92" s="6" t="s">
        <v>180</v>
      </c>
      <c r="AH92" s="6" t="s">
        <v>244</v>
      </c>
      <c r="AI92" s="6" t="s">
        <v>182</v>
      </c>
      <c r="AJ92" s="6" t="s">
        <v>244</v>
      </c>
      <c r="AK92" s="6" t="s">
        <v>244</v>
      </c>
      <c r="AL92" s="6" t="s">
        <v>178</v>
      </c>
      <c r="AM92" s="6" t="s">
        <v>244</v>
      </c>
      <c r="AN92" s="6" t="s">
        <v>247</v>
      </c>
      <c r="AO92" s="6" t="s">
        <v>244</v>
      </c>
      <c r="AP92" s="6" t="s">
        <v>247</v>
      </c>
      <c r="AQ92" s="6" t="s">
        <v>288</v>
      </c>
      <c r="AR92" s="6" t="s">
        <v>185</v>
      </c>
      <c r="AS92" s="6" t="s">
        <v>244</v>
      </c>
      <c r="AT92" s="6" t="s">
        <v>244</v>
      </c>
      <c r="AU92" s="6" t="s">
        <v>288</v>
      </c>
      <c r="AV92" s="6" t="s">
        <v>339</v>
      </c>
      <c r="AW92" s="6" t="s">
        <v>341</v>
      </c>
      <c r="AX92" s="6" t="s">
        <v>247</v>
      </c>
    </row>
    <row r="93" spans="1:50">
      <c r="A93" s="6">
        <v>120</v>
      </c>
      <c r="B93" s="5" t="s">
        <v>2833</v>
      </c>
      <c r="C93" s="6">
        <v>3</v>
      </c>
      <c r="D93" s="6" t="s">
        <v>98</v>
      </c>
      <c r="E93" s="6">
        <v>1</v>
      </c>
      <c r="F93" s="6" t="s">
        <v>842</v>
      </c>
      <c r="G93" s="6">
        <v>41988.923263888886</v>
      </c>
      <c r="H93" s="6">
        <v>41988.923263888886</v>
      </c>
      <c r="I93" s="6">
        <v>41988.923263888886</v>
      </c>
      <c r="J93" s="6" t="s">
        <v>103</v>
      </c>
      <c r="K93" s="6" t="s">
        <v>105</v>
      </c>
      <c r="L93" s="6" t="s">
        <v>843</v>
      </c>
      <c r="M93" s="6" t="s">
        <v>374</v>
      </c>
      <c r="N93" s="6" t="s">
        <v>815</v>
      </c>
      <c r="P93" s="6" t="s">
        <v>215</v>
      </c>
      <c r="Q93" s="6">
        <v>246</v>
      </c>
      <c r="R93" s="6" t="s">
        <v>151</v>
      </c>
      <c r="S93" s="7">
        <v>246</v>
      </c>
      <c r="T93" s="7" t="s">
        <v>123</v>
      </c>
      <c r="U93" s="6" t="s">
        <v>125</v>
      </c>
      <c r="V93" s="6" t="s">
        <v>158</v>
      </c>
      <c r="W93" s="6" t="s">
        <v>160</v>
      </c>
      <c r="X93" s="6" t="s">
        <v>843</v>
      </c>
      <c r="Y93" s="8" t="s">
        <v>2834</v>
      </c>
      <c r="Z93" s="8" t="s">
        <v>2808</v>
      </c>
      <c r="AA93" s="8" t="s">
        <v>2820</v>
      </c>
      <c r="AB93" s="6">
        <v>40108</v>
      </c>
      <c r="AC93" s="6">
        <v>40179</v>
      </c>
      <c r="AE93" s="6" t="s">
        <v>177</v>
      </c>
      <c r="AF93" s="6" t="s">
        <v>178</v>
      </c>
      <c r="AG93" s="6" t="s">
        <v>180</v>
      </c>
      <c r="AH93" s="6" t="s">
        <v>244</v>
      </c>
      <c r="AI93" s="6" t="s">
        <v>182</v>
      </c>
      <c r="AJ93" s="6" t="s">
        <v>244</v>
      </c>
      <c r="AK93" s="6" t="s">
        <v>244</v>
      </c>
      <c r="AL93" s="6" t="s">
        <v>178</v>
      </c>
      <c r="AM93" s="6" t="s">
        <v>244</v>
      </c>
      <c r="AN93" s="6" t="s">
        <v>247</v>
      </c>
      <c r="AO93" s="6" t="s">
        <v>244</v>
      </c>
      <c r="AP93" s="6" t="s">
        <v>247</v>
      </c>
      <c r="AQ93" s="6" t="s">
        <v>288</v>
      </c>
      <c r="AR93" s="6" t="s">
        <v>185</v>
      </c>
      <c r="AS93" s="6" t="s">
        <v>244</v>
      </c>
      <c r="AT93" s="6" t="s">
        <v>244</v>
      </c>
      <c r="AU93" s="6" t="s">
        <v>288</v>
      </c>
      <c r="AV93" s="6" t="s">
        <v>339</v>
      </c>
      <c r="AW93" s="6" t="s">
        <v>341</v>
      </c>
      <c r="AX93" s="6" t="s">
        <v>247</v>
      </c>
    </row>
    <row r="94" spans="1:50">
      <c r="A94" s="6">
        <v>121</v>
      </c>
      <c r="B94" s="5" t="s">
        <v>2835</v>
      </c>
      <c r="C94" s="6">
        <v>3</v>
      </c>
      <c r="D94" s="6" t="s">
        <v>98</v>
      </c>
      <c r="E94" s="6">
        <v>1</v>
      </c>
      <c r="F94" s="6" t="s">
        <v>844</v>
      </c>
      <c r="G94" s="6">
        <v>41988.923263888886</v>
      </c>
      <c r="H94" s="6">
        <v>41988.923263888886</v>
      </c>
      <c r="I94" s="6">
        <v>41988.923263888886</v>
      </c>
      <c r="J94" s="6" t="s">
        <v>103</v>
      </c>
      <c r="K94" s="6" t="s">
        <v>105</v>
      </c>
      <c r="L94" s="6" t="s">
        <v>845</v>
      </c>
      <c r="M94" s="6" t="s">
        <v>374</v>
      </c>
      <c r="N94" s="6" t="s">
        <v>815</v>
      </c>
      <c r="O94" s="6" t="s">
        <v>846</v>
      </c>
      <c r="P94" s="6" t="s">
        <v>215</v>
      </c>
      <c r="Q94" s="6">
        <v>246</v>
      </c>
      <c r="R94" s="6" t="s">
        <v>151</v>
      </c>
      <c r="S94" s="7">
        <v>246</v>
      </c>
      <c r="T94" s="7" t="s">
        <v>123</v>
      </c>
      <c r="U94" s="6" t="s">
        <v>125</v>
      </c>
      <c r="V94" s="6" t="s">
        <v>158</v>
      </c>
      <c r="W94" s="6" t="s">
        <v>160</v>
      </c>
      <c r="X94" s="6" t="s">
        <v>845</v>
      </c>
      <c r="Y94" s="8" t="s">
        <v>2836</v>
      </c>
      <c r="Z94" s="8" t="s">
        <v>2808</v>
      </c>
      <c r="AA94" s="8" t="s">
        <v>2820</v>
      </c>
      <c r="AB94" s="6">
        <v>40108</v>
      </c>
      <c r="AC94" s="6">
        <v>40179</v>
      </c>
      <c r="AE94" s="6" t="s">
        <v>177</v>
      </c>
      <c r="AF94" s="6" t="s">
        <v>178</v>
      </c>
      <c r="AG94" s="6" t="s">
        <v>180</v>
      </c>
      <c r="AH94" s="6" t="s">
        <v>244</v>
      </c>
      <c r="AI94" s="6" t="s">
        <v>182</v>
      </c>
      <c r="AJ94" s="6" t="s">
        <v>244</v>
      </c>
      <c r="AK94" s="6" t="s">
        <v>244</v>
      </c>
      <c r="AL94" s="6" t="s">
        <v>178</v>
      </c>
      <c r="AM94" s="6" t="s">
        <v>244</v>
      </c>
      <c r="AN94" s="6" t="s">
        <v>247</v>
      </c>
      <c r="AO94" s="6" t="s">
        <v>244</v>
      </c>
      <c r="AP94" s="6" t="s">
        <v>247</v>
      </c>
      <c r="AQ94" s="6" t="s">
        <v>288</v>
      </c>
      <c r="AR94" s="6" t="s">
        <v>185</v>
      </c>
      <c r="AS94" s="6" t="s">
        <v>244</v>
      </c>
      <c r="AT94" s="6" t="s">
        <v>244</v>
      </c>
      <c r="AU94" s="6" t="s">
        <v>288</v>
      </c>
      <c r="AV94" s="6" t="s">
        <v>339</v>
      </c>
      <c r="AW94" s="6" t="s">
        <v>341</v>
      </c>
      <c r="AX94" s="6" t="s">
        <v>247</v>
      </c>
    </row>
    <row r="95" spans="1:50">
      <c r="A95" s="6">
        <v>122</v>
      </c>
      <c r="B95" s="5" t="s">
        <v>2837</v>
      </c>
      <c r="C95" s="6">
        <v>3</v>
      </c>
      <c r="D95" s="6" t="s">
        <v>98</v>
      </c>
      <c r="E95" s="6">
        <v>1</v>
      </c>
      <c r="F95" s="6" t="s">
        <v>847</v>
      </c>
      <c r="G95" s="6">
        <v>41988.923263888886</v>
      </c>
      <c r="H95" s="6">
        <v>41988.923263888886</v>
      </c>
      <c r="I95" s="6">
        <v>41988.923263888886</v>
      </c>
      <c r="J95" s="6" t="s">
        <v>103</v>
      </c>
      <c r="K95" s="6" t="s">
        <v>105</v>
      </c>
      <c r="L95" s="6" t="s">
        <v>848</v>
      </c>
      <c r="M95" s="6" t="s">
        <v>374</v>
      </c>
      <c r="N95" s="6" t="s">
        <v>815</v>
      </c>
      <c r="O95" s="6" t="s">
        <v>849</v>
      </c>
      <c r="P95" s="6" t="s">
        <v>215</v>
      </c>
      <c r="Q95" s="6">
        <v>246</v>
      </c>
      <c r="R95" s="6" t="s">
        <v>151</v>
      </c>
      <c r="S95" s="7">
        <v>246</v>
      </c>
      <c r="T95" s="7" t="s">
        <v>123</v>
      </c>
      <c r="U95" s="6" t="s">
        <v>125</v>
      </c>
      <c r="V95" s="6" t="s">
        <v>158</v>
      </c>
      <c r="W95" s="6" t="s">
        <v>160</v>
      </c>
      <c r="X95" s="6" t="s">
        <v>848</v>
      </c>
      <c r="Y95" s="8" t="s">
        <v>2838</v>
      </c>
      <c r="Z95" s="8" t="s">
        <v>2808</v>
      </c>
      <c r="AA95" s="8" t="s">
        <v>2820</v>
      </c>
      <c r="AB95" s="6">
        <v>40108</v>
      </c>
      <c r="AC95" s="6">
        <v>40179</v>
      </c>
      <c r="AE95" s="6" t="s">
        <v>177</v>
      </c>
      <c r="AF95" s="6" t="s">
        <v>178</v>
      </c>
      <c r="AG95" s="6" t="s">
        <v>180</v>
      </c>
      <c r="AH95" s="6" t="s">
        <v>244</v>
      </c>
      <c r="AI95" s="6" t="s">
        <v>182</v>
      </c>
      <c r="AJ95" s="6" t="s">
        <v>244</v>
      </c>
      <c r="AK95" s="6" t="s">
        <v>244</v>
      </c>
      <c r="AL95" s="6" t="s">
        <v>178</v>
      </c>
      <c r="AM95" s="6" t="s">
        <v>244</v>
      </c>
      <c r="AN95" s="6" t="s">
        <v>247</v>
      </c>
      <c r="AO95" s="6" t="s">
        <v>244</v>
      </c>
      <c r="AP95" s="6" t="s">
        <v>247</v>
      </c>
      <c r="AQ95" s="6" t="s">
        <v>288</v>
      </c>
      <c r="AR95" s="6" t="s">
        <v>185</v>
      </c>
      <c r="AS95" s="6" t="s">
        <v>244</v>
      </c>
      <c r="AT95" s="6" t="s">
        <v>244</v>
      </c>
      <c r="AU95" s="6" t="s">
        <v>288</v>
      </c>
      <c r="AV95" s="6" t="s">
        <v>339</v>
      </c>
      <c r="AW95" s="6" t="s">
        <v>341</v>
      </c>
      <c r="AX95" s="6" t="s">
        <v>247</v>
      </c>
    </row>
    <row r="96" spans="1:50">
      <c r="A96" s="6">
        <v>123</v>
      </c>
      <c r="B96" s="5" t="s">
        <v>2839</v>
      </c>
      <c r="C96" s="6">
        <v>3</v>
      </c>
      <c r="D96" s="6" t="s">
        <v>98</v>
      </c>
      <c r="E96" s="6">
        <v>1</v>
      </c>
      <c r="F96" s="6" t="s">
        <v>850</v>
      </c>
      <c r="G96" s="6">
        <v>41988.923263888886</v>
      </c>
      <c r="H96" s="6">
        <v>41988.923263888886</v>
      </c>
      <c r="I96" s="6">
        <v>41988.923263888886</v>
      </c>
      <c r="J96" s="6" t="s">
        <v>103</v>
      </c>
      <c r="K96" s="6" t="s">
        <v>105</v>
      </c>
      <c r="L96" s="6" t="s">
        <v>851</v>
      </c>
      <c r="M96" s="6" t="s">
        <v>374</v>
      </c>
      <c r="N96" s="6" t="s">
        <v>852</v>
      </c>
      <c r="O96" s="6" t="s">
        <v>853</v>
      </c>
      <c r="P96" s="6" t="s">
        <v>215</v>
      </c>
      <c r="Q96" s="6">
        <v>246</v>
      </c>
      <c r="R96" s="6" t="s">
        <v>151</v>
      </c>
      <c r="S96" s="7">
        <v>246</v>
      </c>
      <c r="T96" s="7" t="s">
        <v>123</v>
      </c>
      <c r="U96" s="6" t="s">
        <v>125</v>
      </c>
      <c r="V96" s="6" t="s">
        <v>158</v>
      </c>
      <c r="W96" s="6" t="s">
        <v>160</v>
      </c>
      <c r="X96" s="6" t="s">
        <v>851</v>
      </c>
      <c r="Y96" s="8" t="s">
        <v>2840</v>
      </c>
      <c r="Z96" s="8" t="s">
        <v>2808</v>
      </c>
      <c r="AA96" s="8" t="s">
        <v>2820</v>
      </c>
      <c r="AB96" s="6">
        <v>40108</v>
      </c>
      <c r="AC96" s="6">
        <v>40179</v>
      </c>
      <c r="AE96" s="6" t="s">
        <v>177</v>
      </c>
      <c r="AF96" s="6" t="s">
        <v>178</v>
      </c>
      <c r="AG96" s="6" t="s">
        <v>180</v>
      </c>
      <c r="AH96" s="6" t="s">
        <v>244</v>
      </c>
      <c r="AI96" s="6" t="s">
        <v>182</v>
      </c>
      <c r="AJ96" s="6" t="s">
        <v>244</v>
      </c>
      <c r="AK96" s="6" t="s">
        <v>244</v>
      </c>
      <c r="AL96" s="6" t="s">
        <v>178</v>
      </c>
      <c r="AM96" s="6" t="s">
        <v>244</v>
      </c>
      <c r="AN96" s="6" t="s">
        <v>247</v>
      </c>
      <c r="AO96" s="6" t="s">
        <v>244</v>
      </c>
      <c r="AP96" s="6" t="s">
        <v>247</v>
      </c>
      <c r="AQ96" s="6" t="s">
        <v>288</v>
      </c>
      <c r="AR96" s="6" t="s">
        <v>185</v>
      </c>
      <c r="AS96" s="6" t="s">
        <v>244</v>
      </c>
      <c r="AT96" s="6" t="s">
        <v>244</v>
      </c>
      <c r="AU96" s="6" t="s">
        <v>288</v>
      </c>
      <c r="AV96" s="6" t="s">
        <v>339</v>
      </c>
      <c r="AW96" s="6" t="s">
        <v>341</v>
      </c>
      <c r="AX96" s="6" t="s">
        <v>247</v>
      </c>
    </row>
    <row r="97" spans="1:50">
      <c r="A97" s="6">
        <v>124</v>
      </c>
      <c r="B97" s="5" t="s">
        <v>2841</v>
      </c>
      <c r="C97" s="6">
        <v>3</v>
      </c>
      <c r="D97" s="6" t="s">
        <v>98</v>
      </c>
      <c r="E97" s="6">
        <v>1</v>
      </c>
      <c r="F97" s="6" t="s">
        <v>854</v>
      </c>
      <c r="G97" s="6">
        <v>41988.923263888886</v>
      </c>
      <c r="H97" s="6">
        <v>41988.923263888886</v>
      </c>
      <c r="I97" s="6">
        <v>41988.923263888886</v>
      </c>
      <c r="J97" s="6" t="s">
        <v>103</v>
      </c>
      <c r="K97" s="6" t="s">
        <v>105</v>
      </c>
      <c r="L97" s="6" t="s">
        <v>855</v>
      </c>
      <c r="M97" s="6" t="s">
        <v>374</v>
      </c>
      <c r="N97" s="6" t="s">
        <v>815</v>
      </c>
      <c r="O97" s="6" t="s">
        <v>856</v>
      </c>
      <c r="P97" s="6" t="s">
        <v>215</v>
      </c>
      <c r="Q97" s="6">
        <v>246</v>
      </c>
      <c r="R97" s="6" t="s">
        <v>151</v>
      </c>
      <c r="S97" s="7">
        <v>246</v>
      </c>
      <c r="T97" s="7" t="s">
        <v>123</v>
      </c>
      <c r="U97" s="6" t="s">
        <v>125</v>
      </c>
      <c r="V97" s="6" t="s">
        <v>158</v>
      </c>
      <c r="W97" s="6" t="s">
        <v>160</v>
      </c>
      <c r="X97" s="6" t="s">
        <v>855</v>
      </c>
      <c r="Y97" s="8" t="s">
        <v>2842</v>
      </c>
      <c r="Z97" s="8" t="s">
        <v>2808</v>
      </c>
      <c r="AA97" s="8" t="s">
        <v>2820</v>
      </c>
      <c r="AB97" s="6">
        <v>40108</v>
      </c>
      <c r="AC97" s="6">
        <v>40179</v>
      </c>
      <c r="AE97" s="6" t="s">
        <v>177</v>
      </c>
      <c r="AF97" s="6" t="s">
        <v>178</v>
      </c>
      <c r="AG97" s="6" t="s">
        <v>180</v>
      </c>
      <c r="AH97" s="6" t="s">
        <v>244</v>
      </c>
      <c r="AI97" s="6" t="s">
        <v>182</v>
      </c>
      <c r="AJ97" s="6" t="s">
        <v>244</v>
      </c>
      <c r="AK97" s="6" t="s">
        <v>244</v>
      </c>
      <c r="AL97" s="6" t="s">
        <v>178</v>
      </c>
      <c r="AM97" s="6" t="s">
        <v>244</v>
      </c>
      <c r="AN97" s="6" t="s">
        <v>247</v>
      </c>
      <c r="AO97" s="6" t="s">
        <v>244</v>
      </c>
      <c r="AP97" s="6" t="s">
        <v>247</v>
      </c>
      <c r="AQ97" s="6" t="s">
        <v>288</v>
      </c>
      <c r="AR97" s="6" t="s">
        <v>185</v>
      </c>
      <c r="AS97" s="6" t="s">
        <v>244</v>
      </c>
      <c r="AT97" s="6" t="s">
        <v>244</v>
      </c>
      <c r="AU97" s="6" t="s">
        <v>288</v>
      </c>
      <c r="AV97" s="6" t="s">
        <v>339</v>
      </c>
      <c r="AW97" s="6" t="s">
        <v>341</v>
      </c>
      <c r="AX97" s="6" t="s">
        <v>247</v>
      </c>
    </row>
    <row r="98" spans="1:50">
      <c r="A98" s="6">
        <v>127</v>
      </c>
      <c r="B98" s="5" t="s">
        <v>2843</v>
      </c>
      <c r="C98" s="6">
        <v>3</v>
      </c>
      <c r="D98" s="6" t="s">
        <v>98</v>
      </c>
      <c r="E98" s="6">
        <v>1</v>
      </c>
      <c r="F98" s="6" t="s">
        <v>857</v>
      </c>
      <c r="G98" s="6">
        <v>41988.923275462963</v>
      </c>
      <c r="H98" s="6">
        <v>41988.923275462963</v>
      </c>
      <c r="I98" s="6">
        <v>41988.923275462963</v>
      </c>
      <c r="J98" s="6" t="s">
        <v>103</v>
      </c>
      <c r="K98" s="6" t="s">
        <v>105</v>
      </c>
      <c r="L98" s="6" t="s">
        <v>858</v>
      </c>
      <c r="M98" s="6" t="s">
        <v>374</v>
      </c>
      <c r="N98" s="6" t="s">
        <v>815</v>
      </c>
      <c r="O98" s="6" t="s">
        <v>859</v>
      </c>
      <c r="P98" s="6" t="s">
        <v>215</v>
      </c>
      <c r="Q98" s="6">
        <v>246</v>
      </c>
      <c r="R98" s="6" t="s">
        <v>151</v>
      </c>
      <c r="S98" s="7">
        <v>246</v>
      </c>
      <c r="T98" s="7" t="s">
        <v>123</v>
      </c>
      <c r="U98" s="6" t="s">
        <v>125</v>
      </c>
      <c r="V98" s="6" t="s">
        <v>158</v>
      </c>
      <c r="W98" s="6" t="s">
        <v>160</v>
      </c>
      <c r="X98" s="6" t="s">
        <v>858</v>
      </c>
      <c r="Y98" s="8" t="s">
        <v>2844</v>
      </c>
      <c r="Z98" s="8" t="s">
        <v>2808</v>
      </c>
      <c r="AA98" s="8" t="s">
        <v>2820</v>
      </c>
      <c r="AB98" s="6">
        <v>40108</v>
      </c>
      <c r="AC98" s="6">
        <v>40179</v>
      </c>
      <c r="AE98" s="6" t="s">
        <v>177</v>
      </c>
      <c r="AF98" s="6" t="s">
        <v>178</v>
      </c>
      <c r="AG98" s="6" t="s">
        <v>180</v>
      </c>
      <c r="AH98" s="6" t="s">
        <v>244</v>
      </c>
      <c r="AI98" s="6" t="s">
        <v>182</v>
      </c>
      <c r="AJ98" s="6" t="s">
        <v>244</v>
      </c>
      <c r="AK98" s="6" t="s">
        <v>244</v>
      </c>
      <c r="AL98" s="6" t="s">
        <v>178</v>
      </c>
      <c r="AM98" s="6" t="s">
        <v>244</v>
      </c>
      <c r="AN98" s="6" t="s">
        <v>247</v>
      </c>
      <c r="AO98" s="6" t="s">
        <v>244</v>
      </c>
      <c r="AP98" s="6" t="s">
        <v>247</v>
      </c>
      <c r="AQ98" s="6" t="s">
        <v>288</v>
      </c>
      <c r="AR98" s="6" t="s">
        <v>185</v>
      </c>
      <c r="AS98" s="6" t="s">
        <v>244</v>
      </c>
      <c r="AT98" s="6" t="s">
        <v>244</v>
      </c>
      <c r="AU98" s="6" t="s">
        <v>288</v>
      </c>
      <c r="AV98" s="6" t="s">
        <v>339</v>
      </c>
      <c r="AW98" s="6" t="s">
        <v>341</v>
      </c>
      <c r="AX98" s="6" t="s">
        <v>247</v>
      </c>
    </row>
    <row r="99" spans="1:50">
      <c r="A99" s="6">
        <v>128</v>
      </c>
      <c r="B99" s="5" t="s">
        <v>2845</v>
      </c>
      <c r="C99" s="6">
        <v>3</v>
      </c>
      <c r="D99" s="6" t="s">
        <v>98</v>
      </c>
      <c r="E99" s="6">
        <v>1</v>
      </c>
      <c r="F99" s="6" t="s">
        <v>860</v>
      </c>
      <c r="G99" s="6">
        <v>41988.923275462963</v>
      </c>
      <c r="H99" s="6">
        <v>41988.923275462963</v>
      </c>
      <c r="I99" s="6">
        <v>41988.923275462963</v>
      </c>
      <c r="J99" s="6" t="s">
        <v>103</v>
      </c>
      <c r="K99" s="6" t="s">
        <v>105</v>
      </c>
      <c r="L99" s="6" t="s">
        <v>861</v>
      </c>
      <c r="M99" s="6" t="s">
        <v>374</v>
      </c>
      <c r="N99" s="6" t="s">
        <v>815</v>
      </c>
      <c r="P99" s="6" t="s">
        <v>215</v>
      </c>
      <c r="Q99" s="6">
        <v>246</v>
      </c>
      <c r="R99" s="6" t="s">
        <v>151</v>
      </c>
      <c r="S99" s="7">
        <v>246</v>
      </c>
      <c r="T99" s="7" t="s">
        <v>123</v>
      </c>
      <c r="U99" s="6" t="s">
        <v>125</v>
      </c>
      <c r="V99" s="6" t="s">
        <v>158</v>
      </c>
      <c r="W99" s="6" t="s">
        <v>160</v>
      </c>
      <c r="X99" s="6" t="s">
        <v>861</v>
      </c>
      <c r="Y99" s="8" t="s">
        <v>2846</v>
      </c>
      <c r="Z99" s="8" t="s">
        <v>2808</v>
      </c>
      <c r="AA99" s="8" t="s">
        <v>2820</v>
      </c>
      <c r="AB99" s="6">
        <v>40108</v>
      </c>
      <c r="AC99" s="6">
        <v>40179</v>
      </c>
      <c r="AE99" s="6" t="s">
        <v>177</v>
      </c>
      <c r="AF99" s="6" t="s">
        <v>178</v>
      </c>
      <c r="AG99" s="6" t="s">
        <v>180</v>
      </c>
      <c r="AH99" s="6" t="s">
        <v>244</v>
      </c>
      <c r="AI99" s="6" t="s">
        <v>182</v>
      </c>
      <c r="AJ99" s="6" t="s">
        <v>244</v>
      </c>
      <c r="AK99" s="6" t="s">
        <v>244</v>
      </c>
      <c r="AL99" s="6" t="s">
        <v>178</v>
      </c>
      <c r="AM99" s="6" t="s">
        <v>244</v>
      </c>
      <c r="AN99" s="6" t="s">
        <v>247</v>
      </c>
      <c r="AO99" s="6" t="s">
        <v>244</v>
      </c>
      <c r="AP99" s="6" t="s">
        <v>247</v>
      </c>
      <c r="AQ99" s="6" t="s">
        <v>288</v>
      </c>
      <c r="AR99" s="6" t="s">
        <v>185</v>
      </c>
      <c r="AS99" s="6" t="s">
        <v>244</v>
      </c>
      <c r="AT99" s="6" t="s">
        <v>244</v>
      </c>
      <c r="AU99" s="6" t="s">
        <v>288</v>
      </c>
      <c r="AV99" s="6" t="s">
        <v>339</v>
      </c>
      <c r="AW99" s="6" t="s">
        <v>341</v>
      </c>
      <c r="AX99" s="6" t="s">
        <v>247</v>
      </c>
    </row>
    <row r="100" spans="1:50">
      <c r="A100" s="6">
        <v>129</v>
      </c>
      <c r="B100" s="5" t="s">
        <v>2847</v>
      </c>
      <c r="C100" s="6">
        <v>3</v>
      </c>
      <c r="D100" s="6" t="s">
        <v>98</v>
      </c>
      <c r="E100" s="6">
        <v>1</v>
      </c>
      <c r="F100" s="6" t="s">
        <v>862</v>
      </c>
      <c r="G100" s="6">
        <v>41988.923275462963</v>
      </c>
      <c r="H100" s="6">
        <v>41988.923275462963</v>
      </c>
      <c r="I100" s="6">
        <v>41988.923275462963</v>
      </c>
      <c r="J100" s="6" t="s">
        <v>103</v>
      </c>
      <c r="K100" s="6" t="s">
        <v>105</v>
      </c>
      <c r="L100" s="6" t="s">
        <v>863</v>
      </c>
      <c r="M100" s="6" t="s">
        <v>374</v>
      </c>
      <c r="N100" s="6" t="s">
        <v>815</v>
      </c>
      <c r="P100" s="6" t="s">
        <v>215</v>
      </c>
      <c r="Q100" s="6">
        <v>246</v>
      </c>
      <c r="R100" s="6" t="s">
        <v>151</v>
      </c>
      <c r="S100" s="7">
        <v>246</v>
      </c>
      <c r="T100" s="7" t="s">
        <v>123</v>
      </c>
      <c r="U100" s="6" t="s">
        <v>125</v>
      </c>
      <c r="V100" s="6" t="s">
        <v>158</v>
      </c>
      <c r="W100" s="6" t="s">
        <v>160</v>
      </c>
      <c r="X100" s="6" t="s">
        <v>863</v>
      </c>
      <c r="Y100" s="8" t="s">
        <v>2848</v>
      </c>
      <c r="Z100" s="8" t="s">
        <v>2808</v>
      </c>
      <c r="AA100" s="8" t="s">
        <v>2820</v>
      </c>
      <c r="AB100" s="6">
        <v>40108</v>
      </c>
      <c r="AC100" s="6">
        <v>40179</v>
      </c>
      <c r="AE100" s="6" t="s">
        <v>177</v>
      </c>
      <c r="AF100" s="6" t="s">
        <v>178</v>
      </c>
      <c r="AG100" s="6" t="s">
        <v>180</v>
      </c>
      <c r="AH100" s="6" t="s">
        <v>244</v>
      </c>
      <c r="AI100" s="6" t="s">
        <v>182</v>
      </c>
      <c r="AJ100" s="6" t="s">
        <v>244</v>
      </c>
      <c r="AK100" s="6" t="s">
        <v>244</v>
      </c>
      <c r="AL100" s="6" t="s">
        <v>178</v>
      </c>
      <c r="AM100" s="6" t="s">
        <v>244</v>
      </c>
      <c r="AN100" s="6" t="s">
        <v>247</v>
      </c>
      <c r="AO100" s="6" t="s">
        <v>244</v>
      </c>
      <c r="AP100" s="6" t="s">
        <v>247</v>
      </c>
      <c r="AQ100" s="6" t="s">
        <v>288</v>
      </c>
      <c r="AR100" s="6" t="s">
        <v>185</v>
      </c>
      <c r="AS100" s="6" t="s">
        <v>244</v>
      </c>
      <c r="AT100" s="6" t="s">
        <v>244</v>
      </c>
      <c r="AU100" s="6" t="s">
        <v>288</v>
      </c>
      <c r="AV100" s="6" t="s">
        <v>339</v>
      </c>
      <c r="AW100" s="6" t="s">
        <v>341</v>
      </c>
      <c r="AX100" s="6" t="s">
        <v>247</v>
      </c>
    </row>
    <row r="101" spans="1:50">
      <c r="A101" s="6">
        <v>130</v>
      </c>
      <c r="B101" s="5" t="s">
        <v>2849</v>
      </c>
      <c r="C101" s="6">
        <v>3</v>
      </c>
      <c r="D101" s="6" t="s">
        <v>98</v>
      </c>
      <c r="E101" s="6">
        <v>1</v>
      </c>
      <c r="F101" s="6" t="s">
        <v>864</v>
      </c>
      <c r="G101" s="6">
        <v>41988.923275462963</v>
      </c>
      <c r="H101" s="6">
        <v>41988.923275462963</v>
      </c>
      <c r="I101" s="6">
        <v>41988.923275462963</v>
      </c>
      <c r="J101" s="6" t="s">
        <v>103</v>
      </c>
      <c r="K101" s="6" t="s">
        <v>105</v>
      </c>
      <c r="L101" s="6" t="s">
        <v>865</v>
      </c>
      <c r="M101" s="6" t="s">
        <v>374</v>
      </c>
      <c r="N101" s="6" t="s">
        <v>815</v>
      </c>
      <c r="O101" s="6" t="s">
        <v>866</v>
      </c>
      <c r="P101" s="6" t="s">
        <v>215</v>
      </c>
      <c r="Q101" s="6">
        <v>246</v>
      </c>
      <c r="R101" s="6" t="s">
        <v>151</v>
      </c>
      <c r="S101" s="7">
        <v>246</v>
      </c>
      <c r="T101" s="7" t="s">
        <v>123</v>
      </c>
      <c r="U101" s="6" t="s">
        <v>125</v>
      </c>
      <c r="V101" s="6" t="s">
        <v>158</v>
      </c>
      <c r="W101" s="6" t="s">
        <v>160</v>
      </c>
      <c r="X101" s="6" t="s">
        <v>865</v>
      </c>
      <c r="Y101" s="8" t="s">
        <v>2850</v>
      </c>
      <c r="Z101" s="8" t="s">
        <v>2808</v>
      </c>
      <c r="AA101" s="8" t="s">
        <v>2809</v>
      </c>
      <c r="AB101" s="6">
        <v>40108</v>
      </c>
      <c r="AC101" s="6">
        <v>40179</v>
      </c>
      <c r="AE101" s="6" t="s">
        <v>177</v>
      </c>
      <c r="AF101" s="6" t="s">
        <v>178</v>
      </c>
      <c r="AG101" s="6" t="s">
        <v>180</v>
      </c>
      <c r="AH101" s="6" t="s">
        <v>244</v>
      </c>
      <c r="AI101" s="6" t="s">
        <v>182</v>
      </c>
      <c r="AJ101" s="6" t="s">
        <v>244</v>
      </c>
      <c r="AK101" s="6" t="s">
        <v>244</v>
      </c>
      <c r="AL101" s="6" t="s">
        <v>178</v>
      </c>
      <c r="AM101" s="6" t="s">
        <v>244</v>
      </c>
      <c r="AN101" s="6" t="s">
        <v>247</v>
      </c>
      <c r="AO101" s="6" t="s">
        <v>244</v>
      </c>
      <c r="AP101" s="6" t="s">
        <v>247</v>
      </c>
      <c r="AQ101" s="6" t="s">
        <v>288</v>
      </c>
      <c r="AR101" s="6" t="s">
        <v>185</v>
      </c>
      <c r="AS101" s="6" t="s">
        <v>244</v>
      </c>
      <c r="AT101" s="6" t="s">
        <v>244</v>
      </c>
      <c r="AU101" s="6" t="s">
        <v>288</v>
      </c>
      <c r="AV101" s="6" t="s">
        <v>339</v>
      </c>
      <c r="AW101" s="6" t="s">
        <v>341</v>
      </c>
      <c r="AX101" s="6" t="s">
        <v>247</v>
      </c>
    </row>
    <row r="102" spans="1:50">
      <c r="A102" s="6">
        <v>131</v>
      </c>
      <c r="B102" s="5" t="s">
        <v>2851</v>
      </c>
      <c r="C102" s="6">
        <v>4</v>
      </c>
      <c r="D102" s="6" t="s">
        <v>98</v>
      </c>
      <c r="E102" s="6">
        <v>1</v>
      </c>
      <c r="F102" s="6" t="s">
        <v>867</v>
      </c>
      <c r="G102" s="6">
        <v>41988.923275462963</v>
      </c>
      <c r="H102" s="6">
        <v>42020.586678240739</v>
      </c>
      <c r="I102" s="6">
        <v>41988.923275462963</v>
      </c>
      <c r="J102" s="6" t="s">
        <v>103</v>
      </c>
      <c r="K102" s="6" t="s">
        <v>105</v>
      </c>
      <c r="L102" s="6" t="s">
        <v>868</v>
      </c>
      <c r="M102" s="6" t="s">
        <v>374</v>
      </c>
      <c r="N102" s="6" t="s">
        <v>869</v>
      </c>
      <c r="O102" s="6" t="s">
        <v>870</v>
      </c>
      <c r="Q102" s="6">
        <v>246</v>
      </c>
      <c r="R102" s="6" t="s">
        <v>151</v>
      </c>
      <c r="S102" s="7">
        <v>246</v>
      </c>
      <c r="T102" s="7" t="s">
        <v>123</v>
      </c>
      <c r="U102" s="6" t="s">
        <v>125</v>
      </c>
      <c r="V102" s="6" t="s">
        <v>158</v>
      </c>
      <c r="W102" s="6" t="s">
        <v>160</v>
      </c>
      <c r="X102" s="6" t="s">
        <v>868</v>
      </c>
      <c r="Y102" s="8" t="s">
        <v>2852</v>
      </c>
      <c r="Z102" s="8" t="s">
        <v>2808</v>
      </c>
      <c r="AA102" s="8" t="s">
        <v>2820</v>
      </c>
      <c r="AB102" s="6">
        <v>40108</v>
      </c>
      <c r="AC102" s="6">
        <v>40179</v>
      </c>
      <c r="AE102" s="6" t="s">
        <v>177</v>
      </c>
      <c r="AF102" s="6" t="s">
        <v>178</v>
      </c>
      <c r="AG102" s="6" t="s">
        <v>180</v>
      </c>
      <c r="AH102" s="6" t="s">
        <v>244</v>
      </c>
      <c r="AI102" s="6" t="s">
        <v>182</v>
      </c>
      <c r="AJ102" s="6" t="s">
        <v>244</v>
      </c>
      <c r="AK102" s="6" t="s">
        <v>244</v>
      </c>
      <c r="AL102" s="6" t="s">
        <v>178</v>
      </c>
      <c r="AM102" s="6" t="s">
        <v>244</v>
      </c>
      <c r="AN102" s="6" t="s">
        <v>247</v>
      </c>
      <c r="AO102" s="6" t="s">
        <v>244</v>
      </c>
      <c r="AP102" s="6" t="s">
        <v>247</v>
      </c>
      <c r="AQ102" s="6" t="s">
        <v>288</v>
      </c>
      <c r="AR102" s="6" t="s">
        <v>185</v>
      </c>
      <c r="AS102" s="6" t="s">
        <v>244</v>
      </c>
      <c r="AT102" s="6" t="s">
        <v>244</v>
      </c>
      <c r="AU102" s="6" t="s">
        <v>288</v>
      </c>
      <c r="AV102" s="6" t="s">
        <v>339</v>
      </c>
      <c r="AW102" s="6" t="s">
        <v>341</v>
      </c>
      <c r="AX102" s="6" t="s">
        <v>247</v>
      </c>
    </row>
    <row r="103" spans="1:50">
      <c r="A103" s="6">
        <v>133</v>
      </c>
      <c r="B103" s="5" t="s">
        <v>2853</v>
      </c>
      <c r="C103" s="6">
        <v>3</v>
      </c>
      <c r="D103" s="6" t="s">
        <v>98</v>
      </c>
      <c r="E103" s="6">
        <v>1</v>
      </c>
      <c r="F103" s="6" t="s">
        <v>874</v>
      </c>
      <c r="G103" s="6">
        <v>41988.923275462963</v>
      </c>
      <c r="H103" s="6">
        <v>41988.923275462963</v>
      </c>
      <c r="I103" s="6">
        <v>41988.923275462963</v>
      </c>
      <c r="J103" s="6" t="s">
        <v>103</v>
      </c>
      <c r="K103" s="6" t="s">
        <v>105</v>
      </c>
      <c r="L103" s="6" t="s">
        <v>875</v>
      </c>
      <c r="M103" s="6" t="s">
        <v>374</v>
      </c>
      <c r="O103" s="6" t="s">
        <v>876</v>
      </c>
      <c r="P103" s="6" t="s">
        <v>215</v>
      </c>
      <c r="Q103" s="6">
        <v>246</v>
      </c>
      <c r="R103" s="6" t="s">
        <v>151</v>
      </c>
      <c r="S103" s="7">
        <v>246</v>
      </c>
      <c r="T103" s="7" t="s">
        <v>123</v>
      </c>
      <c r="U103" s="6" t="s">
        <v>125</v>
      </c>
      <c r="V103" s="6" t="s">
        <v>158</v>
      </c>
      <c r="W103" s="6" t="s">
        <v>160</v>
      </c>
      <c r="X103" s="6" t="s">
        <v>875</v>
      </c>
      <c r="Y103" s="8" t="s">
        <v>2854</v>
      </c>
      <c r="Z103" s="8" t="s">
        <v>2855</v>
      </c>
      <c r="AA103" s="8" t="s">
        <v>2856</v>
      </c>
      <c r="AB103" s="6">
        <v>39594</v>
      </c>
      <c r="AC103" s="6">
        <v>40179</v>
      </c>
      <c r="AE103" s="6" t="s">
        <v>177</v>
      </c>
      <c r="AF103" s="6" t="s">
        <v>178</v>
      </c>
      <c r="AG103" s="6" t="s">
        <v>180</v>
      </c>
      <c r="AH103" s="6" t="s">
        <v>392</v>
      </c>
      <c r="AI103" s="6" t="s">
        <v>182</v>
      </c>
      <c r="AJ103" s="6" t="s">
        <v>393</v>
      </c>
      <c r="AK103" s="6" t="s">
        <v>185</v>
      </c>
      <c r="AL103" s="6" t="s">
        <v>178</v>
      </c>
      <c r="AM103" s="6" t="s">
        <v>189</v>
      </c>
      <c r="AN103" s="6" t="s">
        <v>181</v>
      </c>
      <c r="AO103" s="6" t="s">
        <v>244</v>
      </c>
      <c r="AP103" s="6" t="s">
        <v>394</v>
      </c>
      <c r="AQ103" s="6" t="s">
        <v>288</v>
      </c>
      <c r="AR103" s="6" t="s">
        <v>185</v>
      </c>
      <c r="AS103" s="6" t="s">
        <v>244</v>
      </c>
      <c r="AT103" s="6" t="s">
        <v>244</v>
      </c>
      <c r="AU103" s="6" t="s">
        <v>288</v>
      </c>
      <c r="AV103" s="6" t="s">
        <v>339</v>
      </c>
      <c r="AW103" s="6" t="s">
        <v>341</v>
      </c>
      <c r="AX103" s="6" t="s">
        <v>247</v>
      </c>
    </row>
    <row r="104" spans="1:50">
      <c r="A104" s="6">
        <v>135</v>
      </c>
      <c r="B104" s="5" t="s">
        <v>2857</v>
      </c>
      <c r="C104" s="6">
        <v>3</v>
      </c>
      <c r="D104" s="6" t="s">
        <v>98</v>
      </c>
      <c r="E104" s="6">
        <v>1</v>
      </c>
      <c r="F104" s="6" t="s">
        <v>881</v>
      </c>
      <c r="G104" s="6">
        <v>41988.923275462963</v>
      </c>
      <c r="H104" s="6">
        <v>41988.923275462963</v>
      </c>
      <c r="I104" s="6">
        <v>41988.923275462963</v>
      </c>
      <c r="J104" s="6" t="s">
        <v>103</v>
      </c>
      <c r="K104" s="6" t="s">
        <v>105</v>
      </c>
      <c r="L104" s="6" t="s">
        <v>882</v>
      </c>
      <c r="M104" s="6" t="s">
        <v>374</v>
      </c>
      <c r="N104" s="6" t="s">
        <v>873</v>
      </c>
      <c r="P104" s="6" t="s">
        <v>215</v>
      </c>
      <c r="Q104" s="6">
        <v>246</v>
      </c>
      <c r="R104" s="6" t="s">
        <v>151</v>
      </c>
      <c r="S104" s="7">
        <v>246</v>
      </c>
      <c r="T104" s="7" t="s">
        <v>123</v>
      </c>
      <c r="U104" s="6" t="s">
        <v>125</v>
      </c>
      <c r="V104" s="6" t="s">
        <v>158</v>
      </c>
      <c r="W104" s="6" t="s">
        <v>160</v>
      </c>
      <c r="X104" s="6" t="s">
        <v>882</v>
      </c>
      <c r="Y104" s="8" t="s">
        <v>2858</v>
      </c>
      <c r="Z104" s="8" t="s">
        <v>2808</v>
      </c>
      <c r="AA104" s="8" t="s">
        <v>2820</v>
      </c>
      <c r="AB104" s="6">
        <v>40108</v>
      </c>
      <c r="AC104" s="6">
        <v>40179</v>
      </c>
      <c r="AE104" s="6" t="s">
        <v>177</v>
      </c>
      <c r="AF104" s="6" t="s">
        <v>178</v>
      </c>
      <c r="AG104" s="6" t="s">
        <v>180</v>
      </c>
      <c r="AH104" s="6" t="s">
        <v>244</v>
      </c>
      <c r="AI104" s="6" t="s">
        <v>182</v>
      </c>
      <c r="AJ104" s="6" t="s">
        <v>244</v>
      </c>
      <c r="AK104" s="6" t="s">
        <v>244</v>
      </c>
      <c r="AL104" s="6" t="s">
        <v>178</v>
      </c>
      <c r="AM104" s="6" t="s">
        <v>244</v>
      </c>
      <c r="AN104" s="6" t="s">
        <v>247</v>
      </c>
      <c r="AO104" s="6" t="s">
        <v>244</v>
      </c>
      <c r="AP104" s="6" t="s">
        <v>247</v>
      </c>
      <c r="AQ104" s="6" t="s">
        <v>288</v>
      </c>
      <c r="AR104" s="6" t="s">
        <v>185</v>
      </c>
      <c r="AS104" s="6" t="s">
        <v>244</v>
      </c>
      <c r="AT104" s="6" t="s">
        <v>244</v>
      </c>
      <c r="AU104" s="6" t="s">
        <v>288</v>
      </c>
      <c r="AV104" s="6" t="s">
        <v>339</v>
      </c>
      <c r="AW104" s="6" t="s">
        <v>341</v>
      </c>
      <c r="AX104" s="6" t="s">
        <v>247</v>
      </c>
    </row>
    <row r="105" spans="1:50">
      <c r="A105" s="6">
        <v>137</v>
      </c>
      <c r="B105" s="5" t="s">
        <v>2859</v>
      </c>
      <c r="C105" s="6">
        <v>4</v>
      </c>
      <c r="D105" s="6" t="s">
        <v>98</v>
      </c>
      <c r="E105" s="6">
        <v>1</v>
      </c>
      <c r="F105" s="6" t="s">
        <v>885</v>
      </c>
      <c r="G105" s="6">
        <v>41988.92328703704</v>
      </c>
      <c r="H105" s="6">
        <v>42024.634386574071</v>
      </c>
      <c r="I105" s="6">
        <v>41988.92328703704</v>
      </c>
      <c r="J105" s="6" t="s">
        <v>103</v>
      </c>
      <c r="K105" s="6" t="s">
        <v>105</v>
      </c>
      <c r="L105" s="6" t="s">
        <v>886</v>
      </c>
      <c r="M105" s="6" t="s">
        <v>532</v>
      </c>
      <c r="N105" s="6" t="s">
        <v>887</v>
      </c>
      <c r="O105" s="6" t="s">
        <v>888</v>
      </c>
      <c r="P105" s="6" t="s">
        <v>215</v>
      </c>
      <c r="Q105" s="6">
        <v>250</v>
      </c>
      <c r="R105" s="6" t="s">
        <v>153</v>
      </c>
      <c r="S105" s="7">
        <v>250</v>
      </c>
      <c r="T105" s="7" t="s">
        <v>123</v>
      </c>
      <c r="U105" s="6" t="s">
        <v>108</v>
      </c>
      <c r="V105" s="6" t="s">
        <v>158</v>
      </c>
      <c r="W105" s="6" t="s">
        <v>376</v>
      </c>
      <c r="X105" s="6" t="s">
        <v>886</v>
      </c>
      <c r="Y105" s="8" t="s">
        <v>2860</v>
      </c>
      <c r="AA105" s="8" t="s">
        <v>2861</v>
      </c>
      <c r="AB105" s="6">
        <v>39630</v>
      </c>
      <c r="AC105" s="6" t="s">
        <v>889</v>
      </c>
      <c r="AE105" s="6" t="s">
        <v>177</v>
      </c>
      <c r="AF105" s="6" t="s">
        <v>178</v>
      </c>
      <c r="AG105" s="6" t="s">
        <v>370</v>
      </c>
      <c r="AH105" s="6" t="s">
        <v>244</v>
      </c>
      <c r="AI105" s="6" t="s">
        <v>182</v>
      </c>
      <c r="AJ105" s="6" t="s">
        <v>393</v>
      </c>
      <c r="AK105" s="6" t="s">
        <v>244</v>
      </c>
      <c r="AL105" s="6" t="s">
        <v>247</v>
      </c>
      <c r="AM105" s="6" t="s">
        <v>244</v>
      </c>
      <c r="AN105" s="6" t="s">
        <v>392</v>
      </c>
      <c r="AO105" s="6" t="s">
        <v>244</v>
      </c>
      <c r="AP105" s="6" t="s">
        <v>247</v>
      </c>
      <c r="AQ105" s="6" t="s">
        <v>288</v>
      </c>
      <c r="AR105" s="6" t="s">
        <v>288</v>
      </c>
      <c r="AS105" s="6" t="s">
        <v>244</v>
      </c>
      <c r="AT105" s="6" t="s">
        <v>244</v>
      </c>
      <c r="AU105" s="6" t="s">
        <v>288</v>
      </c>
      <c r="AV105" s="6" t="s">
        <v>339</v>
      </c>
      <c r="AW105" s="6" t="s">
        <v>244</v>
      </c>
      <c r="AX105" s="6" t="s">
        <v>247</v>
      </c>
    </row>
    <row r="106" spans="1:50">
      <c r="A106" s="6">
        <v>741</v>
      </c>
      <c r="B106" s="5" t="s">
        <v>2862</v>
      </c>
      <c r="C106" s="6">
        <v>10</v>
      </c>
      <c r="D106" s="6" t="s">
        <v>98</v>
      </c>
      <c r="E106" s="6">
        <v>620</v>
      </c>
      <c r="F106" s="6" t="s">
        <v>890</v>
      </c>
      <c r="G106" s="6">
        <v>42109.627488425926</v>
      </c>
      <c r="H106" s="6">
        <v>42130.395324074074</v>
      </c>
      <c r="I106" s="6">
        <v>42130.395324074074</v>
      </c>
      <c r="J106" s="6" t="s">
        <v>103</v>
      </c>
      <c r="K106" s="6" t="s">
        <v>105</v>
      </c>
      <c r="L106" s="6" t="s">
        <v>891</v>
      </c>
      <c r="Q106" s="6">
        <v>250</v>
      </c>
      <c r="R106" s="6" t="s">
        <v>153</v>
      </c>
      <c r="S106" s="7">
        <v>250</v>
      </c>
      <c r="T106" s="7" t="s">
        <v>123</v>
      </c>
      <c r="U106" s="6" t="s">
        <v>108</v>
      </c>
      <c r="V106" s="6" t="s">
        <v>158</v>
      </c>
      <c r="W106" s="6" t="s">
        <v>160</v>
      </c>
      <c r="X106" s="6" t="s">
        <v>891</v>
      </c>
      <c r="Y106" s="8" t="s">
        <v>2863</v>
      </c>
      <c r="AA106" s="8" t="s">
        <v>2864</v>
      </c>
      <c r="AB106" s="6">
        <v>41275</v>
      </c>
      <c r="AC106" s="6">
        <v>41275</v>
      </c>
      <c r="AE106" s="6" t="s">
        <v>478</v>
      </c>
      <c r="AF106" s="6" t="s">
        <v>178</v>
      </c>
      <c r="AG106" s="6" t="s">
        <v>180</v>
      </c>
      <c r="AH106" s="6" t="s">
        <v>244</v>
      </c>
      <c r="AI106" s="6" t="s">
        <v>182</v>
      </c>
      <c r="AJ106" s="6" t="s">
        <v>244</v>
      </c>
      <c r="AK106" s="6" t="s">
        <v>185</v>
      </c>
      <c r="AL106" s="6" t="s">
        <v>178</v>
      </c>
      <c r="AM106" s="6" t="s">
        <v>185</v>
      </c>
      <c r="AN106" s="6" t="s">
        <v>371</v>
      </c>
      <c r="AO106" s="6" t="s">
        <v>189</v>
      </c>
      <c r="AP106" s="6" t="s">
        <v>394</v>
      </c>
      <c r="AQ106" s="6" t="s">
        <v>244</v>
      </c>
      <c r="AR106" s="6" t="s">
        <v>244</v>
      </c>
      <c r="AS106" s="6" t="s">
        <v>459</v>
      </c>
      <c r="AT106" s="6" t="s">
        <v>244</v>
      </c>
      <c r="AU106" s="6" t="s">
        <v>244</v>
      </c>
      <c r="AV106" s="6" t="s">
        <v>244</v>
      </c>
      <c r="AW106" s="6" t="s">
        <v>244</v>
      </c>
      <c r="AX106" s="6" t="s">
        <v>247</v>
      </c>
    </row>
    <row r="107" spans="1:50">
      <c r="A107" s="6">
        <v>634</v>
      </c>
      <c r="B107" s="5" t="s">
        <v>2865</v>
      </c>
      <c r="C107" s="6">
        <v>3</v>
      </c>
      <c r="D107" s="6" t="s">
        <v>98</v>
      </c>
      <c r="E107" s="6">
        <v>1</v>
      </c>
      <c r="F107" s="6" t="s">
        <v>901</v>
      </c>
      <c r="G107" s="6">
        <v>41988.924270833333</v>
      </c>
      <c r="H107" s="6">
        <v>41988.924270833333</v>
      </c>
      <c r="I107" s="6">
        <v>41988.924270833333</v>
      </c>
      <c r="J107" s="6" t="s">
        <v>103</v>
      </c>
      <c r="K107" s="6" t="s">
        <v>105</v>
      </c>
      <c r="L107" s="6" t="s">
        <v>902</v>
      </c>
      <c r="M107" s="6" t="s">
        <v>374</v>
      </c>
      <c r="N107" s="6" t="s">
        <v>903</v>
      </c>
      <c r="P107" s="6" t="s">
        <v>215</v>
      </c>
      <c r="Q107" s="6">
        <v>250</v>
      </c>
      <c r="R107" s="6" t="s">
        <v>153</v>
      </c>
      <c r="S107" s="7">
        <v>250</v>
      </c>
      <c r="T107" s="7" t="s">
        <v>123</v>
      </c>
      <c r="U107" s="6" t="s">
        <v>108</v>
      </c>
      <c r="V107" s="6" t="s">
        <v>158</v>
      </c>
      <c r="W107" s="6" t="s">
        <v>376</v>
      </c>
      <c r="X107" s="6" t="s">
        <v>902</v>
      </c>
      <c r="Y107" s="8" t="s">
        <v>2866</v>
      </c>
      <c r="Z107" s="8" t="s">
        <v>2867</v>
      </c>
      <c r="AA107" s="8" t="s">
        <v>2868</v>
      </c>
      <c r="AB107" s="6">
        <v>40476</v>
      </c>
      <c r="AE107" s="6" t="s">
        <v>177</v>
      </c>
      <c r="AF107" s="6" t="s">
        <v>178</v>
      </c>
      <c r="AG107" s="6" t="s">
        <v>370</v>
      </c>
      <c r="AH107" s="6" t="s">
        <v>244</v>
      </c>
      <c r="AI107" s="6" t="s">
        <v>182</v>
      </c>
      <c r="AJ107" s="6" t="s">
        <v>393</v>
      </c>
      <c r="AK107" s="6" t="s">
        <v>244</v>
      </c>
      <c r="AL107" s="6" t="s">
        <v>247</v>
      </c>
      <c r="AM107" s="6" t="s">
        <v>244</v>
      </c>
      <c r="AN107" s="6" t="s">
        <v>247</v>
      </c>
      <c r="AO107" s="6" t="s">
        <v>244</v>
      </c>
      <c r="AP107" s="6" t="s">
        <v>247</v>
      </c>
      <c r="AQ107" s="6" t="s">
        <v>288</v>
      </c>
      <c r="AR107" s="6" t="s">
        <v>288</v>
      </c>
      <c r="AS107" s="6" t="s">
        <v>379</v>
      </c>
      <c r="AT107" s="6" t="s">
        <v>379</v>
      </c>
      <c r="AU107" s="6" t="s">
        <v>288</v>
      </c>
      <c r="AV107" s="6" t="s">
        <v>339</v>
      </c>
      <c r="AW107" s="6" t="s">
        <v>244</v>
      </c>
      <c r="AX107" s="6" t="s">
        <v>247</v>
      </c>
    </row>
    <row r="108" spans="1:50">
      <c r="A108" s="6">
        <v>140</v>
      </c>
      <c r="B108" s="5" t="s">
        <v>2869</v>
      </c>
      <c r="C108" s="6">
        <v>3</v>
      </c>
      <c r="D108" s="6" t="s">
        <v>98</v>
      </c>
      <c r="E108" s="6">
        <v>1</v>
      </c>
      <c r="F108" s="6" t="s">
        <v>904</v>
      </c>
      <c r="G108" s="6">
        <v>41988.92328703704</v>
      </c>
      <c r="H108" s="6">
        <v>41988.92328703704</v>
      </c>
      <c r="I108" s="6">
        <v>41988.92328703704</v>
      </c>
      <c r="J108" s="6" t="s">
        <v>103</v>
      </c>
      <c r="K108" s="6" t="s">
        <v>105</v>
      </c>
      <c r="L108" s="6" t="s">
        <v>905</v>
      </c>
      <c r="M108" s="6" t="s">
        <v>532</v>
      </c>
      <c r="N108" s="6" t="s">
        <v>906</v>
      </c>
      <c r="O108" s="6" t="s">
        <v>907</v>
      </c>
      <c r="P108" s="6" t="s">
        <v>215</v>
      </c>
      <c r="Q108" s="6">
        <v>250</v>
      </c>
      <c r="R108" s="6" t="s">
        <v>153</v>
      </c>
      <c r="S108" s="7">
        <v>250</v>
      </c>
      <c r="T108" s="7" t="s">
        <v>123</v>
      </c>
      <c r="U108" s="6" t="s">
        <v>108</v>
      </c>
      <c r="V108" s="6" t="s">
        <v>158</v>
      </c>
      <c r="W108" s="6" t="s">
        <v>160</v>
      </c>
      <c r="X108" s="6" t="s">
        <v>905</v>
      </c>
      <c r="Y108" s="8" t="s">
        <v>2870</v>
      </c>
      <c r="AA108" s="8" t="s">
        <v>2871</v>
      </c>
      <c r="AB108" s="6">
        <v>40269</v>
      </c>
      <c r="AC108" s="6">
        <v>40544</v>
      </c>
      <c r="AE108" s="6" t="s">
        <v>177</v>
      </c>
      <c r="AF108" s="6" t="s">
        <v>178</v>
      </c>
      <c r="AG108" s="6" t="s">
        <v>180</v>
      </c>
      <c r="AH108" s="6" t="s">
        <v>181</v>
      </c>
      <c r="AI108" s="6" t="s">
        <v>182</v>
      </c>
      <c r="AJ108" s="6" t="s">
        <v>244</v>
      </c>
      <c r="AK108" s="6" t="s">
        <v>185</v>
      </c>
      <c r="AL108" s="6" t="s">
        <v>178</v>
      </c>
      <c r="AM108" s="6" t="s">
        <v>189</v>
      </c>
      <c r="AN108" s="6" t="s">
        <v>181</v>
      </c>
      <c r="AO108" s="6" t="s">
        <v>244</v>
      </c>
      <c r="AP108" s="6" t="s">
        <v>648</v>
      </c>
      <c r="AQ108" s="6" t="s">
        <v>244</v>
      </c>
      <c r="AR108" s="6" t="s">
        <v>189</v>
      </c>
      <c r="AS108" s="6" t="s">
        <v>244</v>
      </c>
      <c r="AT108" s="6" t="s">
        <v>244</v>
      </c>
      <c r="AU108" s="6" t="s">
        <v>288</v>
      </c>
      <c r="AV108" s="6" t="s">
        <v>908</v>
      </c>
      <c r="AW108" s="6" t="s">
        <v>442</v>
      </c>
      <c r="AX108" s="6" t="s">
        <v>247</v>
      </c>
    </row>
    <row r="109" spans="1:50">
      <c r="A109" s="6">
        <v>141</v>
      </c>
      <c r="B109" s="5" t="s">
        <v>2872</v>
      </c>
      <c r="C109" s="6">
        <v>3</v>
      </c>
      <c r="D109" s="6" t="s">
        <v>98</v>
      </c>
      <c r="E109" s="6">
        <v>1</v>
      </c>
      <c r="F109" s="6" t="s">
        <v>909</v>
      </c>
      <c r="G109" s="6">
        <v>41988.92328703704</v>
      </c>
      <c r="H109" s="6">
        <v>41988.92328703704</v>
      </c>
      <c r="I109" s="6">
        <v>41988.92328703704</v>
      </c>
      <c r="J109" s="6" t="s">
        <v>103</v>
      </c>
      <c r="K109" s="6" t="s">
        <v>105</v>
      </c>
      <c r="L109" s="6" t="s">
        <v>910</v>
      </c>
      <c r="M109" s="6" t="s">
        <v>469</v>
      </c>
      <c r="N109" s="6" t="s">
        <v>911</v>
      </c>
      <c r="O109" s="6" t="s">
        <v>912</v>
      </c>
      <c r="P109" s="6" t="s">
        <v>215</v>
      </c>
      <c r="Q109" s="6">
        <v>250</v>
      </c>
      <c r="R109" s="6" t="s">
        <v>153</v>
      </c>
      <c r="S109" s="7">
        <v>250</v>
      </c>
      <c r="T109" s="7" t="s">
        <v>123</v>
      </c>
      <c r="U109" s="6" t="s">
        <v>108</v>
      </c>
      <c r="V109" s="6" t="s">
        <v>158</v>
      </c>
      <c r="W109" s="6" t="s">
        <v>384</v>
      </c>
      <c r="X109" s="6" t="s">
        <v>910</v>
      </c>
      <c r="Y109" s="8" t="s">
        <v>2873</v>
      </c>
      <c r="Z109" s="8" t="s">
        <v>2874</v>
      </c>
      <c r="AB109" s="6">
        <v>38078</v>
      </c>
      <c r="AC109" s="6">
        <v>38078</v>
      </c>
      <c r="AE109" s="6" t="s">
        <v>177</v>
      </c>
      <c r="AF109" s="6" t="s">
        <v>178</v>
      </c>
      <c r="AG109" s="6" t="s">
        <v>180</v>
      </c>
      <c r="AH109" s="6" t="s">
        <v>181</v>
      </c>
      <c r="AI109" s="6" t="s">
        <v>182</v>
      </c>
      <c r="AJ109" s="6" t="s">
        <v>393</v>
      </c>
      <c r="AK109" s="6" t="s">
        <v>189</v>
      </c>
      <c r="AL109" s="6" t="s">
        <v>178</v>
      </c>
      <c r="AM109" s="6" t="s">
        <v>189</v>
      </c>
      <c r="AN109" s="6" t="s">
        <v>181</v>
      </c>
      <c r="AO109" s="6" t="s">
        <v>185</v>
      </c>
      <c r="AP109" s="6" t="s">
        <v>386</v>
      </c>
      <c r="AQ109" s="6" t="s">
        <v>288</v>
      </c>
      <c r="AR109" s="6" t="s">
        <v>189</v>
      </c>
      <c r="AS109" s="6" t="s">
        <v>244</v>
      </c>
      <c r="AT109" s="6" t="s">
        <v>244</v>
      </c>
      <c r="AU109" s="6" t="s">
        <v>288</v>
      </c>
      <c r="AV109" s="6" t="s">
        <v>339</v>
      </c>
      <c r="AW109" s="6" t="s">
        <v>244</v>
      </c>
      <c r="AX109" s="6" t="s">
        <v>247</v>
      </c>
    </row>
    <row r="110" spans="1:50">
      <c r="A110" s="6">
        <v>142</v>
      </c>
      <c r="B110" s="5" t="s">
        <v>2875</v>
      </c>
      <c r="C110" s="6">
        <v>3</v>
      </c>
      <c r="D110" s="6" t="s">
        <v>98</v>
      </c>
      <c r="E110" s="6">
        <v>1</v>
      </c>
      <c r="F110" s="6" t="s">
        <v>913</v>
      </c>
      <c r="G110" s="6">
        <v>41988.92328703704</v>
      </c>
      <c r="H110" s="6">
        <v>41988.92328703704</v>
      </c>
      <c r="I110" s="6">
        <v>41988.92328703704</v>
      </c>
      <c r="J110" s="6" t="s">
        <v>103</v>
      </c>
      <c r="K110" s="6" t="s">
        <v>105</v>
      </c>
      <c r="L110" s="6" t="s">
        <v>914</v>
      </c>
      <c r="M110" s="6" t="s">
        <v>469</v>
      </c>
      <c r="N110" s="6" t="s">
        <v>915</v>
      </c>
      <c r="O110" s="6" t="s">
        <v>916</v>
      </c>
      <c r="P110" s="6" t="s">
        <v>215</v>
      </c>
      <c r="Q110" s="6">
        <v>250</v>
      </c>
      <c r="R110" s="6" t="s">
        <v>153</v>
      </c>
      <c r="S110" s="7">
        <v>250</v>
      </c>
      <c r="T110" s="7" t="s">
        <v>123</v>
      </c>
      <c r="U110" s="6" t="s">
        <v>108</v>
      </c>
      <c r="V110" s="6" t="s">
        <v>158</v>
      </c>
      <c r="W110" s="6" t="s">
        <v>160</v>
      </c>
      <c r="X110" s="6" t="s">
        <v>914</v>
      </c>
      <c r="Y110" s="8" t="s">
        <v>2876</v>
      </c>
      <c r="Z110" s="8" t="s">
        <v>2877</v>
      </c>
      <c r="AA110" s="8" t="s">
        <v>2878</v>
      </c>
      <c r="AB110" s="6">
        <v>38441</v>
      </c>
      <c r="AC110" s="6">
        <v>38469</v>
      </c>
      <c r="AD110" s="6" t="s">
        <v>917</v>
      </c>
      <c r="AE110" s="6" t="s">
        <v>177</v>
      </c>
      <c r="AF110" s="6" t="s">
        <v>178</v>
      </c>
      <c r="AG110" s="6" t="s">
        <v>180</v>
      </c>
      <c r="AH110" s="6" t="s">
        <v>244</v>
      </c>
      <c r="AI110" s="6" t="s">
        <v>182</v>
      </c>
      <c r="AJ110" s="6" t="s">
        <v>244</v>
      </c>
      <c r="AK110" s="6" t="s">
        <v>185</v>
      </c>
      <c r="AL110" s="6" t="s">
        <v>178</v>
      </c>
      <c r="AM110" s="6" t="s">
        <v>185</v>
      </c>
      <c r="AN110" s="6" t="s">
        <v>181</v>
      </c>
      <c r="AO110" s="6" t="s">
        <v>189</v>
      </c>
      <c r="AP110" s="6" t="s">
        <v>394</v>
      </c>
      <c r="AQ110" s="6" t="s">
        <v>288</v>
      </c>
      <c r="AR110" s="6" t="s">
        <v>185</v>
      </c>
      <c r="AS110" s="6" t="s">
        <v>244</v>
      </c>
      <c r="AT110" s="6" t="s">
        <v>244</v>
      </c>
      <c r="AU110" s="6" t="s">
        <v>288</v>
      </c>
      <c r="AV110" s="6" t="s">
        <v>520</v>
      </c>
      <c r="AW110" s="6" t="s">
        <v>341</v>
      </c>
      <c r="AX110" s="6" t="s">
        <v>247</v>
      </c>
    </row>
    <row r="111" spans="1:50">
      <c r="A111" s="6">
        <v>143</v>
      </c>
      <c r="B111" s="5" t="s">
        <v>2879</v>
      </c>
      <c r="C111" s="6">
        <v>3</v>
      </c>
      <c r="D111" s="6" t="s">
        <v>98</v>
      </c>
      <c r="E111" s="6">
        <v>1</v>
      </c>
      <c r="F111" s="6" t="s">
        <v>918</v>
      </c>
      <c r="G111" s="6">
        <v>41988.92328703704</v>
      </c>
      <c r="H111" s="6">
        <v>41988.92328703704</v>
      </c>
      <c r="I111" s="6">
        <v>41988.92328703704</v>
      </c>
      <c r="J111" s="6" t="s">
        <v>103</v>
      </c>
      <c r="K111" s="6" t="s">
        <v>105</v>
      </c>
      <c r="L111" s="6" t="s">
        <v>919</v>
      </c>
      <c r="M111" s="6" t="s">
        <v>637</v>
      </c>
      <c r="N111" s="6" t="s">
        <v>920</v>
      </c>
      <c r="O111" s="6" t="s">
        <v>921</v>
      </c>
      <c r="P111" s="6" t="s">
        <v>215</v>
      </c>
      <c r="Q111" s="6">
        <v>250</v>
      </c>
      <c r="R111" s="6" t="s">
        <v>153</v>
      </c>
      <c r="S111" s="7">
        <v>250</v>
      </c>
      <c r="T111" s="7" t="s">
        <v>123</v>
      </c>
      <c r="U111" s="6" t="s">
        <v>108</v>
      </c>
      <c r="V111" s="6" t="s">
        <v>158</v>
      </c>
      <c r="W111" s="6" t="s">
        <v>160</v>
      </c>
      <c r="X111" s="6" t="s">
        <v>919</v>
      </c>
      <c r="Y111" s="8" t="s">
        <v>2880</v>
      </c>
      <c r="AA111" s="8" t="s">
        <v>2881</v>
      </c>
      <c r="AB111" s="6" t="s">
        <v>922</v>
      </c>
      <c r="AC111" s="6" t="s">
        <v>923</v>
      </c>
      <c r="AE111" s="6" t="s">
        <v>177</v>
      </c>
      <c r="AF111" s="6" t="s">
        <v>178</v>
      </c>
      <c r="AG111" s="6" t="s">
        <v>180</v>
      </c>
      <c r="AH111" s="6" t="s">
        <v>187</v>
      </c>
      <c r="AI111" s="6" t="s">
        <v>182</v>
      </c>
      <c r="AJ111" s="6" t="s">
        <v>393</v>
      </c>
      <c r="AK111" s="6" t="s">
        <v>185</v>
      </c>
      <c r="AL111" s="6" t="s">
        <v>247</v>
      </c>
      <c r="AM111" s="6" t="s">
        <v>244</v>
      </c>
      <c r="AN111" s="6" t="s">
        <v>378</v>
      </c>
      <c r="AO111" s="6" t="s">
        <v>244</v>
      </c>
      <c r="AP111" s="6" t="s">
        <v>386</v>
      </c>
      <c r="AQ111" s="6" t="s">
        <v>288</v>
      </c>
      <c r="AR111" s="6" t="s">
        <v>288</v>
      </c>
      <c r="AS111" s="6" t="s">
        <v>379</v>
      </c>
      <c r="AT111" s="6" t="s">
        <v>244</v>
      </c>
      <c r="AU111" s="6" t="s">
        <v>288</v>
      </c>
      <c r="AV111" s="6" t="s">
        <v>339</v>
      </c>
      <c r="AW111" s="6" t="s">
        <v>244</v>
      </c>
      <c r="AX111" s="6" t="s">
        <v>247</v>
      </c>
    </row>
    <row r="112" spans="1:50">
      <c r="A112" s="6">
        <v>145</v>
      </c>
      <c r="B112" s="5" t="s">
        <v>2882</v>
      </c>
      <c r="C112" s="6">
        <v>3</v>
      </c>
      <c r="D112" s="6" t="s">
        <v>98</v>
      </c>
      <c r="E112" s="6">
        <v>1</v>
      </c>
      <c r="F112" s="6" t="s">
        <v>928</v>
      </c>
      <c r="G112" s="6">
        <v>41988.923298611109</v>
      </c>
      <c r="H112" s="6">
        <v>41988.923298611109</v>
      </c>
      <c r="I112" s="6">
        <v>41988.923298611109</v>
      </c>
      <c r="J112" s="6" t="s">
        <v>103</v>
      </c>
      <c r="K112" s="6" t="s">
        <v>105</v>
      </c>
      <c r="L112" s="6" t="s">
        <v>929</v>
      </c>
      <c r="M112" s="6" t="s">
        <v>532</v>
      </c>
      <c r="N112" s="6" t="s">
        <v>930</v>
      </c>
      <c r="O112" s="6" t="s">
        <v>931</v>
      </c>
      <c r="P112" s="6" t="s">
        <v>215</v>
      </c>
      <c r="Q112" s="6">
        <v>250</v>
      </c>
      <c r="R112" s="6" t="s">
        <v>153</v>
      </c>
      <c r="S112" s="7">
        <v>250</v>
      </c>
      <c r="T112" s="7" t="s">
        <v>123</v>
      </c>
      <c r="U112" s="6" t="s">
        <v>108</v>
      </c>
      <c r="V112" s="6" t="s">
        <v>158</v>
      </c>
      <c r="W112" s="6" t="s">
        <v>384</v>
      </c>
      <c r="X112" s="6" t="s">
        <v>929</v>
      </c>
      <c r="Y112" s="8" t="s">
        <v>2883</v>
      </c>
      <c r="Z112" s="8" t="s">
        <v>2884</v>
      </c>
      <c r="AA112" s="8" t="s">
        <v>2885</v>
      </c>
      <c r="AB112" s="6">
        <v>38026</v>
      </c>
      <c r="AC112" s="6">
        <v>38232</v>
      </c>
      <c r="AF112" s="6" t="s">
        <v>178</v>
      </c>
      <c r="AG112" s="6" t="s">
        <v>180</v>
      </c>
      <c r="AH112" s="6" t="s">
        <v>244</v>
      </c>
      <c r="AI112" s="6" t="s">
        <v>182</v>
      </c>
      <c r="AJ112" s="6" t="s">
        <v>393</v>
      </c>
      <c r="AK112" s="6" t="s">
        <v>244</v>
      </c>
      <c r="AL112" s="6" t="s">
        <v>178</v>
      </c>
      <c r="AM112" s="6" t="s">
        <v>244</v>
      </c>
      <c r="AN112" s="6" t="s">
        <v>247</v>
      </c>
      <c r="AO112" s="6" t="s">
        <v>244</v>
      </c>
      <c r="AP112" s="6" t="s">
        <v>247</v>
      </c>
      <c r="AQ112" s="6" t="s">
        <v>288</v>
      </c>
      <c r="AR112" s="6" t="s">
        <v>288</v>
      </c>
      <c r="AS112" s="6" t="s">
        <v>244</v>
      </c>
      <c r="AT112" s="6" t="s">
        <v>244</v>
      </c>
      <c r="AU112" s="6" t="s">
        <v>288</v>
      </c>
      <c r="AV112" s="6" t="s">
        <v>339</v>
      </c>
      <c r="AW112" s="6" t="s">
        <v>244</v>
      </c>
      <c r="AX112" s="6" t="s">
        <v>247</v>
      </c>
    </row>
    <row r="113" spans="1:50">
      <c r="A113" s="6">
        <v>146</v>
      </c>
      <c r="B113" s="5" t="s">
        <v>2886</v>
      </c>
      <c r="C113" s="6">
        <v>3</v>
      </c>
      <c r="D113" s="6" t="s">
        <v>98</v>
      </c>
      <c r="E113" s="6">
        <v>1</v>
      </c>
      <c r="F113" s="6" t="s">
        <v>932</v>
      </c>
      <c r="G113" s="6">
        <v>41988.923298611109</v>
      </c>
      <c r="H113" s="6">
        <v>41988.923298611109</v>
      </c>
      <c r="I113" s="6">
        <v>41988.923298611109</v>
      </c>
      <c r="J113" s="6" t="s">
        <v>103</v>
      </c>
      <c r="K113" s="6" t="s">
        <v>105</v>
      </c>
      <c r="L113" s="6" t="s">
        <v>933</v>
      </c>
      <c r="M113" s="6" t="s">
        <v>532</v>
      </c>
      <c r="N113" s="6" t="s">
        <v>934</v>
      </c>
      <c r="O113" s="6" t="s">
        <v>935</v>
      </c>
      <c r="P113" s="6" t="s">
        <v>215</v>
      </c>
      <c r="Q113" s="6">
        <v>250</v>
      </c>
      <c r="R113" s="6" t="s">
        <v>153</v>
      </c>
      <c r="S113" s="7">
        <v>250</v>
      </c>
      <c r="T113" s="7" t="s">
        <v>123</v>
      </c>
      <c r="U113" s="6" t="s">
        <v>108</v>
      </c>
      <c r="V113" s="6" t="s">
        <v>158</v>
      </c>
      <c r="W113" s="6" t="s">
        <v>160</v>
      </c>
      <c r="X113" s="6" t="s">
        <v>933</v>
      </c>
      <c r="Y113" s="8" t="s">
        <v>2887</v>
      </c>
      <c r="Z113" s="8" t="s">
        <v>2888</v>
      </c>
      <c r="AA113" s="8" t="s">
        <v>2889</v>
      </c>
      <c r="AB113" s="6">
        <v>40428</v>
      </c>
      <c r="AC113" s="6">
        <v>40428</v>
      </c>
      <c r="AE113" s="6" t="s">
        <v>177</v>
      </c>
      <c r="AF113" s="6" t="s">
        <v>178</v>
      </c>
      <c r="AG113" s="6" t="s">
        <v>180</v>
      </c>
      <c r="AH113" s="6" t="s">
        <v>187</v>
      </c>
      <c r="AI113" s="6" t="s">
        <v>182</v>
      </c>
      <c r="AJ113" s="6" t="s">
        <v>393</v>
      </c>
      <c r="AK113" s="6" t="s">
        <v>185</v>
      </c>
      <c r="AL113" s="6" t="s">
        <v>178</v>
      </c>
      <c r="AM113" s="6" t="s">
        <v>189</v>
      </c>
      <c r="AN113" s="6" t="s">
        <v>181</v>
      </c>
      <c r="AO113" s="6" t="s">
        <v>189</v>
      </c>
      <c r="AP113" s="6" t="s">
        <v>386</v>
      </c>
      <c r="AQ113" s="6" t="s">
        <v>288</v>
      </c>
      <c r="AR113" s="6" t="s">
        <v>185</v>
      </c>
      <c r="AS113" s="6" t="s">
        <v>244</v>
      </c>
      <c r="AT113" s="6" t="s">
        <v>244</v>
      </c>
      <c r="AU113" s="6" t="s">
        <v>288</v>
      </c>
      <c r="AV113" s="6" t="s">
        <v>339</v>
      </c>
      <c r="AW113" s="6" t="s">
        <v>244</v>
      </c>
      <c r="AX113" s="6" t="s">
        <v>247</v>
      </c>
    </row>
    <row r="114" spans="1:50">
      <c r="A114" s="6">
        <v>147</v>
      </c>
      <c r="B114" s="5" t="s">
        <v>2890</v>
      </c>
      <c r="C114" s="6">
        <v>3</v>
      </c>
      <c r="D114" s="6" t="s">
        <v>98</v>
      </c>
      <c r="E114" s="6">
        <v>1</v>
      </c>
      <c r="F114" s="6" t="s">
        <v>936</v>
      </c>
      <c r="G114" s="6">
        <v>41988.923298611109</v>
      </c>
      <c r="H114" s="6">
        <v>41988.923298611109</v>
      </c>
      <c r="I114" s="6">
        <v>41988.923298611109</v>
      </c>
      <c r="J114" s="6" t="s">
        <v>103</v>
      </c>
      <c r="K114" s="6" t="s">
        <v>105</v>
      </c>
      <c r="L114" s="6" t="s">
        <v>937</v>
      </c>
      <c r="M114" s="6" t="s">
        <v>637</v>
      </c>
      <c r="N114" s="6" t="s">
        <v>938</v>
      </c>
      <c r="O114" s="6" t="s">
        <v>939</v>
      </c>
      <c r="P114" s="6" t="s">
        <v>215</v>
      </c>
      <c r="Q114" s="6">
        <v>250</v>
      </c>
      <c r="R114" s="6" t="s">
        <v>153</v>
      </c>
      <c r="S114" s="7">
        <v>250</v>
      </c>
      <c r="T114" s="7" t="s">
        <v>123</v>
      </c>
      <c r="U114" s="6" t="s">
        <v>108</v>
      </c>
      <c r="V114" s="6" t="s">
        <v>158</v>
      </c>
      <c r="W114" s="6" t="s">
        <v>384</v>
      </c>
      <c r="X114" s="6" t="s">
        <v>937</v>
      </c>
      <c r="Y114" s="8" t="s">
        <v>2891</v>
      </c>
      <c r="AA114" s="8" t="s">
        <v>2892</v>
      </c>
      <c r="AB114" s="6">
        <v>39106</v>
      </c>
      <c r="AC114" s="6">
        <v>39106</v>
      </c>
      <c r="AE114" s="6" t="s">
        <v>177</v>
      </c>
      <c r="AF114" s="6" t="s">
        <v>178</v>
      </c>
      <c r="AG114" s="6" t="s">
        <v>180</v>
      </c>
      <c r="AH114" s="6" t="s">
        <v>244</v>
      </c>
      <c r="AI114" s="6" t="s">
        <v>182</v>
      </c>
      <c r="AJ114" s="6" t="s">
        <v>393</v>
      </c>
      <c r="AK114" s="6" t="s">
        <v>185</v>
      </c>
      <c r="AL114" s="6" t="s">
        <v>247</v>
      </c>
      <c r="AM114" s="6" t="s">
        <v>244</v>
      </c>
      <c r="AN114" s="6" t="s">
        <v>247</v>
      </c>
      <c r="AO114" s="6" t="s">
        <v>189</v>
      </c>
      <c r="AP114" s="6" t="s">
        <v>386</v>
      </c>
      <c r="AQ114" s="6" t="s">
        <v>288</v>
      </c>
      <c r="AR114" s="6" t="s">
        <v>288</v>
      </c>
      <c r="AS114" s="6" t="s">
        <v>244</v>
      </c>
      <c r="AT114" s="6" t="s">
        <v>244</v>
      </c>
      <c r="AU114" s="6" t="s">
        <v>288</v>
      </c>
      <c r="AV114" s="6" t="s">
        <v>339</v>
      </c>
      <c r="AW114" s="6" t="s">
        <v>244</v>
      </c>
      <c r="AX114" s="6" t="s">
        <v>247</v>
      </c>
    </row>
    <row r="115" spans="1:50">
      <c r="A115" s="6">
        <v>149</v>
      </c>
      <c r="B115" s="5" t="s">
        <v>2893</v>
      </c>
      <c r="C115" s="6">
        <v>3</v>
      </c>
      <c r="D115" s="6" t="s">
        <v>98</v>
      </c>
      <c r="E115" s="6">
        <v>1</v>
      </c>
      <c r="F115" s="6" t="s">
        <v>947</v>
      </c>
      <c r="G115" s="6">
        <v>41988.923298611109</v>
      </c>
      <c r="H115" s="6">
        <v>41988.923298611109</v>
      </c>
      <c r="I115" s="6">
        <v>41988.923298611109</v>
      </c>
      <c r="J115" s="6" t="s">
        <v>103</v>
      </c>
      <c r="K115" s="6" t="s">
        <v>105</v>
      </c>
      <c r="L115" s="6" t="s">
        <v>948</v>
      </c>
      <c r="M115" s="6" t="s">
        <v>532</v>
      </c>
      <c r="N115" s="6" t="s">
        <v>949</v>
      </c>
      <c r="O115" s="6" t="s">
        <v>950</v>
      </c>
      <c r="P115" s="6" t="s">
        <v>215</v>
      </c>
      <c r="Q115" s="6">
        <v>250</v>
      </c>
      <c r="R115" s="6" t="s">
        <v>153</v>
      </c>
      <c r="S115" s="7">
        <v>250</v>
      </c>
      <c r="T115" s="7" t="s">
        <v>123</v>
      </c>
      <c r="U115" s="6" t="s">
        <v>108</v>
      </c>
      <c r="V115" s="6" t="s">
        <v>158</v>
      </c>
      <c r="W115" s="6" t="s">
        <v>160</v>
      </c>
      <c r="X115" s="6" t="s">
        <v>948</v>
      </c>
      <c r="Y115" s="8" t="s">
        <v>2894</v>
      </c>
      <c r="AA115" s="8" t="s">
        <v>2895</v>
      </c>
      <c r="AB115" s="6">
        <v>41361</v>
      </c>
      <c r="AC115" s="6">
        <v>41361</v>
      </c>
      <c r="AE115" s="6" t="s">
        <v>478</v>
      </c>
      <c r="AF115" s="6" t="s">
        <v>178</v>
      </c>
      <c r="AG115" s="6" t="s">
        <v>180</v>
      </c>
      <c r="AH115" s="6" t="s">
        <v>181</v>
      </c>
      <c r="AI115" s="6" t="s">
        <v>244</v>
      </c>
      <c r="AJ115" s="6" t="s">
        <v>244</v>
      </c>
      <c r="AK115" s="6" t="s">
        <v>185</v>
      </c>
      <c r="AL115" s="6" t="s">
        <v>178</v>
      </c>
      <c r="AM115" s="6" t="s">
        <v>189</v>
      </c>
      <c r="AN115" s="6" t="s">
        <v>181</v>
      </c>
      <c r="AO115" s="6" t="s">
        <v>185</v>
      </c>
      <c r="AP115" s="6" t="s">
        <v>386</v>
      </c>
      <c r="AQ115" s="6" t="s">
        <v>288</v>
      </c>
      <c r="AR115" s="6" t="s">
        <v>189</v>
      </c>
      <c r="AS115" s="6" t="s">
        <v>244</v>
      </c>
      <c r="AT115" s="6" t="s">
        <v>244</v>
      </c>
      <c r="AU115" s="6" t="s">
        <v>288</v>
      </c>
      <c r="AV115" s="6" t="s">
        <v>339</v>
      </c>
      <c r="AW115" s="6" t="s">
        <v>244</v>
      </c>
      <c r="AX115" s="6" t="s">
        <v>247</v>
      </c>
    </row>
    <row r="116" spans="1:50">
      <c r="A116" s="6">
        <v>150</v>
      </c>
      <c r="B116" s="5" t="s">
        <v>2896</v>
      </c>
      <c r="C116" s="6">
        <v>3</v>
      </c>
      <c r="D116" s="6" t="s">
        <v>98</v>
      </c>
      <c r="E116" s="6">
        <v>1</v>
      </c>
      <c r="F116" s="6" t="s">
        <v>951</v>
      </c>
      <c r="G116" s="6">
        <v>41988.923298611109</v>
      </c>
      <c r="H116" s="6">
        <v>41988.923298611109</v>
      </c>
      <c r="I116" s="6">
        <v>41988.923298611109</v>
      </c>
      <c r="J116" s="6" t="s">
        <v>103</v>
      </c>
      <c r="K116" s="6" t="s">
        <v>105</v>
      </c>
      <c r="L116" s="6" t="s">
        <v>952</v>
      </c>
      <c r="M116" s="6" t="s">
        <v>352</v>
      </c>
      <c r="N116" s="6" t="s">
        <v>953</v>
      </c>
      <c r="O116" s="6" t="s">
        <v>954</v>
      </c>
      <c r="P116" s="6" t="s">
        <v>215</v>
      </c>
      <c r="Q116" s="6">
        <v>250</v>
      </c>
      <c r="R116" s="6" t="s">
        <v>153</v>
      </c>
      <c r="S116" s="7">
        <v>250</v>
      </c>
      <c r="T116" s="7" t="s">
        <v>123</v>
      </c>
      <c r="U116" s="6" t="s">
        <v>108</v>
      </c>
      <c r="V116" s="6" t="s">
        <v>158</v>
      </c>
      <c r="W116" s="6" t="s">
        <v>160</v>
      </c>
      <c r="X116" s="6" t="s">
        <v>952</v>
      </c>
      <c r="Y116" s="8" t="s">
        <v>2897</v>
      </c>
      <c r="Z116" s="8" t="s">
        <v>2898</v>
      </c>
      <c r="AA116" s="6" t="s">
        <v>955</v>
      </c>
      <c r="AB116" s="6">
        <v>38953</v>
      </c>
      <c r="AC116" s="6">
        <v>38953</v>
      </c>
      <c r="AE116" s="6" t="s">
        <v>177</v>
      </c>
      <c r="AF116" s="6" t="s">
        <v>178</v>
      </c>
      <c r="AG116" s="6" t="s">
        <v>180</v>
      </c>
      <c r="AH116" s="6" t="s">
        <v>244</v>
      </c>
      <c r="AI116" s="6" t="s">
        <v>385</v>
      </c>
      <c r="AJ116" s="6" t="s">
        <v>244</v>
      </c>
      <c r="AK116" s="6" t="s">
        <v>185</v>
      </c>
      <c r="AL116" s="6" t="s">
        <v>479</v>
      </c>
      <c r="AM116" s="6" t="s">
        <v>189</v>
      </c>
      <c r="AN116" s="6" t="s">
        <v>371</v>
      </c>
      <c r="AO116" s="6" t="s">
        <v>185</v>
      </c>
      <c r="AP116" s="6" t="s">
        <v>394</v>
      </c>
      <c r="AQ116" s="6" t="s">
        <v>288</v>
      </c>
      <c r="AR116" s="6" t="s">
        <v>189</v>
      </c>
      <c r="AS116" s="6" t="s">
        <v>244</v>
      </c>
      <c r="AT116" s="6" t="s">
        <v>244</v>
      </c>
      <c r="AU116" s="6" t="s">
        <v>288</v>
      </c>
      <c r="AV116" s="6" t="s">
        <v>339</v>
      </c>
      <c r="AW116" s="6" t="s">
        <v>244</v>
      </c>
      <c r="AX116" s="6" t="s">
        <v>247</v>
      </c>
    </row>
    <row r="117" spans="1:50">
      <c r="A117" s="6">
        <v>154</v>
      </c>
      <c r="B117" s="5" t="s">
        <v>2899</v>
      </c>
      <c r="C117" s="6">
        <v>4</v>
      </c>
      <c r="D117" s="6" t="s">
        <v>98</v>
      </c>
      <c r="E117" s="6">
        <v>1</v>
      </c>
      <c r="F117" s="6" t="s">
        <v>967</v>
      </c>
      <c r="G117" s="6">
        <v>41988.923310185186</v>
      </c>
      <c r="H117" s="6">
        <v>42026.611712962964</v>
      </c>
      <c r="I117" s="6">
        <v>41988.923310185186</v>
      </c>
      <c r="J117" s="6" t="s">
        <v>103</v>
      </c>
      <c r="K117" s="6" t="s">
        <v>105</v>
      </c>
      <c r="L117" s="6" t="s">
        <v>968</v>
      </c>
      <c r="N117" s="6" t="s">
        <v>969</v>
      </c>
      <c r="P117" s="6" t="s">
        <v>966</v>
      </c>
      <c r="Q117" s="6">
        <v>276</v>
      </c>
      <c r="R117" s="6" t="s">
        <v>163</v>
      </c>
      <c r="S117" s="7">
        <v>276</v>
      </c>
      <c r="T117" s="7" t="s">
        <v>123</v>
      </c>
      <c r="U117" s="6" t="s">
        <v>108</v>
      </c>
      <c r="V117" s="6" t="s">
        <v>158</v>
      </c>
      <c r="W117" s="6" t="s">
        <v>160</v>
      </c>
      <c r="X117" s="6" t="s">
        <v>968</v>
      </c>
      <c r="Y117" s="8" t="s">
        <v>2900</v>
      </c>
      <c r="Z117" s="8" t="s">
        <v>2901</v>
      </c>
      <c r="AA117" s="8" t="s">
        <v>2902</v>
      </c>
      <c r="AB117" s="6">
        <v>39600</v>
      </c>
      <c r="AE117" s="6" t="s">
        <v>177</v>
      </c>
      <c r="AF117" s="6" t="s">
        <v>178</v>
      </c>
      <c r="AG117" s="6" t="s">
        <v>370</v>
      </c>
      <c r="AH117" s="6" t="s">
        <v>392</v>
      </c>
      <c r="AI117" s="6" t="s">
        <v>182</v>
      </c>
      <c r="AJ117" s="6" t="s">
        <v>244</v>
      </c>
      <c r="AK117" s="6" t="s">
        <v>244</v>
      </c>
      <c r="AL117" s="6" t="s">
        <v>247</v>
      </c>
      <c r="AM117" s="6" t="s">
        <v>244</v>
      </c>
      <c r="AN117" s="6" t="s">
        <v>621</v>
      </c>
      <c r="AO117" s="6" t="s">
        <v>244</v>
      </c>
      <c r="AP117" s="6" t="s">
        <v>247</v>
      </c>
      <c r="AQ117" s="6" t="s">
        <v>288</v>
      </c>
      <c r="AR117" s="6" t="s">
        <v>185</v>
      </c>
      <c r="AS117" s="6" t="s">
        <v>244</v>
      </c>
      <c r="AT117" s="6" t="s">
        <v>244</v>
      </c>
      <c r="AU117" s="6" t="s">
        <v>288</v>
      </c>
      <c r="AV117" s="6" t="s">
        <v>195</v>
      </c>
      <c r="AW117" s="6" t="s">
        <v>442</v>
      </c>
      <c r="AX117" s="6" t="s">
        <v>428</v>
      </c>
    </row>
    <row r="118" spans="1:50">
      <c r="A118" s="6">
        <v>158</v>
      </c>
      <c r="B118" s="5" t="s">
        <v>2903</v>
      </c>
      <c r="C118" s="6">
        <v>3</v>
      </c>
      <c r="D118" s="6" t="s">
        <v>98</v>
      </c>
      <c r="E118" s="6">
        <v>1</v>
      </c>
      <c r="F118" s="6" t="s">
        <v>977</v>
      </c>
      <c r="G118" s="6">
        <v>41988.923310185186</v>
      </c>
      <c r="H118" s="6">
        <v>41988.923310185186</v>
      </c>
      <c r="I118" s="6">
        <v>41988.923310185186</v>
      </c>
      <c r="J118" s="6" t="s">
        <v>103</v>
      </c>
      <c r="K118" s="6" t="s">
        <v>105</v>
      </c>
      <c r="L118" s="6" t="s">
        <v>978</v>
      </c>
      <c r="M118" s="6" t="s">
        <v>374</v>
      </c>
      <c r="N118" s="6" t="s">
        <v>979</v>
      </c>
      <c r="O118" s="6" t="s">
        <v>980</v>
      </c>
      <c r="P118" s="6" t="s">
        <v>215</v>
      </c>
      <c r="Q118" s="6">
        <v>276</v>
      </c>
      <c r="R118" s="6" t="s">
        <v>163</v>
      </c>
      <c r="S118" s="7">
        <v>276</v>
      </c>
      <c r="T118" s="7" t="s">
        <v>123</v>
      </c>
      <c r="U118" s="6" t="s">
        <v>108</v>
      </c>
      <c r="V118" s="6" t="s">
        <v>158</v>
      </c>
      <c r="W118" s="6" t="s">
        <v>160</v>
      </c>
      <c r="X118" s="6" t="s">
        <v>978</v>
      </c>
      <c r="Y118" s="8" t="s">
        <v>2904</v>
      </c>
      <c r="Z118" s="8" t="s">
        <v>2905</v>
      </c>
      <c r="AA118" s="8" t="s">
        <v>2906</v>
      </c>
      <c r="AB118" s="6">
        <v>41561</v>
      </c>
      <c r="AE118" s="6" t="s">
        <v>177</v>
      </c>
      <c r="AF118" s="6" t="s">
        <v>178</v>
      </c>
      <c r="AG118" s="6" t="s">
        <v>370</v>
      </c>
      <c r="AH118" s="6" t="s">
        <v>392</v>
      </c>
      <c r="AI118" s="6" t="s">
        <v>182</v>
      </c>
      <c r="AJ118" s="6" t="s">
        <v>393</v>
      </c>
      <c r="AK118" s="6" t="s">
        <v>244</v>
      </c>
      <c r="AL118" s="6" t="s">
        <v>247</v>
      </c>
      <c r="AM118" s="6" t="s">
        <v>244</v>
      </c>
      <c r="AN118" s="6" t="s">
        <v>378</v>
      </c>
      <c r="AO118" s="6" t="s">
        <v>244</v>
      </c>
      <c r="AP118" s="6" t="s">
        <v>247</v>
      </c>
      <c r="AQ118" s="6" t="s">
        <v>288</v>
      </c>
      <c r="AR118" s="6" t="s">
        <v>288</v>
      </c>
      <c r="AS118" s="6" t="s">
        <v>379</v>
      </c>
      <c r="AT118" s="6" t="s">
        <v>395</v>
      </c>
      <c r="AU118" s="6" t="s">
        <v>288</v>
      </c>
      <c r="AV118" s="6" t="s">
        <v>520</v>
      </c>
      <c r="AW118" s="6" t="s">
        <v>371</v>
      </c>
      <c r="AX118" s="6" t="s">
        <v>371</v>
      </c>
    </row>
    <row r="119" spans="1:50">
      <c r="A119" s="6">
        <v>17</v>
      </c>
      <c r="B119" s="5" t="s">
        <v>2907</v>
      </c>
      <c r="C119" s="6">
        <v>3</v>
      </c>
      <c r="D119" s="6" t="s">
        <v>98</v>
      </c>
      <c r="E119" s="6">
        <v>1</v>
      </c>
      <c r="F119" s="6" t="s">
        <v>1040</v>
      </c>
      <c r="G119" s="6">
        <v>41988.923090277778</v>
      </c>
      <c r="H119" s="6">
        <v>41988.923090277778</v>
      </c>
      <c r="I119" s="6">
        <v>41988.923090277778</v>
      </c>
      <c r="J119" s="6" t="s">
        <v>103</v>
      </c>
      <c r="K119" s="6" t="s">
        <v>105</v>
      </c>
      <c r="L119" s="6" t="s">
        <v>1041</v>
      </c>
      <c r="M119" s="6" t="s">
        <v>374</v>
      </c>
      <c r="N119" s="6" t="s">
        <v>1042</v>
      </c>
      <c r="P119" s="6" t="s">
        <v>215</v>
      </c>
      <c r="Q119" s="6">
        <v>344</v>
      </c>
      <c r="R119" s="6" t="s">
        <v>184</v>
      </c>
      <c r="S119" s="7">
        <v>344</v>
      </c>
      <c r="T119" s="7" t="s">
        <v>51</v>
      </c>
      <c r="U119" s="6" t="s">
        <v>56</v>
      </c>
      <c r="V119" s="6" t="s">
        <v>158</v>
      </c>
      <c r="W119" s="6" t="s">
        <v>160</v>
      </c>
      <c r="X119" s="6" t="s">
        <v>1041</v>
      </c>
      <c r="Y119" s="8" t="s">
        <v>2908</v>
      </c>
      <c r="Z119" s="8" t="s">
        <v>2909</v>
      </c>
      <c r="AA119" s="8" t="s">
        <v>2910</v>
      </c>
      <c r="AB119" s="6">
        <v>40198</v>
      </c>
      <c r="AE119" s="6" t="s">
        <v>177</v>
      </c>
      <c r="AF119" s="6" t="s">
        <v>178</v>
      </c>
      <c r="AG119" s="6" t="s">
        <v>180</v>
      </c>
      <c r="AH119" s="6" t="s">
        <v>392</v>
      </c>
      <c r="AI119" s="6" t="s">
        <v>182</v>
      </c>
      <c r="AJ119" s="6" t="s">
        <v>393</v>
      </c>
      <c r="AK119" s="6" t="s">
        <v>244</v>
      </c>
      <c r="AL119" s="6" t="s">
        <v>247</v>
      </c>
      <c r="AM119" s="6" t="s">
        <v>244</v>
      </c>
      <c r="AN119" s="6" t="s">
        <v>181</v>
      </c>
      <c r="AO119" s="6" t="s">
        <v>244</v>
      </c>
      <c r="AP119" s="6" t="s">
        <v>386</v>
      </c>
      <c r="AQ119" s="6" t="s">
        <v>288</v>
      </c>
      <c r="AR119" s="6" t="s">
        <v>288</v>
      </c>
      <c r="AS119" s="6" t="s">
        <v>244</v>
      </c>
      <c r="AT119" s="6" t="s">
        <v>244</v>
      </c>
      <c r="AU119" s="6" t="s">
        <v>288</v>
      </c>
      <c r="AV119" s="6" t="s">
        <v>339</v>
      </c>
      <c r="AW119" s="6" t="s">
        <v>244</v>
      </c>
      <c r="AX119" s="6" t="s">
        <v>247</v>
      </c>
    </row>
    <row r="120" spans="1:50">
      <c r="A120" s="6">
        <v>18</v>
      </c>
      <c r="B120" s="5" t="s">
        <v>2911</v>
      </c>
      <c r="C120" s="6">
        <v>3</v>
      </c>
      <c r="D120" s="6" t="s">
        <v>98</v>
      </c>
      <c r="E120" s="6">
        <v>1</v>
      </c>
      <c r="F120" s="6" t="s">
        <v>1043</v>
      </c>
      <c r="G120" s="6">
        <v>41988.923090277778</v>
      </c>
      <c r="H120" s="6">
        <v>41988.923090277778</v>
      </c>
      <c r="I120" s="6">
        <v>41988.923090277778</v>
      </c>
      <c r="J120" s="6" t="s">
        <v>103</v>
      </c>
      <c r="K120" s="6" t="s">
        <v>105</v>
      </c>
      <c r="L120" s="6" t="s">
        <v>1044</v>
      </c>
      <c r="M120" s="6" t="s">
        <v>532</v>
      </c>
      <c r="N120" s="6" t="s">
        <v>1045</v>
      </c>
      <c r="P120" s="6" t="s">
        <v>215</v>
      </c>
      <c r="Q120" s="6">
        <v>344</v>
      </c>
      <c r="R120" s="6" t="s">
        <v>184</v>
      </c>
      <c r="S120" s="7">
        <v>344</v>
      </c>
      <c r="T120" s="7" t="s">
        <v>51</v>
      </c>
      <c r="U120" s="6" t="s">
        <v>56</v>
      </c>
      <c r="V120" s="6" t="s">
        <v>158</v>
      </c>
      <c r="W120" s="6" t="s">
        <v>160</v>
      </c>
      <c r="X120" s="6" t="s">
        <v>1044</v>
      </c>
      <c r="Y120" s="8" t="s">
        <v>2912</v>
      </c>
      <c r="Z120" s="8" t="s">
        <v>2913</v>
      </c>
      <c r="AA120" s="8" t="s">
        <v>2914</v>
      </c>
      <c r="AB120" s="6">
        <v>39724</v>
      </c>
      <c r="AC120" s="6">
        <v>39724</v>
      </c>
      <c r="AD120" s="6">
        <v>40544</v>
      </c>
      <c r="AE120" s="6" t="s">
        <v>177</v>
      </c>
      <c r="AF120" s="6" t="s">
        <v>178</v>
      </c>
      <c r="AG120" s="6" t="s">
        <v>180</v>
      </c>
      <c r="AH120" s="6" t="s">
        <v>187</v>
      </c>
      <c r="AI120" s="6" t="s">
        <v>182</v>
      </c>
      <c r="AJ120" s="6" t="s">
        <v>393</v>
      </c>
      <c r="AK120" s="6" t="s">
        <v>244</v>
      </c>
      <c r="AL120" s="6" t="s">
        <v>178</v>
      </c>
      <c r="AM120" s="6" t="s">
        <v>244</v>
      </c>
      <c r="AN120" s="6" t="s">
        <v>181</v>
      </c>
      <c r="AO120" s="6" t="s">
        <v>189</v>
      </c>
      <c r="AP120" s="6" t="s">
        <v>394</v>
      </c>
      <c r="AQ120" s="6" t="s">
        <v>288</v>
      </c>
      <c r="AR120" s="6" t="s">
        <v>288</v>
      </c>
      <c r="AS120" s="6" t="s">
        <v>244</v>
      </c>
      <c r="AT120" s="6" t="s">
        <v>244</v>
      </c>
      <c r="AU120" s="6" t="s">
        <v>288</v>
      </c>
      <c r="AV120" s="6" t="s">
        <v>371</v>
      </c>
      <c r="AW120" s="6" t="s">
        <v>341</v>
      </c>
      <c r="AX120" s="6" t="s">
        <v>428</v>
      </c>
    </row>
    <row r="121" spans="1:50">
      <c r="A121" s="6">
        <v>19</v>
      </c>
      <c r="B121" s="5" t="s">
        <v>2915</v>
      </c>
      <c r="C121" s="6">
        <v>3</v>
      </c>
      <c r="D121" s="6" t="s">
        <v>98</v>
      </c>
      <c r="E121" s="6">
        <v>1</v>
      </c>
      <c r="F121" s="6" t="s">
        <v>1046</v>
      </c>
      <c r="G121" s="6">
        <v>41988.923090277778</v>
      </c>
      <c r="H121" s="6">
        <v>41988.923090277778</v>
      </c>
      <c r="I121" s="6">
        <v>41988.923090277778</v>
      </c>
      <c r="J121" s="6" t="s">
        <v>103</v>
      </c>
      <c r="K121" s="6" t="s">
        <v>105</v>
      </c>
      <c r="L121" s="6" t="s">
        <v>1047</v>
      </c>
      <c r="M121" s="6" t="s">
        <v>374</v>
      </c>
      <c r="P121" s="6" t="s">
        <v>215</v>
      </c>
      <c r="Q121" s="6">
        <v>344</v>
      </c>
      <c r="R121" s="6" t="s">
        <v>184</v>
      </c>
      <c r="S121" s="7">
        <v>344</v>
      </c>
      <c r="T121" s="7" t="s">
        <v>51</v>
      </c>
      <c r="U121" s="6" t="s">
        <v>56</v>
      </c>
      <c r="V121" s="6" t="s">
        <v>158</v>
      </c>
      <c r="W121" s="6" t="s">
        <v>384</v>
      </c>
      <c r="X121" s="6" t="s">
        <v>1047</v>
      </c>
      <c r="Y121" s="8" t="s">
        <v>2916</v>
      </c>
      <c r="Z121" s="8" t="s">
        <v>2917</v>
      </c>
      <c r="AA121" s="8" t="s">
        <v>2914</v>
      </c>
      <c r="AB121" s="6">
        <v>40228</v>
      </c>
      <c r="AC121" s="6">
        <v>40228</v>
      </c>
      <c r="AE121" s="6" t="s">
        <v>478</v>
      </c>
      <c r="AF121" s="6" t="s">
        <v>178</v>
      </c>
      <c r="AG121" s="6" t="s">
        <v>180</v>
      </c>
      <c r="AH121" s="6" t="s">
        <v>244</v>
      </c>
      <c r="AI121" s="6" t="s">
        <v>182</v>
      </c>
      <c r="AJ121" s="6" t="s">
        <v>393</v>
      </c>
      <c r="AK121" s="6" t="s">
        <v>189</v>
      </c>
      <c r="AL121" s="6" t="s">
        <v>178</v>
      </c>
      <c r="AM121" s="6" t="s">
        <v>189</v>
      </c>
      <c r="AN121" s="6" t="s">
        <v>392</v>
      </c>
      <c r="AO121" s="6" t="s">
        <v>244</v>
      </c>
      <c r="AP121" s="6" t="s">
        <v>394</v>
      </c>
      <c r="AQ121" s="6" t="s">
        <v>288</v>
      </c>
      <c r="AR121" s="6" t="s">
        <v>189</v>
      </c>
      <c r="AS121" s="6" t="s">
        <v>244</v>
      </c>
      <c r="AT121" s="6" t="s">
        <v>244</v>
      </c>
      <c r="AU121" s="6" t="s">
        <v>288</v>
      </c>
      <c r="AV121" s="6" t="s">
        <v>371</v>
      </c>
      <c r="AW121" s="6" t="s">
        <v>341</v>
      </c>
      <c r="AX121" s="6" t="s">
        <v>428</v>
      </c>
    </row>
    <row r="122" spans="1:50">
      <c r="A122" s="6">
        <v>178</v>
      </c>
      <c r="B122" s="5" t="s">
        <v>2918</v>
      </c>
      <c r="C122" s="6">
        <v>4</v>
      </c>
      <c r="D122" s="6" t="s">
        <v>98</v>
      </c>
      <c r="E122" s="6">
        <v>252</v>
      </c>
      <c r="F122" s="6" t="s">
        <v>1048</v>
      </c>
      <c r="G122" s="6">
        <v>41988.923333333332</v>
      </c>
      <c r="H122" s="6">
        <v>42046.981666666667</v>
      </c>
      <c r="I122" s="6">
        <v>41988.923333333332</v>
      </c>
      <c r="J122" s="6" t="s">
        <v>103</v>
      </c>
      <c r="K122" s="6" t="s">
        <v>105</v>
      </c>
      <c r="L122" s="6" t="s">
        <v>1049</v>
      </c>
      <c r="M122" s="6" t="s">
        <v>637</v>
      </c>
      <c r="N122" s="6" t="s">
        <v>1050</v>
      </c>
      <c r="O122" s="6" t="s">
        <v>1051</v>
      </c>
      <c r="P122" s="6" t="s">
        <v>215</v>
      </c>
      <c r="Q122" s="6">
        <v>348</v>
      </c>
      <c r="R122" s="6" t="s">
        <v>186</v>
      </c>
      <c r="S122" s="7">
        <v>348</v>
      </c>
      <c r="T122" s="7" t="s">
        <v>123</v>
      </c>
      <c r="U122" s="6" t="s">
        <v>102</v>
      </c>
      <c r="V122" s="6" t="s">
        <v>158</v>
      </c>
      <c r="W122" s="6" t="s">
        <v>376</v>
      </c>
      <c r="X122" s="6" t="s">
        <v>1049</v>
      </c>
      <c r="Y122" s="8" t="s">
        <v>2919</v>
      </c>
      <c r="AA122" s="6" t="s">
        <v>1052</v>
      </c>
      <c r="AB122" s="6" t="s">
        <v>1053</v>
      </c>
      <c r="AC122" s="6">
        <v>41275</v>
      </c>
      <c r="AE122" s="6" t="s">
        <v>177</v>
      </c>
      <c r="AF122" s="6" t="s">
        <v>178</v>
      </c>
      <c r="AG122" s="6" t="s">
        <v>180</v>
      </c>
      <c r="AH122" s="6" t="s">
        <v>244</v>
      </c>
      <c r="AI122" s="6" t="s">
        <v>371</v>
      </c>
      <c r="AJ122" s="6" t="s">
        <v>244</v>
      </c>
      <c r="AK122" s="6" t="s">
        <v>185</v>
      </c>
      <c r="AL122" s="6" t="s">
        <v>178</v>
      </c>
      <c r="AM122" s="6" t="s">
        <v>185</v>
      </c>
      <c r="AN122" s="6" t="s">
        <v>247</v>
      </c>
      <c r="AO122" s="6" t="s">
        <v>244</v>
      </c>
      <c r="AP122" s="6" t="s">
        <v>247</v>
      </c>
      <c r="AQ122" s="6" t="s">
        <v>288</v>
      </c>
      <c r="AR122" s="6" t="s">
        <v>185</v>
      </c>
      <c r="AS122" s="6" t="s">
        <v>244</v>
      </c>
      <c r="AT122" s="6" t="s">
        <v>244</v>
      </c>
      <c r="AU122" s="6" t="s">
        <v>288</v>
      </c>
      <c r="AV122" s="6" t="s">
        <v>371</v>
      </c>
      <c r="AW122" s="6" t="s">
        <v>442</v>
      </c>
      <c r="AX122" s="6" t="s">
        <v>247</v>
      </c>
    </row>
    <row r="123" spans="1:50">
      <c r="A123" s="6">
        <v>181</v>
      </c>
      <c r="B123" s="5" t="s">
        <v>2920</v>
      </c>
      <c r="C123" s="6">
        <v>3</v>
      </c>
      <c r="D123" s="6" t="s">
        <v>98</v>
      </c>
      <c r="E123" s="6">
        <v>1</v>
      </c>
      <c r="F123" s="6" t="s">
        <v>1060</v>
      </c>
      <c r="G123" s="6">
        <v>41988.923344907409</v>
      </c>
      <c r="H123" s="6">
        <v>41988.923344907409</v>
      </c>
      <c r="I123" s="6">
        <v>41988.923344907409</v>
      </c>
      <c r="J123" s="6" t="s">
        <v>103</v>
      </c>
      <c r="K123" s="6" t="s">
        <v>105</v>
      </c>
      <c r="L123" s="6" t="s">
        <v>1061</v>
      </c>
      <c r="M123" s="6" t="s">
        <v>374</v>
      </c>
      <c r="N123" s="6" t="s">
        <v>1062</v>
      </c>
      <c r="P123" s="6" t="s">
        <v>215</v>
      </c>
      <c r="Q123" s="6">
        <v>352</v>
      </c>
      <c r="R123" s="6" t="s">
        <v>188</v>
      </c>
      <c r="S123" s="7">
        <v>352</v>
      </c>
      <c r="T123" s="7" t="s">
        <v>123</v>
      </c>
      <c r="U123" s="6" t="s">
        <v>125</v>
      </c>
      <c r="V123" s="6" t="s">
        <v>158</v>
      </c>
      <c r="W123" s="6" t="s">
        <v>160</v>
      </c>
      <c r="X123" s="6" t="s">
        <v>1061</v>
      </c>
      <c r="Y123" s="8" t="s">
        <v>2921</v>
      </c>
      <c r="Z123" s="8" t="s">
        <v>2922</v>
      </c>
      <c r="AA123" s="8" t="s">
        <v>2923</v>
      </c>
      <c r="AB123" s="6">
        <v>40756</v>
      </c>
      <c r="AE123" s="6" t="s">
        <v>177</v>
      </c>
      <c r="AF123" s="6" t="s">
        <v>178</v>
      </c>
      <c r="AG123" s="6" t="s">
        <v>180</v>
      </c>
      <c r="AH123" s="6" t="s">
        <v>392</v>
      </c>
      <c r="AI123" s="6" t="s">
        <v>182</v>
      </c>
      <c r="AJ123" s="6" t="s">
        <v>393</v>
      </c>
      <c r="AK123" s="6" t="s">
        <v>189</v>
      </c>
      <c r="AL123" s="6" t="s">
        <v>178</v>
      </c>
      <c r="AM123" s="6" t="s">
        <v>189</v>
      </c>
      <c r="AN123" s="6" t="s">
        <v>247</v>
      </c>
      <c r="AO123" s="6" t="s">
        <v>244</v>
      </c>
      <c r="AP123" s="6" t="s">
        <v>394</v>
      </c>
      <c r="AQ123" s="6" t="s">
        <v>288</v>
      </c>
      <c r="AR123" s="6" t="s">
        <v>189</v>
      </c>
      <c r="AS123" s="6" t="s">
        <v>244</v>
      </c>
      <c r="AT123" s="6" t="s">
        <v>244</v>
      </c>
      <c r="AU123" s="6" t="s">
        <v>288</v>
      </c>
      <c r="AV123" s="6" t="s">
        <v>371</v>
      </c>
      <c r="AW123" s="6" t="s">
        <v>244</v>
      </c>
      <c r="AX123" s="6" t="s">
        <v>247</v>
      </c>
    </row>
    <row r="124" spans="1:50">
      <c r="A124" s="6">
        <v>758</v>
      </c>
      <c r="B124" s="5" t="s">
        <v>2924</v>
      </c>
      <c r="C124" s="6">
        <v>4</v>
      </c>
      <c r="D124" s="6" t="s">
        <v>98</v>
      </c>
      <c r="E124" s="6">
        <v>743</v>
      </c>
      <c r="F124" s="6" t="s">
        <v>1071</v>
      </c>
      <c r="G124" s="6">
        <v>42124.55877314815</v>
      </c>
      <c r="H124" s="6">
        <v>42124.55877314815</v>
      </c>
      <c r="I124" s="6">
        <v>42124.55877314815</v>
      </c>
      <c r="J124" s="6" t="s">
        <v>103</v>
      </c>
      <c r="K124" s="6" t="s">
        <v>105</v>
      </c>
      <c r="L124" s="6" t="s">
        <v>1072</v>
      </c>
      <c r="P124" s="6" t="s">
        <v>1073</v>
      </c>
      <c r="Q124" s="6">
        <v>352</v>
      </c>
      <c r="R124" s="6" t="s">
        <v>188</v>
      </c>
      <c r="S124" s="7">
        <v>352</v>
      </c>
      <c r="T124" s="7" t="s">
        <v>123</v>
      </c>
      <c r="U124" s="6" t="s">
        <v>125</v>
      </c>
      <c r="V124" s="6" t="s">
        <v>158</v>
      </c>
      <c r="W124" s="6" t="s">
        <v>160</v>
      </c>
      <c r="X124" s="6" t="s">
        <v>1072</v>
      </c>
      <c r="Y124" s="8" t="s">
        <v>2925</v>
      </c>
      <c r="Z124" s="8" t="s">
        <v>2926</v>
      </c>
      <c r="AA124" s="8" t="s">
        <v>2927</v>
      </c>
      <c r="AB124" s="6">
        <v>41821</v>
      </c>
      <c r="AE124" s="6" t="s">
        <v>177</v>
      </c>
      <c r="AF124" s="6" t="s">
        <v>178</v>
      </c>
      <c r="AG124" s="6" t="s">
        <v>370</v>
      </c>
      <c r="AH124" s="6" t="s">
        <v>392</v>
      </c>
      <c r="AI124" s="6" t="s">
        <v>182</v>
      </c>
      <c r="AJ124" s="6" t="s">
        <v>244</v>
      </c>
      <c r="AK124" s="6" t="s">
        <v>185</v>
      </c>
      <c r="AL124" s="6" t="s">
        <v>178</v>
      </c>
      <c r="AM124" s="6" t="s">
        <v>189</v>
      </c>
      <c r="AN124" s="6" t="s">
        <v>392</v>
      </c>
      <c r="AO124" s="6" t="s">
        <v>185</v>
      </c>
      <c r="AP124" s="6" t="s">
        <v>247</v>
      </c>
      <c r="AQ124" s="6" t="s">
        <v>288</v>
      </c>
      <c r="AR124" s="6" t="s">
        <v>185</v>
      </c>
      <c r="AS124" s="6" t="s">
        <v>244</v>
      </c>
      <c r="AT124" s="6" t="s">
        <v>244</v>
      </c>
      <c r="AU124" s="6" t="s">
        <v>244</v>
      </c>
      <c r="AV124" s="6" t="s">
        <v>339</v>
      </c>
      <c r="AW124" s="6" t="s">
        <v>442</v>
      </c>
      <c r="AX124" s="6" t="s">
        <v>247</v>
      </c>
    </row>
    <row r="125" spans="1:50">
      <c r="A125" s="6">
        <v>20</v>
      </c>
      <c r="B125" s="5" t="s">
        <v>2928</v>
      </c>
      <c r="C125" s="6">
        <v>3</v>
      </c>
      <c r="D125" s="6" t="s">
        <v>98</v>
      </c>
      <c r="E125" s="6">
        <v>1</v>
      </c>
      <c r="F125" s="6" t="s">
        <v>1074</v>
      </c>
      <c r="G125" s="6">
        <v>41988.923090277778</v>
      </c>
      <c r="H125" s="6">
        <v>41988.923090277778</v>
      </c>
      <c r="I125" s="6">
        <v>41988.923090277778</v>
      </c>
      <c r="J125" s="6" t="s">
        <v>103</v>
      </c>
      <c r="K125" s="6" t="s">
        <v>105</v>
      </c>
      <c r="L125" s="6" t="s">
        <v>1075</v>
      </c>
      <c r="M125" s="6" t="s">
        <v>352</v>
      </c>
      <c r="N125" s="6" t="s">
        <v>1076</v>
      </c>
      <c r="O125" s="6" t="s">
        <v>1077</v>
      </c>
      <c r="P125" s="6" t="s">
        <v>215</v>
      </c>
      <c r="Q125" s="6">
        <v>356</v>
      </c>
      <c r="R125" s="6" t="s">
        <v>191</v>
      </c>
      <c r="S125" s="7">
        <v>356</v>
      </c>
      <c r="T125" s="7" t="s">
        <v>118</v>
      </c>
      <c r="U125" s="6" t="s">
        <v>73</v>
      </c>
      <c r="V125" s="6" t="s">
        <v>158</v>
      </c>
      <c r="W125" s="6" t="s">
        <v>160</v>
      </c>
      <c r="X125" s="6" t="s">
        <v>1075</v>
      </c>
      <c r="Y125" s="8" t="s">
        <v>2929</v>
      </c>
      <c r="AA125" s="8" t="s">
        <v>2930</v>
      </c>
      <c r="AB125" s="6">
        <v>39022</v>
      </c>
      <c r="AC125" s="6" t="s">
        <v>1078</v>
      </c>
      <c r="AE125" s="6" t="s">
        <v>177</v>
      </c>
      <c r="AF125" s="6" t="s">
        <v>178</v>
      </c>
      <c r="AG125" s="6" t="s">
        <v>180</v>
      </c>
      <c r="AH125" s="6" t="s">
        <v>244</v>
      </c>
      <c r="AI125" s="6" t="s">
        <v>182</v>
      </c>
      <c r="AJ125" s="6" t="s">
        <v>244</v>
      </c>
      <c r="AK125" s="6" t="s">
        <v>244</v>
      </c>
      <c r="AL125" s="6" t="s">
        <v>247</v>
      </c>
      <c r="AM125" s="6" t="s">
        <v>244</v>
      </c>
      <c r="AN125" s="6" t="s">
        <v>247</v>
      </c>
      <c r="AO125" s="6" t="s">
        <v>244</v>
      </c>
      <c r="AP125" s="6" t="s">
        <v>247</v>
      </c>
      <c r="AQ125" s="6" t="s">
        <v>288</v>
      </c>
      <c r="AR125" s="6" t="s">
        <v>288</v>
      </c>
      <c r="AS125" s="6" t="s">
        <v>244</v>
      </c>
      <c r="AT125" s="6" t="s">
        <v>244</v>
      </c>
      <c r="AU125" s="6" t="s">
        <v>288</v>
      </c>
      <c r="AV125" s="6" t="s">
        <v>371</v>
      </c>
      <c r="AW125" s="6" t="s">
        <v>244</v>
      </c>
      <c r="AX125" s="6" t="s">
        <v>247</v>
      </c>
    </row>
    <row r="126" spans="1:50">
      <c r="A126" s="6">
        <v>21</v>
      </c>
      <c r="B126" s="5" t="s">
        <v>2931</v>
      </c>
      <c r="C126" s="6">
        <v>3</v>
      </c>
      <c r="D126" s="6" t="s">
        <v>98</v>
      </c>
      <c r="E126" s="6">
        <v>1</v>
      </c>
      <c r="F126" s="6" t="s">
        <v>1079</v>
      </c>
      <c r="G126" s="6">
        <v>41988.923090277778</v>
      </c>
      <c r="H126" s="6">
        <v>41988.923090277778</v>
      </c>
      <c r="I126" s="6">
        <v>41988.923090277778</v>
      </c>
      <c r="J126" s="6" t="s">
        <v>103</v>
      </c>
      <c r="K126" s="6" t="s">
        <v>105</v>
      </c>
      <c r="L126" s="6" t="s">
        <v>1080</v>
      </c>
      <c r="M126" s="6" t="s">
        <v>374</v>
      </c>
      <c r="N126" s="6" t="s">
        <v>1081</v>
      </c>
      <c r="O126" s="6" t="s">
        <v>1082</v>
      </c>
      <c r="Q126" s="6">
        <v>356</v>
      </c>
      <c r="R126" s="6" t="s">
        <v>191</v>
      </c>
      <c r="S126" s="7">
        <v>356</v>
      </c>
      <c r="T126" s="7" t="s">
        <v>118</v>
      </c>
      <c r="U126" s="6" t="s">
        <v>73</v>
      </c>
      <c r="V126" s="6" t="s">
        <v>158</v>
      </c>
      <c r="W126" s="6" t="s">
        <v>376</v>
      </c>
      <c r="X126" s="6" t="s">
        <v>1080</v>
      </c>
      <c r="Y126" s="8" t="s">
        <v>2932</v>
      </c>
      <c r="Z126" s="8" t="s">
        <v>2933</v>
      </c>
      <c r="AB126" s="6">
        <v>41549</v>
      </c>
      <c r="AC126" s="6">
        <v>41549</v>
      </c>
      <c r="AE126" s="6" t="s">
        <v>177</v>
      </c>
      <c r="AF126" s="6" t="s">
        <v>178</v>
      </c>
      <c r="AG126" s="6" t="s">
        <v>370</v>
      </c>
      <c r="AH126" s="6" t="s">
        <v>392</v>
      </c>
      <c r="AI126" s="6" t="s">
        <v>182</v>
      </c>
      <c r="AJ126" s="6" t="s">
        <v>393</v>
      </c>
      <c r="AK126" s="6" t="s">
        <v>189</v>
      </c>
      <c r="AL126" s="6" t="s">
        <v>178</v>
      </c>
      <c r="AM126" s="6" t="s">
        <v>244</v>
      </c>
      <c r="AN126" s="6" t="s">
        <v>378</v>
      </c>
      <c r="AO126" s="6" t="s">
        <v>244</v>
      </c>
      <c r="AP126" s="6" t="s">
        <v>394</v>
      </c>
      <c r="AQ126" s="6" t="s">
        <v>288</v>
      </c>
      <c r="AR126" s="6" t="s">
        <v>189</v>
      </c>
      <c r="AS126" s="6" t="s">
        <v>379</v>
      </c>
      <c r="AT126" s="6" t="s">
        <v>244</v>
      </c>
      <c r="AU126" s="6" t="s">
        <v>244</v>
      </c>
      <c r="AV126" s="6" t="s">
        <v>195</v>
      </c>
      <c r="AW126" s="6" t="s">
        <v>341</v>
      </c>
      <c r="AX126" s="6" t="s">
        <v>247</v>
      </c>
    </row>
    <row r="127" spans="1:50">
      <c r="A127" s="6">
        <v>22</v>
      </c>
      <c r="B127" s="5" t="s">
        <v>2934</v>
      </c>
      <c r="C127" s="6">
        <v>3</v>
      </c>
      <c r="D127" s="6" t="s">
        <v>98</v>
      </c>
      <c r="E127" s="6">
        <v>1</v>
      </c>
      <c r="F127" s="6" t="s">
        <v>1083</v>
      </c>
      <c r="G127" s="6">
        <v>41988.923090277778</v>
      </c>
      <c r="H127" s="6">
        <v>41988.923090277778</v>
      </c>
      <c r="I127" s="6">
        <v>41988.923090277778</v>
      </c>
      <c r="J127" s="6" t="s">
        <v>103</v>
      </c>
      <c r="K127" s="6" t="s">
        <v>105</v>
      </c>
      <c r="L127" s="6" t="s">
        <v>1084</v>
      </c>
      <c r="M127" s="6" t="s">
        <v>374</v>
      </c>
      <c r="N127" s="6" t="s">
        <v>1085</v>
      </c>
      <c r="P127" s="6" t="s">
        <v>215</v>
      </c>
      <c r="Q127" s="6">
        <v>356</v>
      </c>
      <c r="R127" s="6" t="s">
        <v>191</v>
      </c>
      <c r="S127" s="7">
        <v>356</v>
      </c>
      <c r="T127" s="7" t="s">
        <v>118</v>
      </c>
      <c r="U127" s="6" t="s">
        <v>73</v>
      </c>
      <c r="V127" s="6" t="s">
        <v>158</v>
      </c>
      <c r="W127" s="6" t="s">
        <v>376</v>
      </c>
      <c r="X127" s="6" t="s">
        <v>1084</v>
      </c>
      <c r="Y127" s="8" t="s">
        <v>2935</v>
      </c>
      <c r="Z127" s="8" t="s">
        <v>2936</v>
      </c>
      <c r="AA127" s="8" t="s">
        <v>2714</v>
      </c>
      <c r="AB127" s="6">
        <v>39850</v>
      </c>
      <c r="AE127" s="6" t="s">
        <v>177</v>
      </c>
      <c r="AF127" s="6" t="s">
        <v>178</v>
      </c>
      <c r="AG127" s="6" t="s">
        <v>180</v>
      </c>
      <c r="AH127" s="6" t="s">
        <v>244</v>
      </c>
      <c r="AI127" s="6" t="s">
        <v>182</v>
      </c>
      <c r="AJ127" s="6" t="s">
        <v>244</v>
      </c>
      <c r="AK127" s="6" t="s">
        <v>244</v>
      </c>
      <c r="AL127" s="6" t="s">
        <v>178</v>
      </c>
      <c r="AM127" s="6" t="s">
        <v>244</v>
      </c>
      <c r="AN127" s="6" t="s">
        <v>247</v>
      </c>
      <c r="AO127" s="6" t="s">
        <v>244</v>
      </c>
      <c r="AP127" s="6" t="s">
        <v>386</v>
      </c>
      <c r="AQ127" s="6" t="s">
        <v>288</v>
      </c>
      <c r="AR127" s="6" t="s">
        <v>185</v>
      </c>
      <c r="AS127" s="6" t="s">
        <v>244</v>
      </c>
      <c r="AT127" s="6" t="s">
        <v>244</v>
      </c>
      <c r="AU127" s="6" t="s">
        <v>288</v>
      </c>
      <c r="AV127" s="6" t="s">
        <v>339</v>
      </c>
      <c r="AW127" s="6" t="s">
        <v>341</v>
      </c>
      <c r="AX127" s="6" t="s">
        <v>247</v>
      </c>
    </row>
    <row r="128" spans="1:50">
      <c r="A128" s="6">
        <v>651</v>
      </c>
      <c r="B128" s="5" t="s">
        <v>2937</v>
      </c>
      <c r="C128" s="6">
        <v>7</v>
      </c>
      <c r="D128" s="6" t="s">
        <v>98</v>
      </c>
      <c r="E128" s="6">
        <v>65</v>
      </c>
      <c r="F128" s="6" t="s">
        <v>1086</v>
      </c>
      <c r="G128" s="6">
        <v>42012.507453703707</v>
      </c>
      <c r="H128" s="6">
        <v>42012.507453703707</v>
      </c>
      <c r="I128" s="6">
        <v>42012.507453703707</v>
      </c>
      <c r="J128" s="6" t="s">
        <v>103</v>
      </c>
      <c r="K128" s="6" t="s">
        <v>105</v>
      </c>
      <c r="L128" s="6" t="s">
        <v>1087</v>
      </c>
      <c r="N128" s="6" t="s">
        <v>1088</v>
      </c>
      <c r="Q128" s="6">
        <v>356</v>
      </c>
      <c r="R128" s="6" t="s">
        <v>191</v>
      </c>
      <c r="S128" s="7">
        <v>356</v>
      </c>
      <c r="T128" s="7" t="s">
        <v>118</v>
      </c>
      <c r="U128" s="6" t="s">
        <v>73</v>
      </c>
      <c r="V128" s="6" t="s">
        <v>158</v>
      </c>
      <c r="W128" s="6" t="s">
        <v>376</v>
      </c>
      <c r="X128" s="6" t="s">
        <v>1087</v>
      </c>
      <c r="Y128" s="8" t="s">
        <v>2938</v>
      </c>
      <c r="Z128" s="8" t="s">
        <v>2939</v>
      </c>
      <c r="AB128" s="6">
        <v>41985</v>
      </c>
      <c r="AC128" s="6">
        <v>41985</v>
      </c>
      <c r="AE128" s="6" t="s">
        <v>177</v>
      </c>
      <c r="AF128" s="6" t="s">
        <v>178</v>
      </c>
      <c r="AG128" s="6" t="s">
        <v>180</v>
      </c>
      <c r="AH128" s="6" t="s">
        <v>187</v>
      </c>
      <c r="AI128" s="6" t="s">
        <v>182</v>
      </c>
      <c r="AJ128" s="6" t="s">
        <v>393</v>
      </c>
      <c r="AK128" s="6" t="s">
        <v>185</v>
      </c>
      <c r="AL128" s="6" t="s">
        <v>178</v>
      </c>
      <c r="AM128" s="6" t="s">
        <v>244</v>
      </c>
      <c r="AN128" s="6" t="s">
        <v>378</v>
      </c>
      <c r="AO128" s="6" t="s">
        <v>244</v>
      </c>
      <c r="AP128" s="6" t="s">
        <v>247</v>
      </c>
      <c r="AQ128" s="6" t="s">
        <v>244</v>
      </c>
      <c r="AR128" s="6" t="s">
        <v>244</v>
      </c>
      <c r="AS128" s="6" t="s">
        <v>379</v>
      </c>
      <c r="AT128" s="6" t="s">
        <v>395</v>
      </c>
      <c r="AU128" s="6" t="s">
        <v>244</v>
      </c>
      <c r="AV128" s="6" t="s">
        <v>244</v>
      </c>
      <c r="AW128" s="6" t="s">
        <v>244</v>
      </c>
      <c r="AX128" s="6" t="s">
        <v>247</v>
      </c>
    </row>
    <row r="129" spans="1:50">
      <c r="A129" s="6">
        <v>23</v>
      </c>
      <c r="B129" s="5" t="s">
        <v>2940</v>
      </c>
      <c r="C129" s="6">
        <v>3</v>
      </c>
      <c r="D129" s="6" t="s">
        <v>98</v>
      </c>
      <c r="E129" s="6">
        <v>1</v>
      </c>
      <c r="F129" s="6" t="s">
        <v>1095</v>
      </c>
      <c r="G129" s="6">
        <v>41988.923090277778</v>
      </c>
      <c r="H129" s="6">
        <v>41988.923090277778</v>
      </c>
      <c r="I129" s="6">
        <v>41988.923090277778</v>
      </c>
      <c r="J129" s="6" t="s">
        <v>103</v>
      </c>
      <c r="K129" s="6" t="s">
        <v>105</v>
      </c>
      <c r="L129" s="6" t="s">
        <v>1096</v>
      </c>
      <c r="M129" s="6" t="s">
        <v>374</v>
      </c>
      <c r="N129" s="6" t="s">
        <v>1097</v>
      </c>
      <c r="P129" s="6" t="s">
        <v>215</v>
      </c>
      <c r="Q129" s="6">
        <v>356</v>
      </c>
      <c r="R129" s="6" t="s">
        <v>191</v>
      </c>
      <c r="S129" s="7">
        <v>356</v>
      </c>
      <c r="T129" s="7" t="s">
        <v>118</v>
      </c>
      <c r="U129" s="6" t="s">
        <v>73</v>
      </c>
      <c r="V129" s="6" t="s">
        <v>158</v>
      </c>
      <c r="W129" s="6" t="s">
        <v>376</v>
      </c>
      <c r="X129" s="6" t="s">
        <v>1096</v>
      </c>
      <c r="Y129" s="8" t="s">
        <v>2941</v>
      </c>
      <c r="Z129" s="8" t="s">
        <v>2942</v>
      </c>
      <c r="AA129" s="6" t="s">
        <v>1098</v>
      </c>
      <c r="AB129" s="6">
        <v>41413</v>
      </c>
      <c r="AC129" s="6">
        <v>41413</v>
      </c>
      <c r="AE129" s="6" t="s">
        <v>177</v>
      </c>
      <c r="AF129" s="6" t="s">
        <v>178</v>
      </c>
      <c r="AG129" s="6" t="s">
        <v>180</v>
      </c>
      <c r="AH129" s="6" t="s">
        <v>187</v>
      </c>
      <c r="AI129" s="6" t="s">
        <v>182</v>
      </c>
      <c r="AJ129" s="6" t="s">
        <v>393</v>
      </c>
      <c r="AK129" s="6" t="s">
        <v>189</v>
      </c>
      <c r="AL129" s="6" t="s">
        <v>178</v>
      </c>
      <c r="AM129" s="6" t="s">
        <v>244</v>
      </c>
      <c r="AN129" s="6" t="s">
        <v>378</v>
      </c>
      <c r="AO129" s="6" t="s">
        <v>244</v>
      </c>
      <c r="AP129" s="6" t="s">
        <v>386</v>
      </c>
      <c r="AQ129" s="6" t="s">
        <v>288</v>
      </c>
      <c r="AR129" s="6" t="s">
        <v>185</v>
      </c>
      <c r="AS129" s="6" t="s">
        <v>395</v>
      </c>
      <c r="AT129" s="6" t="s">
        <v>244</v>
      </c>
      <c r="AU129" s="6" t="s">
        <v>288</v>
      </c>
      <c r="AV129" s="6" t="s">
        <v>195</v>
      </c>
      <c r="AW129" s="6" t="s">
        <v>244</v>
      </c>
      <c r="AX129" s="6" t="s">
        <v>247</v>
      </c>
    </row>
    <row r="130" spans="1:50">
      <c r="A130" s="6">
        <v>24</v>
      </c>
      <c r="B130" s="5" t="s">
        <v>2943</v>
      </c>
      <c r="C130" s="6">
        <v>4</v>
      </c>
      <c r="D130" s="6" t="s">
        <v>98</v>
      </c>
      <c r="E130" s="6">
        <v>229</v>
      </c>
      <c r="F130" s="6" t="s">
        <v>1099</v>
      </c>
      <c r="G130" s="6">
        <v>41988.923090277778</v>
      </c>
      <c r="H130" s="6">
        <v>42046.981631944444</v>
      </c>
      <c r="I130" s="6">
        <v>41988.923090277778</v>
      </c>
      <c r="J130" s="6" t="s">
        <v>103</v>
      </c>
      <c r="K130" s="6" t="s">
        <v>105</v>
      </c>
      <c r="L130" s="6" t="s">
        <v>1100</v>
      </c>
      <c r="M130" s="6" t="s">
        <v>374</v>
      </c>
      <c r="P130" s="6" t="s">
        <v>215</v>
      </c>
      <c r="Q130" s="6">
        <v>356</v>
      </c>
      <c r="R130" s="6" t="s">
        <v>191</v>
      </c>
      <c r="S130" s="7">
        <v>356</v>
      </c>
      <c r="T130" s="7" t="s">
        <v>118</v>
      </c>
      <c r="U130" s="6" t="s">
        <v>73</v>
      </c>
      <c r="V130" s="6" t="s">
        <v>158</v>
      </c>
      <c r="W130" s="6" t="s">
        <v>364</v>
      </c>
      <c r="X130" s="6" t="s">
        <v>1100</v>
      </c>
      <c r="Y130" s="8" t="s">
        <v>2944</v>
      </c>
      <c r="Z130" s="8" t="s">
        <v>2945</v>
      </c>
      <c r="AA130" s="8" t="s">
        <v>2946</v>
      </c>
      <c r="AE130" s="6" t="s">
        <v>177</v>
      </c>
      <c r="AF130" s="6" t="s">
        <v>178</v>
      </c>
      <c r="AG130" s="6" t="s">
        <v>180</v>
      </c>
      <c r="AH130" s="6" t="s">
        <v>244</v>
      </c>
      <c r="AI130" s="6" t="s">
        <v>182</v>
      </c>
      <c r="AJ130" s="6" t="s">
        <v>393</v>
      </c>
      <c r="AK130" s="6" t="s">
        <v>244</v>
      </c>
      <c r="AL130" s="6" t="s">
        <v>247</v>
      </c>
      <c r="AM130" s="6" t="s">
        <v>244</v>
      </c>
      <c r="AN130" s="6" t="s">
        <v>247</v>
      </c>
      <c r="AO130" s="6" t="s">
        <v>189</v>
      </c>
      <c r="AP130" s="6" t="s">
        <v>386</v>
      </c>
      <c r="AQ130" s="6" t="s">
        <v>288</v>
      </c>
      <c r="AR130" s="6" t="s">
        <v>288</v>
      </c>
      <c r="AS130" s="6" t="s">
        <v>244</v>
      </c>
      <c r="AT130" s="6" t="s">
        <v>244</v>
      </c>
      <c r="AU130" s="6" t="s">
        <v>288</v>
      </c>
      <c r="AV130" s="6" t="s">
        <v>339</v>
      </c>
      <c r="AW130" s="6" t="s">
        <v>244</v>
      </c>
      <c r="AX130" s="6" t="s">
        <v>247</v>
      </c>
    </row>
    <row r="131" spans="1:50">
      <c r="A131" s="6">
        <v>28</v>
      </c>
      <c r="B131" s="5" t="s">
        <v>2947</v>
      </c>
      <c r="C131" s="6">
        <v>3</v>
      </c>
      <c r="D131" s="6" t="s">
        <v>98</v>
      </c>
      <c r="E131" s="6">
        <v>1</v>
      </c>
      <c r="F131" s="6" t="s">
        <v>1108</v>
      </c>
      <c r="G131" s="6">
        <v>41988.923101851855</v>
      </c>
      <c r="H131" s="6">
        <v>41988.923101851855</v>
      </c>
      <c r="I131" s="6">
        <v>41988.923101851855</v>
      </c>
      <c r="J131" s="6" t="s">
        <v>103</v>
      </c>
      <c r="K131" s="6" t="s">
        <v>105</v>
      </c>
      <c r="L131" s="6" t="s">
        <v>1109</v>
      </c>
      <c r="M131" s="6" t="s">
        <v>637</v>
      </c>
      <c r="N131" s="6" t="s">
        <v>1110</v>
      </c>
      <c r="O131" s="6" t="s">
        <v>1111</v>
      </c>
      <c r="P131" s="6" t="s">
        <v>215</v>
      </c>
      <c r="Q131" s="6">
        <v>356</v>
      </c>
      <c r="R131" s="6" t="s">
        <v>191</v>
      </c>
      <c r="S131" s="7">
        <v>356</v>
      </c>
      <c r="T131" s="7" t="s">
        <v>118</v>
      </c>
      <c r="U131" s="6" t="s">
        <v>73</v>
      </c>
      <c r="V131" s="6" t="s">
        <v>158</v>
      </c>
      <c r="W131" s="6" t="s">
        <v>160</v>
      </c>
      <c r="X131" s="6" t="s">
        <v>1109</v>
      </c>
      <c r="Y131" s="8" t="s">
        <v>2948</v>
      </c>
      <c r="AA131" s="8" t="s">
        <v>2949</v>
      </c>
      <c r="AB131" s="6">
        <v>39761</v>
      </c>
      <c r="AC131" s="6">
        <v>39761</v>
      </c>
      <c r="AE131" s="6" t="s">
        <v>177</v>
      </c>
      <c r="AF131" s="6" t="s">
        <v>178</v>
      </c>
      <c r="AG131" s="6" t="s">
        <v>180</v>
      </c>
      <c r="AH131" s="6" t="s">
        <v>371</v>
      </c>
      <c r="AI131" s="6" t="s">
        <v>385</v>
      </c>
      <c r="AJ131" s="6" t="s">
        <v>371</v>
      </c>
      <c r="AK131" s="6" t="s">
        <v>185</v>
      </c>
      <c r="AL131" s="6" t="s">
        <v>178</v>
      </c>
      <c r="AM131" s="6" t="s">
        <v>244</v>
      </c>
      <c r="AN131" s="6" t="s">
        <v>621</v>
      </c>
      <c r="AO131" s="6" t="s">
        <v>185</v>
      </c>
      <c r="AP131" s="6" t="s">
        <v>190</v>
      </c>
      <c r="AQ131" s="6" t="s">
        <v>288</v>
      </c>
      <c r="AR131" s="6" t="s">
        <v>288</v>
      </c>
      <c r="AS131" s="6" t="s">
        <v>244</v>
      </c>
      <c r="AT131" s="6" t="s">
        <v>244</v>
      </c>
      <c r="AU131" s="6" t="s">
        <v>288</v>
      </c>
      <c r="AV131" s="6" t="s">
        <v>339</v>
      </c>
      <c r="AW131" s="6" t="s">
        <v>244</v>
      </c>
      <c r="AX131" s="6" t="s">
        <v>247</v>
      </c>
    </row>
    <row r="132" spans="1:50">
      <c r="A132" s="6">
        <v>29</v>
      </c>
      <c r="B132" s="5" t="s">
        <v>2950</v>
      </c>
      <c r="C132" s="6">
        <v>3</v>
      </c>
      <c r="D132" s="6" t="s">
        <v>98</v>
      </c>
      <c r="E132" s="6">
        <v>1</v>
      </c>
      <c r="F132" s="6" t="s">
        <v>1112</v>
      </c>
      <c r="G132" s="6">
        <v>41988.923101851855</v>
      </c>
      <c r="H132" s="6">
        <v>41988.923101851855</v>
      </c>
      <c r="I132" s="6">
        <v>41988.923101851855</v>
      </c>
      <c r="J132" s="6" t="s">
        <v>103</v>
      </c>
      <c r="K132" s="6" t="s">
        <v>105</v>
      </c>
      <c r="L132" s="6" t="s">
        <v>1113</v>
      </c>
      <c r="M132" s="6" t="s">
        <v>352</v>
      </c>
      <c r="N132" s="6" t="s">
        <v>1114</v>
      </c>
      <c r="O132" s="6" t="s">
        <v>1115</v>
      </c>
      <c r="P132" s="6" t="s">
        <v>215</v>
      </c>
      <c r="Q132" s="6">
        <v>356</v>
      </c>
      <c r="R132" s="6" t="s">
        <v>191</v>
      </c>
      <c r="S132" s="7">
        <v>356</v>
      </c>
      <c r="T132" s="7" t="s">
        <v>118</v>
      </c>
      <c r="U132" s="6" t="s">
        <v>73</v>
      </c>
      <c r="V132" s="6" t="s">
        <v>158</v>
      </c>
      <c r="W132" s="6" t="s">
        <v>160</v>
      </c>
      <c r="X132" s="6" t="s">
        <v>1113</v>
      </c>
      <c r="Y132" s="8" t="s">
        <v>2951</v>
      </c>
      <c r="AA132" s="8" t="s">
        <v>2952</v>
      </c>
      <c r="AB132" s="6">
        <v>40518</v>
      </c>
      <c r="AE132" s="6" t="s">
        <v>177</v>
      </c>
      <c r="AF132" s="6" t="s">
        <v>178</v>
      </c>
      <c r="AG132" s="6" t="s">
        <v>180</v>
      </c>
      <c r="AH132" s="6" t="s">
        <v>181</v>
      </c>
      <c r="AI132" s="6" t="s">
        <v>182</v>
      </c>
      <c r="AJ132" s="6" t="s">
        <v>393</v>
      </c>
      <c r="AK132" s="6" t="s">
        <v>244</v>
      </c>
      <c r="AL132" s="6" t="s">
        <v>178</v>
      </c>
      <c r="AM132" s="6" t="s">
        <v>189</v>
      </c>
      <c r="AN132" s="6" t="s">
        <v>181</v>
      </c>
      <c r="AO132" s="6" t="s">
        <v>244</v>
      </c>
      <c r="AP132" s="6" t="s">
        <v>386</v>
      </c>
      <c r="AQ132" s="6" t="s">
        <v>288</v>
      </c>
      <c r="AR132" s="6" t="s">
        <v>288</v>
      </c>
      <c r="AS132" s="6" t="s">
        <v>244</v>
      </c>
      <c r="AT132" s="6" t="s">
        <v>244</v>
      </c>
      <c r="AU132" s="6" t="s">
        <v>288</v>
      </c>
      <c r="AV132" s="6" t="s">
        <v>339</v>
      </c>
      <c r="AW132" s="6" t="s">
        <v>244</v>
      </c>
      <c r="AX132" s="6" t="s">
        <v>247</v>
      </c>
    </row>
    <row r="133" spans="1:50">
      <c r="A133" s="6">
        <v>30</v>
      </c>
      <c r="B133" s="5" t="s">
        <v>2953</v>
      </c>
      <c r="C133" s="6">
        <v>3</v>
      </c>
      <c r="D133" s="6" t="s">
        <v>98</v>
      </c>
      <c r="E133" s="6">
        <v>1</v>
      </c>
      <c r="F133" s="6" t="s">
        <v>1116</v>
      </c>
      <c r="G133" s="6">
        <v>41988.923101851855</v>
      </c>
      <c r="H133" s="6">
        <v>41988.923101851855</v>
      </c>
      <c r="I133" s="6">
        <v>41988.923101851855</v>
      </c>
      <c r="J133" s="6" t="s">
        <v>103</v>
      </c>
      <c r="K133" s="6" t="s">
        <v>105</v>
      </c>
      <c r="L133" s="6" t="s">
        <v>1117</v>
      </c>
      <c r="M133" s="6" t="s">
        <v>532</v>
      </c>
      <c r="N133" s="6" t="s">
        <v>1118</v>
      </c>
      <c r="O133" s="6" t="s">
        <v>1119</v>
      </c>
      <c r="P133" s="6" t="s">
        <v>215</v>
      </c>
      <c r="Q133" s="6">
        <v>356</v>
      </c>
      <c r="R133" s="6" t="s">
        <v>191</v>
      </c>
      <c r="S133" s="7">
        <v>356</v>
      </c>
      <c r="T133" s="7" t="s">
        <v>118</v>
      </c>
      <c r="U133" s="6" t="s">
        <v>73</v>
      </c>
      <c r="V133" s="6" t="s">
        <v>158</v>
      </c>
      <c r="W133" s="6" t="s">
        <v>160</v>
      </c>
      <c r="X133" s="6" t="s">
        <v>1117</v>
      </c>
      <c r="Y133" s="8" t="s">
        <v>2954</v>
      </c>
      <c r="AA133" s="8" t="s">
        <v>2955</v>
      </c>
      <c r="AB133" s="6">
        <v>38849</v>
      </c>
      <c r="AC133" s="6">
        <v>38849</v>
      </c>
      <c r="AE133" s="6" t="s">
        <v>177</v>
      </c>
      <c r="AF133" s="6" t="s">
        <v>178</v>
      </c>
      <c r="AG133" s="6" t="s">
        <v>180</v>
      </c>
      <c r="AH133" s="6" t="s">
        <v>244</v>
      </c>
      <c r="AI133" s="6" t="s">
        <v>182</v>
      </c>
      <c r="AJ133" s="6" t="s">
        <v>393</v>
      </c>
      <c r="AK133" s="6" t="s">
        <v>244</v>
      </c>
      <c r="AL133" s="6" t="s">
        <v>178</v>
      </c>
      <c r="AM133" s="6" t="s">
        <v>244</v>
      </c>
      <c r="AN133" s="6" t="s">
        <v>247</v>
      </c>
      <c r="AO133" s="6" t="s">
        <v>244</v>
      </c>
      <c r="AP133" s="6" t="s">
        <v>386</v>
      </c>
      <c r="AQ133" s="6" t="s">
        <v>288</v>
      </c>
      <c r="AR133" s="6" t="s">
        <v>288</v>
      </c>
      <c r="AS133" s="6" t="s">
        <v>244</v>
      </c>
      <c r="AT133" s="6" t="s">
        <v>244</v>
      </c>
      <c r="AU133" s="6" t="s">
        <v>288</v>
      </c>
      <c r="AV133" s="6" t="s">
        <v>339</v>
      </c>
      <c r="AW133" s="6" t="s">
        <v>244</v>
      </c>
      <c r="AX133" s="6" t="s">
        <v>247</v>
      </c>
    </row>
    <row r="134" spans="1:50">
      <c r="A134" s="6">
        <v>34</v>
      </c>
      <c r="B134" s="5" t="s">
        <v>2956</v>
      </c>
      <c r="C134" s="6">
        <v>4</v>
      </c>
      <c r="D134" s="6" t="s">
        <v>98</v>
      </c>
      <c r="E134" s="6">
        <v>232</v>
      </c>
      <c r="F134" s="6" t="s">
        <v>1140</v>
      </c>
      <c r="G134" s="6">
        <v>41988.923113425924</v>
      </c>
      <c r="H134" s="6">
        <v>42046.981631944444</v>
      </c>
      <c r="I134" s="6">
        <v>41988.923113425924</v>
      </c>
      <c r="J134" s="6" t="s">
        <v>103</v>
      </c>
      <c r="K134" s="6" t="s">
        <v>105</v>
      </c>
      <c r="L134" s="6" t="s">
        <v>1141</v>
      </c>
      <c r="M134" s="6" t="s">
        <v>307</v>
      </c>
      <c r="N134" s="6" t="s">
        <v>1142</v>
      </c>
      <c r="O134" s="6" t="s">
        <v>1143</v>
      </c>
      <c r="P134" s="6" t="s">
        <v>215</v>
      </c>
      <c r="Q134" s="6">
        <v>360</v>
      </c>
      <c r="R134" s="6" t="s">
        <v>192</v>
      </c>
      <c r="S134" s="7">
        <v>360</v>
      </c>
      <c r="T134" s="7" t="s">
        <v>118</v>
      </c>
      <c r="U134" s="6" t="s">
        <v>74</v>
      </c>
      <c r="V134" s="6" t="s">
        <v>158</v>
      </c>
      <c r="W134" s="6" t="s">
        <v>160</v>
      </c>
      <c r="X134" s="6" t="s">
        <v>1141</v>
      </c>
      <c r="Y134" s="8" t="s">
        <v>2957</v>
      </c>
      <c r="Z134" s="8" t="s">
        <v>2958</v>
      </c>
      <c r="AA134" s="8" t="s">
        <v>2959</v>
      </c>
      <c r="AB134" s="6">
        <v>40972</v>
      </c>
      <c r="AC134" s="6">
        <v>40972</v>
      </c>
      <c r="AE134" s="6" t="s">
        <v>177</v>
      </c>
      <c r="AF134" s="6" t="s">
        <v>178</v>
      </c>
      <c r="AG134" s="6" t="s">
        <v>180</v>
      </c>
      <c r="AH134" s="6" t="s">
        <v>181</v>
      </c>
      <c r="AI134" s="6" t="s">
        <v>182</v>
      </c>
      <c r="AJ134" s="6" t="s">
        <v>371</v>
      </c>
      <c r="AK134" s="6" t="s">
        <v>244</v>
      </c>
      <c r="AL134" s="6" t="s">
        <v>247</v>
      </c>
      <c r="AM134" s="6" t="s">
        <v>244</v>
      </c>
      <c r="AN134" s="6" t="s">
        <v>181</v>
      </c>
      <c r="AO134" s="6" t="s">
        <v>244</v>
      </c>
      <c r="AP134" s="6" t="s">
        <v>386</v>
      </c>
      <c r="AQ134" s="6" t="s">
        <v>288</v>
      </c>
      <c r="AR134" s="6" t="s">
        <v>288</v>
      </c>
      <c r="AS134" s="6" t="s">
        <v>244</v>
      </c>
      <c r="AT134" s="6" t="s">
        <v>244</v>
      </c>
      <c r="AU134" s="6" t="s">
        <v>288</v>
      </c>
      <c r="AV134" s="6" t="s">
        <v>339</v>
      </c>
      <c r="AW134" s="6" t="s">
        <v>244</v>
      </c>
      <c r="AX134" s="6" t="s">
        <v>247</v>
      </c>
    </row>
    <row r="135" spans="1:50">
      <c r="A135" s="6">
        <v>37</v>
      </c>
      <c r="B135" s="5" t="s">
        <v>2960</v>
      </c>
      <c r="C135" s="6">
        <v>4</v>
      </c>
      <c r="D135" s="6" t="s">
        <v>98</v>
      </c>
      <c r="E135" s="6">
        <v>233</v>
      </c>
      <c r="F135" s="6" t="s">
        <v>1148</v>
      </c>
      <c r="G135" s="6">
        <v>41988.923113425924</v>
      </c>
      <c r="H135" s="6">
        <v>42046.981631944444</v>
      </c>
      <c r="I135" s="6">
        <v>41988.923113425924</v>
      </c>
      <c r="J135" s="6" t="s">
        <v>103</v>
      </c>
      <c r="K135" s="6" t="s">
        <v>105</v>
      </c>
      <c r="L135" s="6" t="s">
        <v>1149</v>
      </c>
      <c r="M135" s="6" t="s">
        <v>637</v>
      </c>
      <c r="N135" s="6" t="s">
        <v>1150</v>
      </c>
      <c r="O135" s="6" t="s">
        <v>620</v>
      </c>
      <c r="P135" s="6" t="s">
        <v>215</v>
      </c>
      <c r="Q135" s="6">
        <v>360</v>
      </c>
      <c r="R135" s="6" t="s">
        <v>192</v>
      </c>
      <c r="S135" s="7">
        <v>360</v>
      </c>
      <c r="T135" s="7" t="s">
        <v>118</v>
      </c>
      <c r="U135" s="6" t="s">
        <v>74</v>
      </c>
      <c r="V135" s="6" t="s">
        <v>158</v>
      </c>
      <c r="W135" s="6" t="s">
        <v>384</v>
      </c>
      <c r="X135" s="6" t="s">
        <v>1149</v>
      </c>
      <c r="Y135" s="8" t="s">
        <v>2961</v>
      </c>
      <c r="Z135" s="8" t="s">
        <v>2962</v>
      </c>
      <c r="AA135" s="8" t="s">
        <v>2963</v>
      </c>
      <c r="AB135" s="6">
        <v>40969</v>
      </c>
      <c r="AC135" s="6">
        <v>40969</v>
      </c>
      <c r="AE135" s="6" t="s">
        <v>177</v>
      </c>
      <c r="AF135" s="6" t="s">
        <v>178</v>
      </c>
      <c r="AG135" s="6" t="s">
        <v>180</v>
      </c>
      <c r="AH135" s="6" t="s">
        <v>371</v>
      </c>
      <c r="AI135" s="6" t="s">
        <v>182</v>
      </c>
      <c r="AJ135" s="6" t="s">
        <v>371</v>
      </c>
      <c r="AK135" s="6" t="s">
        <v>244</v>
      </c>
      <c r="AL135" s="6" t="s">
        <v>247</v>
      </c>
      <c r="AM135" s="6" t="s">
        <v>244</v>
      </c>
      <c r="AN135" s="6" t="s">
        <v>181</v>
      </c>
      <c r="AO135" s="6" t="s">
        <v>244</v>
      </c>
      <c r="AP135" s="6" t="s">
        <v>386</v>
      </c>
      <c r="AQ135" s="6" t="s">
        <v>288</v>
      </c>
      <c r="AR135" s="6" t="s">
        <v>288</v>
      </c>
      <c r="AS135" s="6" t="s">
        <v>244</v>
      </c>
      <c r="AT135" s="6" t="s">
        <v>244</v>
      </c>
      <c r="AU135" s="6" t="s">
        <v>288</v>
      </c>
      <c r="AV135" s="6" t="s">
        <v>371</v>
      </c>
      <c r="AW135" s="6" t="s">
        <v>371</v>
      </c>
      <c r="AX135" s="6" t="s">
        <v>371</v>
      </c>
    </row>
    <row r="136" spans="1:50">
      <c r="A136" s="6">
        <v>183</v>
      </c>
      <c r="B136" s="5" t="s">
        <v>2964</v>
      </c>
      <c r="C136" s="6">
        <v>5</v>
      </c>
      <c r="D136" s="6" t="s">
        <v>98</v>
      </c>
      <c r="E136" s="6">
        <v>1</v>
      </c>
      <c r="F136" s="6" t="s">
        <v>1151</v>
      </c>
      <c r="G136" s="6">
        <v>41988.923344907409</v>
      </c>
      <c r="H136" s="6">
        <v>42026.549722222226</v>
      </c>
      <c r="I136" s="6">
        <v>41988.923344907409</v>
      </c>
      <c r="J136" s="6" t="s">
        <v>103</v>
      </c>
      <c r="K136" s="6" t="s">
        <v>105</v>
      </c>
      <c r="L136" s="6" t="s">
        <v>1152</v>
      </c>
      <c r="M136" s="6" t="s">
        <v>374</v>
      </c>
      <c r="N136" s="6" t="s">
        <v>1153</v>
      </c>
      <c r="O136" s="6" t="s">
        <v>1154</v>
      </c>
      <c r="P136" s="6" t="s">
        <v>215</v>
      </c>
      <c r="Q136" s="6">
        <v>372</v>
      </c>
      <c r="R136" s="6" t="s">
        <v>199</v>
      </c>
      <c r="S136" s="7">
        <v>372</v>
      </c>
      <c r="T136" s="7" t="s">
        <v>123</v>
      </c>
      <c r="U136" s="6" t="s">
        <v>125</v>
      </c>
      <c r="V136" s="6" t="s">
        <v>158</v>
      </c>
      <c r="W136" s="6" t="s">
        <v>757</v>
      </c>
      <c r="X136" s="6" t="s">
        <v>1152</v>
      </c>
      <c r="Y136" s="8" t="s">
        <v>2965</v>
      </c>
      <c r="Z136" s="8" t="s">
        <v>2966</v>
      </c>
      <c r="AA136" s="8" t="s">
        <v>2967</v>
      </c>
      <c r="AB136" s="6">
        <v>41206</v>
      </c>
      <c r="AC136" s="6">
        <v>41275</v>
      </c>
      <c r="AE136" s="6" t="s">
        <v>244</v>
      </c>
      <c r="AF136" s="6" t="s">
        <v>178</v>
      </c>
      <c r="AG136" s="6" t="s">
        <v>180</v>
      </c>
      <c r="AH136" s="6" t="s">
        <v>187</v>
      </c>
      <c r="AI136" s="6" t="s">
        <v>244</v>
      </c>
      <c r="AJ136" s="6" t="s">
        <v>371</v>
      </c>
      <c r="AK136" s="6" t="s">
        <v>185</v>
      </c>
      <c r="AL136" s="6" t="s">
        <v>178</v>
      </c>
      <c r="AM136" s="6" t="s">
        <v>244</v>
      </c>
      <c r="AN136" s="6" t="s">
        <v>392</v>
      </c>
      <c r="AO136" s="6" t="s">
        <v>244</v>
      </c>
      <c r="AP136" s="6" t="s">
        <v>394</v>
      </c>
      <c r="AQ136" s="6" t="s">
        <v>288</v>
      </c>
      <c r="AR136" s="6" t="s">
        <v>288</v>
      </c>
      <c r="AS136" s="6" t="s">
        <v>379</v>
      </c>
      <c r="AT136" s="6" t="s">
        <v>395</v>
      </c>
      <c r="AU136" s="6" t="s">
        <v>185</v>
      </c>
      <c r="AV136" s="6" t="s">
        <v>195</v>
      </c>
      <c r="AW136" s="6" t="s">
        <v>341</v>
      </c>
      <c r="AX136" s="6" t="s">
        <v>371</v>
      </c>
    </row>
    <row r="137" spans="1:50">
      <c r="A137" s="6">
        <v>184</v>
      </c>
      <c r="B137" s="5" t="s">
        <v>2968</v>
      </c>
      <c r="C137" s="6">
        <v>4</v>
      </c>
      <c r="D137" s="6" t="s">
        <v>98</v>
      </c>
      <c r="E137" s="6">
        <v>1</v>
      </c>
      <c r="F137" s="6" t="s">
        <v>1155</v>
      </c>
      <c r="G137" s="6">
        <v>41988.923344907409</v>
      </c>
      <c r="H137" s="6">
        <v>42026.555798611109</v>
      </c>
      <c r="I137" s="6">
        <v>41988.923344907409</v>
      </c>
      <c r="J137" s="6" t="s">
        <v>103</v>
      </c>
      <c r="K137" s="6" t="s">
        <v>105</v>
      </c>
      <c r="L137" s="6" t="s">
        <v>1156</v>
      </c>
      <c r="M137" s="6" t="s">
        <v>374</v>
      </c>
      <c r="N137" s="6" t="s">
        <v>1157</v>
      </c>
      <c r="P137" s="6" t="s">
        <v>215</v>
      </c>
      <c r="Q137" s="6">
        <v>372</v>
      </c>
      <c r="R137" s="6" t="s">
        <v>199</v>
      </c>
      <c r="S137" s="7">
        <v>372</v>
      </c>
      <c r="T137" s="7" t="s">
        <v>123</v>
      </c>
      <c r="U137" s="6" t="s">
        <v>125</v>
      </c>
      <c r="V137" s="6" t="s">
        <v>158</v>
      </c>
      <c r="W137" s="6" t="s">
        <v>160</v>
      </c>
      <c r="X137" s="6" t="s">
        <v>1156</v>
      </c>
      <c r="Y137" s="8" t="s">
        <v>2969</v>
      </c>
      <c r="Z137" s="8" t="s">
        <v>2970</v>
      </c>
      <c r="AA137" s="8" t="s">
        <v>2971</v>
      </c>
      <c r="AB137" s="6">
        <v>41206</v>
      </c>
      <c r="AC137" s="6">
        <v>41275</v>
      </c>
      <c r="AE137" s="6" t="s">
        <v>244</v>
      </c>
      <c r="AF137" s="6" t="s">
        <v>178</v>
      </c>
      <c r="AG137" s="6" t="s">
        <v>180</v>
      </c>
      <c r="AH137" s="6" t="s">
        <v>244</v>
      </c>
      <c r="AI137" s="6" t="s">
        <v>182</v>
      </c>
      <c r="AJ137" s="6" t="s">
        <v>244</v>
      </c>
      <c r="AK137" s="6" t="s">
        <v>189</v>
      </c>
      <c r="AL137" s="6" t="s">
        <v>178</v>
      </c>
      <c r="AM137" s="6" t="s">
        <v>189</v>
      </c>
      <c r="AN137" s="6" t="s">
        <v>247</v>
      </c>
      <c r="AO137" s="6" t="s">
        <v>244</v>
      </c>
      <c r="AP137" s="6" t="s">
        <v>648</v>
      </c>
      <c r="AQ137" s="6" t="s">
        <v>189</v>
      </c>
      <c r="AR137" s="6" t="s">
        <v>185</v>
      </c>
      <c r="AS137" s="6" t="s">
        <v>244</v>
      </c>
      <c r="AT137" s="6" t="s">
        <v>244</v>
      </c>
      <c r="AU137" s="6" t="s">
        <v>288</v>
      </c>
      <c r="AV137" s="6" t="s">
        <v>195</v>
      </c>
      <c r="AW137" s="6" t="s">
        <v>244</v>
      </c>
      <c r="AX137" s="6" t="s">
        <v>247</v>
      </c>
    </row>
    <row r="138" spans="1:50">
      <c r="A138" s="6">
        <v>185</v>
      </c>
      <c r="B138" s="5" t="s">
        <v>2972</v>
      </c>
      <c r="C138" s="6">
        <v>3</v>
      </c>
      <c r="D138" s="6" t="s">
        <v>98</v>
      </c>
      <c r="E138" s="6">
        <v>1</v>
      </c>
      <c r="F138" s="6" t="s">
        <v>1158</v>
      </c>
      <c r="G138" s="6">
        <v>41988.923356481479</v>
      </c>
      <c r="H138" s="6">
        <v>41988.923356481479</v>
      </c>
      <c r="I138" s="6">
        <v>41988.923356481479</v>
      </c>
      <c r="J138" s="6" t="s">
        <v>103</v>
      </c>
      <c r="K138" s="6" t="s">
        <v>105</v>
      </c>
      <c r="L138" s="6" t="s">
        <v>1159</v>
      </c>
      <c r="M138" s="6" t="s">
        <v>374</v>
      </c>
      <c r="N138" s="6" t="s">
        <v>1160</v>
      </c>
      <c r="O138" s="6" t="s">
        <v>1161</v>
      </c>
      <c r="P138" s="6" t="s">
        <v>215</v>
      </c>
      <c r="Q138" s="6">
        <v>372</v>
      </c>
      <c r="R138" s="6" t="s">
        <v>199</v>
      </c>
      <c r="S138" s="7">
        <v>372</v>
      </c>
      <c r="T138" s="7" t="s">
        <v>123</v>
      </c>
      <c r="U138" s="6" t="s">
        <v>125</v>
      </c>
      <c r="V138" s="6" t="s">
        <v>158</v>
      </c>
      <c r="W138" s="6" t="s">
        <v>364</v>
      </c>
      <c r="X138" s="6" t="s">
        <v>1159</v>
      </c>
      <c r="Y138" s="8" t="s">
        <v>2973</v>
      </c>
      <c r="Z138" s="8" t="s">
        <v>2974</v>
      </c>
      <c r="AC138" s="6">
        <v>41760</v>
      </c>
      <c r="AD138" s="6">
        <v>41760</v>
      </c>
      <c r="AE138" s="6" t="s">
        <v>177</v>
      </c>
      <c r="AF138" s="6" t="s">
        <v>178</v>
      </c>
      <c r="AG138" s="6" t="s">
        <v>370</v>
      </c>
      <c r="AH138" s="6" t="s">
        <v>371</v>
      </c>
      <c r="AI138" s="6" t="s">
        <v>182</v>
      </c>
      <c r="AJ138" s="6" t="s">
        <v>371</v>
      </c>
      <c r="AK138" s="6" t="s">
        <v>185</v>
      </c>
      <c r="AL138" s="6" t="s">
        <v>178</v>
      </c>
      <c r="AM138" s="6" t="s">
        <v>189</v>
      </c>
      <c r="AN138" s="6" t="s">
        <v>187</v>
      </c>
      <c r="AO138" s="6" t="s">
        <v>244</v>
      </c>
      <c r="AP138" s="6" t="s">
        <v>386</v>
      </c>
      <c r="AQ138" s="6" t="s">
        <v>288</v>
      </c>
      <c r="AR138" s="6" t="s">
        <v>185</v>
      </c>
      <c r="AS138" s="6" t="s">
        <v>379</v>
      </c>
      <c r="AT138" s="6" t="s">
        <v>395</v>
      </c>
      <c r="AU138" s="6" t="s">
        <v>288</v>
      </c>
      <c r="AV138" s="6" t="s">
        <v>371</v>
      </c>
      <c r="AW138" s="6" t="s">
        <v>371</v>
      </c>
      <c r="AX138" s="6" t="s">
        <v>371</v>
      </c>
    </row>
    <row r="139" spans="1:50">
      <c r="A139" s="6">
        <v>186</v>
      </c>
      <c r="B139" s="5" t="s">
        <v>2975</v>
      </c>
      <c r="C139" s="6">
        <v>3</v>
      </c>
      <c r="D139" s="6" t="s">
        <v>98</v>
      </c>
      <c r="E139" s="6">
        <v>1</v>
      </c>
      <c r="F139" s="6" t="s">
        <v>1162</v>
      </c>
      <c r="G139" s="6">
        <v>41988.923356481479</v>
      </c>
      <c r="H139" s="6">
        <v>41988.923356481479</v>
      </c>
      <c r="I139" s="6">
        <v>41988.923356481479</v>
      </c>
      <c r="J139" s="6" t="s">
        <v>103</v>
      </c>
      <c r="K139" s="6" t="s">
        <v>105</v>
      </c>
      <c r="L139" s="6" t="s">
        <v>1163</v>
      </c>
      <c r="M139" s="6" t="s">
        <v>374</v>
      </c>
      <c r="N139" s="6" t="s">
        <v>1164</v>
      </c>
      <c r="O139" s="6" t="s">
        <v>1165</v>
      </c>
      <c r="P139" s="6" t="s">
        <v>215</v>
      </c>
      <c r="Q139" s="6">
        <v>372</v>
      </c>
      <c r="R139" s="6" t="s">
        <v>199</v>
      </c>
      <c r="S139" s="7">
        <v>372</v>
      </c>
      <c r="T139" s="7" t="s">
        <v>123</v>
      </c>
      <c r="U139" s="6" t="s">
        <v>125</v>
      </c>
      <c r="V139" s="6" t="s">
        <v>158</v>
      </c>
      <c r="W139" s="6" t="s">
        <v>376</v>
      </c>
      <c r="X139" s="6" t="s">
        <v>1163</v>
      </c>
      <c r="Y139" s="8" t="s">
        <v>2976</v>
      </c>
      <c r="Z139" s="8" t="s">
        <v>2977</v>
      </c>
      <c r="AB139" s="6">
        <v>41275</v>
      </c>
      <c r="AE139" s="6" t="s">
        <v>244</v>
      </c>
      <c r="AF139" s="6" t="s">
        <v>178</v>
      </c>
      <c r="AG139" s="6" t="s">
        <v>180</v>
      </c>
      <c r="AH139" s="6" t="s">
        <v>187</v>
      </c>
      <c r="AI139" s="6" t="s">
        <v>244</v>
      </c>
      <c r="AJ139" s="6" t="s">
        <v>371</v>
      </c>
      <c r="AK139" s="6" t="s">
        <v>185</v>
      </c>
      <c r="AL139" s="6" t="s">
        <v>178</v>
      </c>
      <c r="AM139" s="6" t="s">
        <v>244</v>
      </c>
      <c r="AN139" s="6" t="s">
        <v>392</v>
      </c>
      <c r="AO139" s="6" t="s">
        <v>244</v>
      </c>
      <c r="AP139" s="6" t="s">
        <v>648</v>
      </c>
      <c r="AQ139" s="6" t="s">
        <v>244</v>
      </c>
      <c r="AR139" s="6" t="s">
        <v>288</v>
      </c>
      <c r="AS139" s="6" t="s">
        <v>379</v>
      </c>
      <c r="AT139" s="6" t="s">
        <v>395</v>
      </c>
      <c r="AU139" s="6" t="s">
        <v>185</v>
      </c>
      <c r="AV139" s="6" t="s">
        <v>195</v>
      </c>
      <c r="AW139" s="6" t="s">
        <v>341</v>
      </c>
      <c r="AX139" s="6" t="s">
        <v>371</v>
      </c>
    </row>
    <row r="140" spans="1:50">
      <c r="A140" s="6">
        <v>187</v>
      </c>
      <c r="B140" s="5" t="s">
        <v>2978</v>
      </c>
      <c r="C140" s="6">
        <v>5</v>
      </c>
      <c r="D140" s="6" t="s">
        <v>98</v>
      </c>
      <c r="E140" s="6">
        <v>1</v>
      </c>
      <c r="F140" s="6" t="s">
        <v>1166</v>
      </c>
      <c r="G140" s="6">
        <v>41988.923356481479</v>
      </c>
      <c r="H140" s="6">
        <v>42029.750335648147</v>
      </c>
      <c r="I140" s="6">
        <v>41988.923356481479</v>
      </c>
      <c r="J140" s="6" t="s">
        <v>103</v>
      </c>
      <c r="K140" s="6" t="s">
        <v>105</v>
      </c>
      <c r="L140" s="6" t="s">
        <v>1167</v>
      </c>
      <c r="M140" s="6" t="s">
        <v>307</v>
      </c>
      <c r="N140" s="6" t="s">
        <v>1168</v>
      </c>
      <c r="O140" s="6" t="s">
        <v>1169</v>
      </c>
      <c r="P140" s="6" t="s">
        <v>215</v>
      </c>
      <c r="Q140" s="6">
        <v>372</v>
      </c>
      <c r="R140" s="6" t="s">
        <v>199</v>
      </c>
      <c r="S140" s="7">
        <v>372</v>
      </c>
      <c r="T140" s="7" t="s">
        <v>123</v>
      </c>
      <c r="U140" s="6" t="s">
        <v>125</v>
      </c>
      <c r="V140" s="6" t="s">
        <v>158</v>
      </c>
      <c r="W140" s="6" t="s">
        <v>364</v>
      </c>
      <c r="X140" s="6" t="s">
        <v>1167</v>
      </c>
      <c r="Y140" s="8" t="s">
        <v>2979</v>
      </c>
      <c r="Z140" s="8" t="s">
        <v>2980</v>
      </c>
      <c r="AA140" s="8" t="s">
        <v>2981</v>
      </c>
      <c r="AC140" s="6">
        <v>41548</v>
      </c>
      <c r="AE140" s="6" t="s">
        <v>177</v>
      </c>
      <c r="AF140" s="6" t="s">
        <v>178</v>
      </c>
      <c r="AG140" s="6" t="s">
        <v>370</v>
      </c>
      <c r="AH140" s="6" t="s">
        <v>187</v>
      </c>
      <c r="AI140" s="6" t="s">
        <v>182</v>
      </c>
      <c r="AJ140" s="6" t="s">
        <v>393</v>
      </c>
      <c r="AK140" s="6" t="s">
        <v>244</v>
      </c>
      <c r="AL140" s="6" t="s">
        <v>178</v>
      </c>
      <c r="AM140" s="6" t="s">
        <v>244</v>
      </c>
      <c r="AN140" s="6" t="s">
        <v>378</v>
      </c>
      <c r="AO140" s="6" t="s">
        <v>244</v>
      </c>
      <c r="AP140" s="6" t="s">
        <v>247</v>
      </c>
      <c r="AQ140" s="6" t="s">
        <v>288</v>
      </c>
      <c r="AR140" s="6" t="s">
        <v>185</v>
      </c>
      <c r="AS140" s="6" t="s">
        <v>379</v>
      </c>
      <c r="AT140" s="6" t="s">
        <v>395</v>
      </c>
      <c r="AU140" s="6" t="s">
        <v>244</v>
      </c>
      <c r="AV140" s="6" t="s">
        <v>520</v>
      </c>
      <c r="AW140" s="6" t="s">
        <v>244</v>
      </c>
      <c r="AX140" s="6" t="s">
        <v>247</v>
      </c>
    </row>
    <row r="141" spans="1:50">
      <c r="A141" s="6">
        <v>189</v>
      </c>
      <c r="B141" s="5" t="s">
        <v>2982</v>
      </c>
      <c r="C141" s="6">
        <v>3</v>
      </c>
      <c r="D141" s="6" t="s">
        <v>98</v>
      </c>
      <c r="E141" s="6">
        <v>1</v>
      </c>
      <c r="F141" s="6" t="s">
        <v>1173</v>
      </c>
      <c r="G141" s="6">
        <v>41988.923368055555</v>
      </c>
      <c r="H141" s="6">
        <v>41988.923368055555</v>
      </c>
      <c r="I141" s="6">
        <v>41988.923368055555</v>
      </c>
      <c r="J141" s="6" t="s">
        <v>103</v>
      </c>
      <c r="K141" s="6" t="s">
        <v>105</v>
      </c>
      <c r="L141" s="6" t="s">
        <v>1174</v>
      </c>
      <c r="M141" s="6" t="s">
        <v>374</v>
      </c>
      <c r="O141" s="6" t="s">
        <v>1175</v>
      </c>
      <c r="P141" s="6" t="s">
        <v>215</v>
      </c>
      <c r="Q141" s="6">
        <v>372</v>
      </c>
      <c r="R141" s="6" t="s">
        <v>199</v>
      </c>
      <c r="S141" s="7">
        <v>372</v>
      </c>
      <c r="T141" s="7" t="s">
        <v>123</v>
      </c>
      <c r="U141" s="6" t="s">
        <v>125</v>
      </c>
      <c r="V141" s="6" t="s">
        <v>158</v>
      </c>
      <c r="W141" s="6" t="s">
        <v>376</v>
      </c>
      <c r="X141" s="6" t="s">
        <v>1174</v>
      </c>
      <c r="Y141" s="8" t="s">
        <v>2983</v>
      </c>
      <c r="Z141" s="8" t="s">
        <v>2984</v>
      </c>
      <c r="AC141" s="6">
        <v>39845</v>
      </c>
      <c r="AE141" s="6" t="s">
        <v>177</v>
      </c>
      <c r="AF141" s="6" t="s">
        <v>178</v>
      </c>
      <c r="AG141" s="6" t="s">
        <v>370</v>
      </c>
      <c r="AH141" s="6" t="s">
        <v>187</v>
      </c>
      <c r="AI141" s="6" t="s">
        <v>182</v>
      </c>
      <c r="AJ141" s="6" t="s">
        <v>393</v>
      </c>
      <c r="AK141" s="6" t="s">
        <v>244</v>
      </c>
      <c r="AL141" s="6" t="s">
        <v>247</v>
      </c>
      <c r="AM141" s="6" t="s">
        <v>244</v>
      </c>
      <c r="AN141" s="6" t="s">
        <v>187</v>
      </c>
      <c r="AO141" s="6" t="s">
        <v>244</v>
      </c>
      <c r="AP141" s="6" t="s">
        <v>247</v>
      </c>
      <c r="AQ141" s="6" t="s">
        <v>288</v>
      </c>
      <c r="AR141" s="6" t="s">
        <v>288</v>
      </c>
      <c r="AS141" s="6" t="s">
        <v>379</v>
      </c>
      <c r="AT141" s="6" t="s">
        <v>379</v>
      </c>
      <c r="AU141" s="6" t="s">
        <v>288</v>
      </c>
      <c r="AV141" s="6" t="s">
        <v>195</v>
      </c>
      <c r="AW141" s="6" t="s">
        <v>244</v>
      </c>
      <c r="AX141" s="6" t="s">
        <v>247</v>
      </c>
    </row>
    <row r="142" spans="1:50">
      <c r="A142" s="6">
        <v>193</v>
      </c>
      <c r="B142" s="5" t="s">
        <v>2985</v>
      </c>
      <c r="C142" s="6">
        <v>4</v>
      </c>
      <c r="D142" s="6" t="s">
        <v>98</v>
      </c>
      <c r="E142" s="6">
        <v>1</v>
      </c>
      <c r="F142" s="6" t="s">
        <v>1189</v>
      </c>
      <c r="G142" s="6">
        <v>41988.923379629632</v>
      </c>
      <c r="H142" s="6">
        <v>41988.923379629632</v>
      </c>
      <c r="I142" s="6">
        <v>41988.923379629632</v>
      </c>
      <c r="J142" s="6" t="s">
        <v>103</v>
      </c>
      <c r="K142" s="6" t="s">
        <v>105</v>
      </c>
      <c r="L142" s="6" t="s">
        <v>1190</v>
      </c>
      <c r="M142" s="6" t="s">
        <v>374</v>
      </c>
      <c r="N142" s="6" t="s">
        <v>1191</v>
      </c>
      <c r="O142" s="6" t="s">
        <v>1192</v>
      </c>
      <c r="P142" s="6" t="s">
        <v>215</v>
      </c>
      <c r="Q142" s="6">
        <v>380</v>
      </c>
      <c r="R142" s="6" t="s">
        <v>201</v>
      </c>
      <c r="S142" s="7">
        <v>380</v>
      </c>
      <c r="T142" s="7" t="s">
        <v>123</v>
      </c>
      <c r="U142" s="6" t="s">
        <v>76</v>
      </c>
      <c r="V142" s="6" t="s">
        <v>158</v>
      </c>
      <c r="W142" s="6" t="s">
        <v>160</v>
      </c>
      <c r="X142" s="6" t="s">
        <v>1190</v>
      </c>
      <c r="Y142" s="8" t="s">
        <v>2986</v>
      </c>
      <c r="Z142" s="8" t="s">
        <v>2987</v>
      </c>
      <c r="AA142" s="8" t="s">
        <v>2988</v>
      </c>
      <c r="AB142" s="6">
        <v>2008</v>
      </c>
      <c r="AC142" s="6">
        <v>2008</v>
      </c>
      <c r="AE142" s="6" t="s">
        <v>177</v>
      </c>
      <c r="AF142" s="6" t="s">
        <v>178</v>
      </c>
      <c r="AG142" s="6" t="s">
        <v>180</v>
      </c>
      <c r="AH142" s="6" t="s">
        <v>181</v>
      </c>
      <c r="AI142" s="6" t="s">
        <v>182</v>
      </c>
      <c r="AJ142" s="6" t="s">
        <v>183</v>
      </c>
      <c r="AK142" s="6" t="s">
        <v>185</v>
      </c>
      <c r="AL142" s="6" t="s">
        <v>479</v>
      </c>
      <c r="AM142" s="6" t="s">
        <v>244</v>
      </c>
      <c r="AN142" s="6" t="s">
        <v>181</v>
      </c>
      <c r="AO142" s="6" t="s">
        <v>244</v>
      </c>
      <c r="AP142" s="6" t="s">
        <v>386</v>
      </c>
      <c r="AQ142" s="6" t="s">
        <v>288</v>
      </c>
      <c r="AR142" s="6" t="s">
        <v>244</v>
      </c>
      <c r="AS142" s="6" t="s">
        <v>244</v>
      </c>
      <c r="AT142" s="6" t="s">
        <v>244</v>
      </c>
      <c r="AU142" s="6" t="s">
        <v>244</v>
      </c>
      <c r="AV142" s="6" t="s">
        <v>195</v>
      </c>
      <c r="AW142" s="6" t="s">
        <v>244</v>
      </c>
      <c r="AX142" s="6" t="s">
        <v>247</v>
      </c>
    </row>
    <row r="143" spans="1:50">
      <c r="A143" s="6">
        <v>194</v>
      </c>
      <c r="B143" s="5" t="s">
        <v>2989</v>
      </c>
      <c r="C143" s="6">
        <v>3</v>
      </c>
      <c r="D143" s="6" t="s">
        <v>98</v>
      </c>
      <c r="E143" s="6">
        <v>1</v>
      </c>
      <c r="F143" s="6" t="s">
        <v>1193</v>
      </c>
      <c r="G143" s="6">
        <v>41988.923379629632</v>
      </c>
      <c r="H143" s="6">
        <v>41988.923379629632</v>
      </c>
      <c r="I143" s="6">
        <v>41988.923379629632</v>
      </c>
      <c r="J143" s="6" t="s">
        <v>103</v>
      </c>
      <c r="K143" s="6" t="s">
        <v>105</v>
      </c>
      <c r="L143" s="6" t="s">
        <v>1194</v>
      </c>
      <c r="M143" s="6" t="s">
        <v>374</v>
      </c>
      <c r="N143" s="6" t="s">
        <v>1195</v>
      </c>
      <c r="P143" s="6" t="s">
        <v>215</v>
      </c>
      <c r="Q143" s="6">
        <v>380</v>
      </c>
      <c r="R143" s="6" t="s">
        <v>201</v>
      </c>
      <c r="S143" s="7">
        <v>380</v>
      </c>
      <c r="T143" s="7" t="s">
        <v>123</v>
      </c>
      <c r="U143" s="6" t="s">
        <v>76</v>
      </c>
      <c r="V143" s="6" t="s">
        <v>158</v>
      </c>
      <c r="W143" s="6" t="s">
        <v>376</v>
      </c>
      <c r="X143" s="6" t="s">
        <v>1194</v>
      </c>
      <c r="Y143" s="8" t="s">
        <v>2990</v>
      </c>
      <c r="Z143" s="8" t="s">
        <v>2991</v>
      </c>
      <c r="AB143" s="6">
        <v>41662</v>
      </c>
      <c r="AE143" s="6" t="s">
        <v>244</v>
      </c>
      <c r="AF143" s="6" t="s">
        <v>178</v>
      </c>
      <c r="AG143" s="6" t="s">
        <v>180</v>
      </c>
      <c r="AH143" s="6" t="s">
        <v>392</v>
      </c>
      <c r="AI143" s="6" t="s">
        <v>182</v>
      </c>
      <c r="AJ143" s="6" t="s">
        <v>183</v>
      </c>
      <c r="AK143" s="6" t="s">
        <v>244</v>
      </c>
      <c r="AL143" s="6" t="s">
        <v>178</v>
      </c>
      <c r="AM143" s="6" t="s">
        <v>185</v>
      </c>
      <c r="AN143" s="6" t="s">
        <v>392</v>
      </c>
      <c r="AO143" s="6" t="s">
        <v>244</v>
      </c>
      <c r="AP143" s="6" t="s">
        <v>247</v>
      </c>
      <c r="AQ143" s="6" t="s">
        <v>288</v>
      </c>
      <c r="AR143" s="6" t="s">
        <v>288</v>
      </c>
      <c r="AS143" s="6" t="s">
        <v>379</v>
      </c>
      <c r="AT143" s="6" t="s">
        <v>395</v>
      </c>
      <c r="AU143" s="6" t="s">
        <v>185</v>
      </c>
      <c r="AV143" s="6" t="s">
        <v>339</v>
      </c>
      <c r="AW143" s="6" t="s">
        <v>244</v>
      </c>
      <c r="AX143" s="6" t="s">
        <v>247</v>
      </c>
    </row>
    <row r="144" spans="1:50">
      <c r="A144" s="6">
        <v>195</v>
      </c>
      <c r="B144" s="5" t="s">
        <v>2992</v>
      </c>
      <c r="C144" s="6">
        <v>3</v>
      </c>
      <c r="D144" s="6" t="s">
        <v>98</v>
      </c>
      <c r="E144" s="6">
        <v>1</v>
      </c>
      <c r="F144" s="6" t="s">
        <v>1199</v>
      </c>
      <c r="G144" s="6">
        <v>41988.923379629632</v>
      </c>
      <c r="H144" s="6">
        <v>41988.923379629632</v>
      </c>
      <c r="I144" s="6">
        <v>41988.923379629632</v>
      </c>
      <c r="J144" s="6" t="s">
        <v>103</v>
      </c>
      <c r="K144" s="6" t="s">
        <v>105</v>
      </c>
      <c r="L144" s="6" t="s">
        <v>1200</v>
      </c>
      <c r="M144" s="6" t="s">
        <v>352</v>
      </c>
      <c r="N144" s="6" t="s">
        <v>1201</v>
      </c>
      <c r="O144" s="6" t="s">
        <v>1202</v>
      </c>
      <c r="P144" s="6" t="s">
        <v>215</v>
      </c>
      <c r="Q144" s="6">
        <v>380</v>
      </c>
      <c r="R144" s="6" t="s">
        <v>201</v>
      </c>
      <c r="S144" s="7">
        <v>380</v>
      </c>
      <c r="T144" s="7" t="s">
        <v>123</v>
      </c>
      <c r="U144" s="6" t="s">
        <v>76</v>
      </c>
      <c r="V144" s="6" t="s">
        <v>158</v>
      </c>
      <c r="W144" s="6" t="s">
        <v>160</v>
      </c>
      <c r="X144" s="6" t="s">
        <v>1200</v>
      </c>
      <c r="Y144" s="8" t="s">
        <v>2993</v>
      </c>
      <c r="Z144" s="8" t="s">
        <v>2994</v>
      </c>
      <c r="AA144" s="8" t="s">
        <v>2995</v>
      </c>
      <c r="AE144" s="6" t="s">
        <v>244</v>
      </c>
      <c r="AF144" s="6" t="s">
        <v>178</v>
      </c>
      <c r="AG144" s="6" t="s">
        <v>180</v>
      </c>
      <c r="AH144" s="6" t="s">
        <v>244</v>
      </c>
      <c r="AI144" s="6" t="s">
        <v>385</v>
      </c>
      <c r="AJ144" s="6" t="s">
        <v>244</v>
      </c>
      <c r="AK144" s="6" t="s">
        <v>244</v>
      </c>
      <c r="AL144" s="6" t="s">
        <v>247</v>
      </c>
      <c r="AM144" s="6" t="s">
        <v>244</v>
      </c>
      <c r="AN144" s="6" t="s">
        <v>247</v>
      </c>
      <c r="AO144" s="6" t="s">
        <v>244</v>
      </c>
      <c r="AP144" s="6" t="s">
        <v>247</v>
      </c>
      <c r="AQ144" s="6" t="s">
        <v>288</v>
      </c>
      <c r="AR144" s="6" t="s">
        <v>288</v>
      </c>
      <c r="AS144" s="6" t="s">
        <v>244</v>
      </c>
      <c r="AT144" s="6" t="s">
        <v>244</v>
      </c>
      <c r="AU144" s="6" t="s">
        <v>288</v>
      </c>
      <c r="AV144" s="6" t="s">
        <v>371</v>
      </c>
      <c r="AW144" s="6" t="s">
        <v>244</v>
      </c>
      <c r="AX144" s="6" t="s">
        <v>247</v>
      </c>
    </row>
    <row r="145" spans="1:50">
      <c r="A145" s="6">
        <v>196</v>
      </c>
      <c r="B145" s="5" t="s">
        <v>2996</v>
      </c>
      <c r="C145" s="6">
        <v>4</v>
      </c>
      <c r="D145" s="6" t="s">
        <v>98</v>
      </c>
      <c r="E145" s="6">
        <v>1</v>
      </c>
      <c r="F145" s="6" t="s">
        <v>1203</v>
      </c>
      <c r="G145" s="6">
        <v>41988.923379629632</v>
      </c>
      <c r="H145" s="6">
        <v>41988.923379629632</v>
      </c>
      <c r="I145" s="6">
        <v>41988.923379629632</v>
      </c>
      <c r="J145" s="6" t="s">
        <v>103</v>
      </c>
      <c r="K145" s="6" t="s">
        <v>105</v>
      </c>
      <c r="L145" s="6" t="s">
        <v>1204</v>
      </c>
      <c r="M145" s="6" t="s">
        <v>637</v>
      </c>
      <c r="N145" s="6" t="s">
        <v>1205</v>
      </c>
      <c r="O145" s="6" t="s">
        <v>1206</v>
      </c>
      <c r="P145" s="6" t="s">
        <v>215</v>
      </c>
      <c r="Q145" s="6">
        <v>380</v>
      </c>
      <c r="R145" s="6" t="s">
        <v>201</v>
      </c>
      <c r="S145" s="7">
        <v>380</v>
      </c>
      <c r="T145" s="7" t="s">
        <v>123</v>
      </c>
      <c r="U145" s="6" t="s">
        <v>76</v>
      </c>
      <c r="V145" s="6" t="s">
        <v>158</v>
      </c>
      <c r="W145" s="6" t="s">
        <v>160</v>
      </c>
      <c r="X145" s="6" t="s">
        <v>1204</v>
      </c>
      <c r="Y145" s="8" t="s">
        <v>2997</v>
      </c>
      <c r="AA145" s="8" t="s">
        <v>2998</v>
      </c>
      <c r="AB145" s="6">
        <v>39961</v>
      </c>
      <c r="AC145" s="6">
        <v>39961</v>
      </c>
      <c r="AD145" s="6">
        <v>40299</v>
      </c>
      <c r="AE145" s="6" t="s">
        <v>177</v>
      </c>
      <c r="AF145" s="6" t="s">
        <v>178</v>
      </c>
      <c r="AG145" s="6" t="s">
        <v>180</v>
      </c>
      <c r="AH145" s="6" t="s">
        <v>371</v>
      </c>
      <c r="AI145" s="6" t="s">
        <v>385</v>
      </c>
      <c r="AJ145" s="6" t="s">
        <v>244</v>
      </c>
      <c r="AK145" s="6" t="s">
        <v>185</v>
      </c>
      <c r="AL145" s="6" t="s">
        <v>178</v>
      </c>
      <c r="AM145" s="6" t="s">
        <v>244</v>
      </c>
      <c r="AN145" s="6" t="s">
        <v>371</v>
      </c>
      <c r="AO145" s="6" t="s">
        <v>244</v>
      </c>
      <c r="AP145" s="6" t="s">
        <v>247</v>
      </c>
      <c r="AQ145" s="6" t="s">
        <v>244</v>
      </c>
      <c r="AR145" s="6" t="s">
        <v>244</v>
      </c>
      <c r="AS145" s="6" t="s">
        <v>244</v>
      </c>
      <c r="AT145" s="6" t="s">
        <v>244</v>
      </c>
      <c r="AU145" s="6" t="s">
        <v>244</v>
      </c>
      <c r="AV145" s="6" t="s">
        <v>244</v>
      </c>
      <c r="AW145" s="6" t="s">
        <v>244</v>
      </c>
      <c r="AX145" s="6" t="s">
        <v>247</v>
      </c>
    </row>
    <row r="146" spans="1:50">
      <c r="A146" s="6">
        <v>199</v>
      </c>
      <c r="B146" s="5" t="s">
        <v>2999</v>
      </c>
      <c r="C146" s="6">
        <v>5</v>
      </c>
      <c r="D146" s="6" t="s">
        <v>98</v>
      </c>
      <c r="E146" s="6">
        <v>1</v>
      </c>
      <c r="F146" s="6" t="s">
        <v>1214</v>
      </c>
      <c r="G146" s="6">
        <v>41988.923391203702</v>
      </c>
      <c r="H146" s="6">
        <v>42066.887858796297</v>
      </c>
      <c r="I146" s="6">
        <v>41988.923391203702</v>
      </c>
      <c r="J146" s="6" t="s">
        <v>103</v>
      </c>
      <c r="K146" s="6" t="s">
        <v>105</v>
      </c>
      <c r="L146" s="6" t="s">
        <v>1215</v>
      </c>
      <c r="M146" s="6" t="s">
        <v>352</v>
      </c>
      <c r="N146" s="6" t="s">
        <v>1216</v>
      </c>
      <c r="O146" s="6" t="s">
        <v>1217</v>
      </c>
      <c r="P146" s="6" t="s">
        <v>1129</v>
      </c>
      <c r="Q146" s="6">
        <v>380</v>
      </c>
      <c r="R146" s="6" t="s">
        <v>201</v>
      </c>
      <c r="S146" s="7">
        <v>380</v>
      </c>
      <c r="T146" s="7" t="s">
        <v>123</v>
      </c>
      <c r="U146" s="6" t="s">
        <v>76</v>
      </c>
      <c r="V146" s="6" t="s">
        <v>158</v>
      </c>
      <c r="W146" s="6" t="s">
        <v>160</v>
      </c>
      <c r="X146" s="6" t="s">
        <v>1215</v>
      </c>
      <c r="Y146" s="8" t="s">
        <v>3000</v>
      </c>
      <c r="Z146" s="8" t="s">
        <v>3001</v>
      </c>
      <c r="AA146" s="8" t="s">
        <v>3002</v>
      </c>
      <c r="AB146" s="6">
        <v>40940</v>
      </c>
      <c r="AE146" s="6" t="s">
        <v>244</v>
      </c>
      <c r="AF146" s="6" t="s">
        <v>178</v>
      </c>
      <c r="AG146" s="6" t="s">
        <v>180</v>
      </c>
      <c r="AH146" s="6" t="s">
        <v>187</v>
      </c>
      <c r="AI146" s="6" t="s">
        <v>385</v>
      </c>
      <c r="AJ146" s="6" t="s">
        <v>244</v>
      </c>
      <c r="AK146" s="6" t="s">
        <v>185</v>
      </c>
      <c r="AL146" s="6" t="s">
        <v>479</v>
      </c>
      <c r="AM146" s="6" t="s">
        <v>244</v>
      </c>
      <c r="AN146" s="6" t="s">
        <v>187</v>
      </c>
      <c r="AO146" s="6" t="s">
        <v>244</v>
      </c>
      <c r="AP146" s="6" t="s">
        <v>394</v>
      </c>
      <c r="AQ146" s="6" t="s">
        <v>288</v>
      </c>
      <c r="AR146" s="6" t="s">
        <v>288</v>
      </c>
      <c r="AS146" s="6" t="s">
        <v>193</v>
      </c>
      <c r="AT146" s="6" t="s">
        <v>193</v>
      </c>
      <c r="AU146" s="6" t="s">
        <v>244</v>
      </c>
      <c r="AV146" s="6" t="s">
        <v>520</v>
      </c>
      <c r="AW146" s="6" t="s">
        <v>244</v>
      </c>
      <c r="AX146" s="6" t="s">
        <v>247</v>
      </c>
    </row>
    <row r="147" spans="1:50">
      <c r="A147" s="6">
        <v>204</v>
      </c>
      <c r="B147" s="5" t="s">
        <v>3003</v>
      </c>
      <c r="C147" s="6">
        <v>4</v>
      </c>
      <c r="D147" s="6" t="s">
        <v>98</v>
      </c>
      <c r="E147" s="6">
        <v>1</v>
      </c>
      <c r="F147" s="6" t="s">
        <v>1234</v>
      </c>
      <c r="G147" s="6">
        <v>41988.923414351855</v>
      </c>
      <c r="H147" s="6">
        <v>41988.923414351855</v>
      </c>
      <c r="I147" s="6">
        <v>41988.923414351855</v>
      </c>
      <c r="J147" s="6" t="s">
        <v>103</v>
      </c>
      <c r="K147" s="6" t="s">
        <v>105</v>
      </c>
      <c r="L147" s="6" t="s">
        <v>1235</v>
      </c>
      <c r="M147" s="6" t="s">
        <v>374</v>
      </c>
      <c r="N147" s="6" t="s">
        <v>1236</v>
      </c>
      <c r="O147" s="6" t="s">
        <v>1237</v>
      </c>
      <c r="P147" s="6" t="s">
        <v>215</v>
      </c>
      <c r="Q147" s="6">
        <v>380</v>
      </c>
      <c r="R147" s="6" t="s">
        <v>201</v>
      </c>
      <c r="S147" s="7">
        <v>380</v>
      </c>
      <c r="T147" s="7" t="s">
        <v>123</v>
      </c>
      <c r="U147" s="6" t="s">
        <v>76</v>
      </c>
      <c r="V147" s="6" t="s">
        <v>158</v>
      </c>
      <c r="W147" s="6" t="s">
        <v>160</v>
      </c>
      <c r="X147" s="6" t="s">
        <v>1235</v>
      </c>
      <c r="Y147" s="8" t="s">
        <v>3004</v>
      </c>
      <c r="Z147" s="8" t="s">
        <v>3005</v>
      </c>
      <c r="AA147" s="8" t="s">
        <v>3006</v>
      </c>
      <c r="AB147" s="6">
        <v>41432</v>
      </c>
      <c r="AC147" s="6">
        <v>41432</v>
      </c>
      <c r="AD147" s="6">
        <v>41432</v>
      </c>
      <c r="AE147" s="6" t="s">
        <v>478</v>
      </c>
      <c r="AF147" s="6" t="s">
        <v>178</v>
      </c>
      <c r="AG147" s="6" t="s">
        <v>180</v>
      </c>
      <c r="AH147" s="6" t="s">
        <v>187</v>
      </c>
      <c r="AI147" s="6" t="s">
        <v>182</v>
      </c>
      <c r="AJ147" s="6" t="s">
        <v>371</v>
      </c>
      <c r="AK147" s="6" t="s">
        <v>185</v>
      </c>
      <c r="AL147" s="6" t="s">
        <v>479</v>
      </c>
      <c r="AM147" s="6" t="s">
        <v>189</v>
      </c>
      <c r="AN147" s="6" t="s">
        <v>247</v>
      </c>
      <c r="AO147" s="6" t="s">
        <v>189</v>
      </c>
      <c r="AP147" s="6" t="s">
        <v>247</v>
      </c>
      <c r="AQ147" s="6" t="s">
        <v>288</v>
      </c>
      <c r="AR147" s="6" t="s">
        <v>288</v>
      </c>
      <c r="AS147" s="6" t="s">
        <v>395</v>
      </c>
      <c r="AT147" s="6" t="s">
        <v>395</v>
      </c>
      <c r="AU147" s="6" t="s">
        <v>244</v>
      </c>
      <c r="AV147" s="6" t="s">
        <v>339</v>
      </c>
      <c r="AW147" s="6" t="s">
        <v>442</v>
      </c>
      <c r="AX147" s="6" t="s">
        <v>247</v>
      </c>
    </row>
    <row r="148" spans="1:50">
      <c r="A148" s="6">
        <v>229</v>
      </c>
      <c r="B148" s="5" t="s">
        <v>3007</v>
      </c>
      <c r="C148" s="6">
        <v>3</v>
      </c>
      <c r="D148" s="6" t="s">
        <v>98</v>
      </c>
      <c r="E148" s="6">
        <v>1</v>
      </c>
      <c r="F148" s="6" t="s">
        <v>1238</v>
      </c>
      <c r="G148" s="6">
        <v>41988.923506944448</v>
      </c>
      <c r="H148" s="6">
        <v>41988.923506944448</v>
      </c>
      <c r="I148" s="6">
        <v>41988.923506944448</v>
      </c>
      <c r="J148" s="6" t="s">
        <v>103</v>
      </c>
      <c r="K148" s="6" t="s">
        <v>105</v>
      </c>
      <c r="L148" s="6" t="s">
        <v>1239</v>
      </c>
      <c r="M148" s="6" t="s">
        <v>352</v>
      </c>
      <c r="N148" s="6" t="s">
        <v>1240</v>
      </c>
      <c r="P148" s="6" t="s">
        <v>215</v>
      </c>
      <c r="Q148" s="6">
        <v>380</v>
      </c>
      <c r="R148" s="6" t="s">
        <v>201</v>
      </c>
      <c r="S148" s="7">
        <v>380</v>
      </c>
      <c r="T148" s="7" t="s">
        <v>123</v>
      </c>
      <c r="U148" s="6" t="s">
        <v>76</v>
      </c>
      <c r="V148" s="6" t="s">
        <v>158</v>
      </c>
      <c r="W148" s="6" t="s">
        <v>160</v>
      </c>
      <c r="X148" s="6" t="s">
        <v>1239</v>
      </c>
      <c r="Y148" s="8" t="s">
        <v>3008</v>
      </c>
      <c r="Z148" s="8" t="s">
        <v>3009</v>
      </c>
      <c r="AA148" s="8" t="s">
        <v>3010</v>
      </c>
      <c r="AE148" s="6" t="s">
        <v>177</v>
      </c>
      <c r="AF148" s="6" t="s">
        <v>178</v>
      </c>
      <c r="AG148" s="6" t="s">
        <v>180</v>
      </c>
      <c r="AH148" s="6" t="s">
        <v>244</v>
      </c>
      <c r="AI148" s="6" t="s">
        <v>385</v>
      </c>
      <c r="AJ148" s="6" t="s">
        <v>244</v>
      </c>
      <c r="AK148" s="6" t="s">
        <v>244</v>
      </c>
      <c r="AL148" s="6" t="s">
        <v>178</v>
      </c>
      <c r="AM148" s="6" t="s">
        <v>244</v>
      </c>
      <c r="AN148" s="6" t="s">
        <v>247</v>
      </c>
      <c r="AO148" s="6" t="s">
        <v>244</v>
      </c>
      <c r="AP148" s="6" t="s">
        <v>247</v>
      </c>
      <c r="AQ148" s="6" t="s">
        <v>288</v>
      </c>
      <c r="AR148" s="6" t="s">
        <v>288</v>
      </c>
      <c r="AS148" s="6" t="s">
        <v>244</v>
      </c>
      <c r="AT148" s="6" t="s">
        <v>244</v>
      </c>
      <c r="AU148" s="6" t="s">
        <v>288</v>
      </c>
      <c r="AV148" s="6" t="s">
        <v>371</v>
      </c>
      <c r="AW148" s="6" t="s">
        <v>244</v>
      </c>
      <c r="AX148" s="6" t="s">
        <v>247</v>
      </c>
    </row>
    <row r="149" spans="1:50">
      <c r="A149" s="6">
        <v>203</v>
      </c>
      <c r="B149" s="5" t="s">
        <v>3011</v>
      </c>
      <c r="C149" s="6">
        <v>6</v>
      </c>
      <c r="D149" s="6" t="s">
        <v>98</v>
      </c>
      <c r="E149" s="6">
        <v>1</v>
      </c>
      <c r="F149" s="6" t="s">
        <v>1283</v>
      </c>
      <c r="G149" s="6">
        <v>41988.923414351855</v>
      </c>
      <c r="H149" s="6">
        <v>41988.923414351855</v>
      </c>
      <c r="I149" s="6">
        <v>41988.923414351855</v>
      </c>
      <c r="J149" s="6" t="s">
        <v>103</v>
      </c>
      <c r="K149" s="6" t="s">
        <v>105</v>
      </c>
      <c r="L149" s="6" t="s">
        <v>1284</v>
      </c>
      <c r="M149" s="6" t="s">
        <v>637</v>
      </c>
      <c r="N149" s="6" t="s">
        <v>1272</v>
      </c>
      <c r="O149" s="6" t="s">
        <v>1285</v>
      </c>
      <c r="P149" s="6" t="s">
        <v>215</v>
      </c>
      <c r="Q149" s="6">
        <v>380</v>
      </c>
      <c r="R149" s="6" t="s">
        <v>201</v>
      </c>
      <c r="S149" s="7">
        <v>380</v>
      </c>
      <c r="T149" s="7" t="s">
        <v>123</v>
      </c>
      <c r="U149" s="6" t="s">
        <v>76</v>
      </c>
      <c r="V149" s="6" t="s">
        <v>158</v>
      </c>
      <c r="W149" s="6" t="s">
        <v>160</v>
      </c>
      <c r="X149" s="6" t="s">
        <v>1284</v>
      </c>
      <c r="Y149" s="8" t="s">
        <v>3012</v>
      </c>
      <c r="Z149" s="8" t="s">
        <v>3013</v>
      </c>
      <c r="AA149" s="8" t="s">
        <v>3014</v>
      </c>
      <c r="AB149" s="6">
        <v>39722</v>
      </c>
      <c r="AC149" s="6">
        <v>39722</v>
      </c>
      <c r="AD149" s="6">
        <v>2008</v>
      </c>
      <c r="AE149" s="6" t="s">
        <v>177</v>
      </c>
      <c r="AF149" s="6" t="s">
        <v>178</v>
      </c>
      <c r="AG149" s="6" t="s">
        <v>180</v>
      </c>
      <c r="AH149" s="6" t="s">
        <v>371</v>
      </c>
      <c r="AI149" s="6" t="s">
        <v>385</v>
      </c>
      <c r="AJ149" s="6" t="s">
        <v>371</v>
      </c>
      <c r="AK149" s="6" t="s">
        <v>185</v>
      </c>
      <c r="AL149" s="6" t="s">
        <v>371</v>
      </c>
      <c r="AM149" s="6" t="s">
        <v>288</v>
      </c>
      <c r="AN149" s="6" t="s">
        <v>247</v>
      </c>
      <c r="AO149" s="6" t="s">
        <v>244</v>
      </c>
      <c r="AP149" s="6" t="s">
        <v>394</v>
      </c>
      <c r="AQ149" s="6" t="s">
        <v>288</v>
      </c>
      <c r="AR149" s="6" t="s">
        <v>288</v>
      </c>
      <c r="AS149" s="6" t="s">
        <v>244</v>
      </c>
      <c r="AT149" s="6" t="s">
        <v>244</v>
      </c>
      <c r="AU149" s="6" t="s">
        <v>288</v>
      </c>
      <c r="AV149" s="6" t="s">
        <v>244</v>
      </c>
      <c r="AW149" s="6" t="s">
        <v>244</v>
      </c>
      <c r="AX149" s="6" t="s">
        <v>247</v>
      </c>
    </row>
    <row r="150" spans="1:50">
      <c r="A150" s="6">
        <v>642</v>
      </c>
      <c r="B150" s="5" t="s">
        <v>3015</v>
      </c>
      <c r="C150" s="6">
        <v>9</v>
      </c>
      <c r="D150" s="6" t="s">
        <v>98</v>
      </c>
      <c r="E150" s="6">
        <v>67</v>
      </c>
      <c r="F150" s="6" t="s">
        <v>1286</v>
      </c>
      <c r="G150" s="6">
        <v>41988.92428240741</v>
      </c>
      <c r="H150" s="6">
        <v>42046.981759259259</v>
      </c>
      <c r="I150" s="6">
        <v>41988.92428240741</v>
      </c>
      <c r="J150" s="6" t="s">
        <v>103</v>
      </c>
      <c r="K150" s="6" t="s">
        <v>105</v>
      </c>
      <c r="L150" s="6" t="s">
        <v>1284</v>
      </c>
      <c r="M150" s="6" t="s">
        <v>637</v>
      </c>
      <c r="N150" s="6" t="s">
        <v>1272</v>
      </c>
      <c r="O150" s="6" t="s">
        <v>1285</v>
      </c>
      <c r="P150" s="6" t="s">
        <v>215</v>
      </c>
      <c r="Q150" s="6">
        <v>380</v>
      </c>
      <c r="R150" s="6" t="s">
        <v>201</v>
      </c>
      <c r="S150" s="7">
        <v>380</v>
      </c>
      <c r="T150" s="7" t="s">
        <v>123</v>
      </c>
      <c r="U150" s="6" t="s">
        <v>76</v>
      </c>
      <c r="V150" s="6" t="s">
        <v>158</v>
      </c>
      <c r="W150" s="6" t="s">
        <v>160</v>
      </c>
      <c r="X150" s="6" t="s">
        <v>1284</v>
      </c>
      <c r="Y150" s="8" t="s">
        <v>3012</v>
      </c>
      <c r="Z150" s="8" t="s">
        <v>3016</v>
      </c>
      <c r="AA150" s="8" t="s">
        <v>3017</v>
      </c>
      <c r="AB150" s="6">
        <v>41030</v>
      </c>
      <c r="AC150" s="6">
        <v>41030</v>
      </c>
      <c r="AD150" s="6">
        <v>41030</v>
      </c>
      <c r="AE150" s="6" t="s">
        <v>177</v>
      </c>
      <c r="AF150" s="6" t="s">
        <v>178</v>
      </c>
      <c r="AG150" s="6" t="s">
        <v>180</v>
      </c>
      <c r="AH150" s="6" t="s">
        <v>244</v>
      </c>
      <c r="AI150" s="6" t="s">
        <v>182</v>
      </c>
      <c r="AJ150" s="6" t="s">
        <v>244</v>
      </c>
      <c r="AK150" s="6" t="s">
        <v>288</v>
      </c>
      <c r="AL150" s="6" t="s">
        <v>247</v>
      </c>
      <c r="AM150" s="6" t="s">
        <v>244</v>
      </c>
      <c r="AN150" s="6" t="s">
        <v>247</v>
      </c>
      <c r="AO150" s="6" t="s">
        <v>189</v>
      </c>
      <c r="AP150" s="6" t="s">
        <v>247</v>
      </c>
      <c r="AQ150" s="6" t="s">
        <v>288</v>
      </c>
      <c r="AR150" s="6" t="s">
        <v>288</v>
      </c>
      <c r="AS150" s="6" t="s">
        <v>244</v>
      </c>
      <c r="AT150" s="6" t="s">
        <v>244</v>
      </c>
      <c r="AU150" s="6" t="s">
        <v>288</v>
      </c>
      <c r="AV150" s="6" t="s">
        <v>244</v>
      </c>
      <c r="AW150" s="6" t="s">
        <v>244</v>
      </c>
      <c r="AX150" s="6" t="s">
        <v>247</v>
      </c>
    </row>
    <row r="151" spans="1:50">
      <c r="A151" s="6">
        <v>638</v>
      </c>
      <c r="B151" s="5" t="s">
        <v>3018</v>
      </c>
      <c r="C151" s="6">
        <v>8</v>
      </c>
      <c r="D151" s="6" t="s">
        <v>98</v>
      </c>
      <c r="E151" s="6">
        <v>1</v>
      </c>
      <c r="F151" s="6" t="s">
        <v>1287</v>
      </c>
      <c r="G151" s="6">
        <v>41988.924270833333</v>
      </c>
      <c r="H151" s="6">
        <v>42020.602048611108</v>
      </c>
      <c r="I151" s="6">
        <v>41988.924270833333</v>
      </c>
      <c r="J151" s="6" t="s">
        <v>103</v>
      </c>
      <c r="K151" s="6" t="s">
        <v>105</v>
      </c>
      <c r="L151" s="6" t="s">
        <v>1288</v>
      </c>
      <c r="O151" s="6" t="s">
        <v>1289</v>
      </c>
      <c r="Q151" s="6">
        <v>380</v>
      </c>
      <c r="R151" s="6" t="s">
        <v>201</v>
      </c>
      <c r="S151" s="7">
        <v>380</v>
      </c>
      <c r="T151" s="7" t="s">
        <v>123</v>
      </c>
      <c r="U151" s="6" t="s">
        <v>76</v>
      </c>
      <c r="V151" s="6" t="s">
        <v>158</v>
      </c>
      <c r="W151" s="6" t="s">
        <v>160</v>
      </c>
      <c r="X151" s="6" t="s">
        <v>1288</v>
      </c>
      <c r="Y151" s="8" t="s">
        <v>3019</v>
      </c>
      <c r="Z151" s="8" t="s">
        <v>3020</v>
      </c>
      <c r="AA151" s="8" t="s">
        <v>3020</v>
      </c>
      <c r="AE151" s="6" t="s">
        <v>177</v>
      </c>
      <c r="AF151" s="6" t="s">
        <v>178</v>
      </c>
      <c r="AG151" s="6" t="s">
        <v>180</v>
      </c>
      <c r="AH151" s="6" t="s">
        <v>377</v>
      </c>
      <c r="AI151" s="6" t="s">
        <v>385</v>
      </c>
      <c r="AJ151" s="6" t="s">
        <v>371</v>
      </c>
      <c r="AK151" s="6" t="s">
        <v>244</v>
      </c>
      <c r="AL151" s="6" t="s">
        <v>178</v>
      </c>
      <c r="AM151" s="6" t="s">
        <v>185</v>
      </c>
      <c r="AN151" s="6" t="s">
        <v>392</v>
      </c>
      <c r="AO151" s="6" t="s">
        <v>244</v>
      </c>
      <c r="AP151" s="6" t="s">
        <v>394</v>
      </c>
      <c r="AQ151" s="6" t="s">
        <v>244</v>
      </c>
      <c r="AR151" s="6" t="s">
        <v>244</v>
      </c>
      <c r="AS151" s="6" t="s">
        <v>395</v>
      </c>
      <c r="AU151" s="6" t="s">
        <v>244</v>
      </c>
      <c r="AV151" s="6" t="s">
        <v>244</v>
      </c>
      <c r="AW151" s="6" t="s">
        <v>244</v>
      </c>
      <c r="AX151" s="6" t="s">
        <v>247</v>
      </c>
    </row>
    <row r="152" spans="1:50">
      <c r="A152" s="6">
        <v>227</v>
      </c>
      <c r="B152" s="5" t="s">
        <v>3021</v>
      </c>
      <c r="C152" s="6">
        <v>3</v>
      </c>
      <c r="D152" s="6" t="s">
        <v>98</v>
      </c>
      <c r="E152" s="6">
        <v>1</v>
      </c>
      <c r="F152" s="6" t="s">
        <v>1293</v>
      </c>
      <c r="G152" s="6">
        <v>41988.923506944448</v>
      </c>
      <c r="H152" s="6">
        <v>41988.923506944448</v>
      </c>
      <c r="I152" s="6">
        <v>41988.923506944448</v>
      </c>
      <c r="J152" s="6" t="s">
        <v>103</v>
      </c>
      <c r="K152" s="6" t="s">
        <v>105</v>
      </c>
      <c r="L152" s="6" t="s">
        <v>1294</v>
      </c>
      <c r="M152" s="6" t="s">
        <v>352</v>
      </c>
      <c r="N152" s="6" t="s">
        <v>1295</v>
      </c>
      <c r="O152" s="6" t="s">
        <v>1296</v>
      </c>
      <c r="P152" s="6" t="s">
        <v>215</v>
      </c>
      <c r="Q152" s="6">
        <v>380</v>
      </c>
      <c r="R152" s="6" t="s">
        <v>201</v>
      </c>
      <c r="S152" s="7">
        <v>380</v>
      </c>
      <c r="T152" s="7" t="s">
        <v>123</v>
      </c>
      <c r="U152" s="6" t="s">
        <v>76</v>
      </c>
      <c r="V152" s="6" t="s">
        <v>158</v>
      </c>
      <c r="W152" s="6" t="s">
        <v>160</v>
      </c>
      <c r="X152" s="6" t="s">
        <v>1294</v>
      </c>
      <c r="Y152" s="8" t="s">
        <v>3022</v>
      </c>
      <c r="Z152" s="8" t="s">
        <v>3009</v>
      </c>
      <c r="AB152" s="6">
        <v>40179</v>
      </c>
      <c r="AE152" s="6" t="s">
        <v>177</v>
      </c>
      <c r="AF152" s="6" t="s">
        <v>178</v>
      </c>
      <c r="AG152" s="6" t="s">
        <v>180</v>
      </c>
      <c r="AH152" s="6" t="s">
        <v>244</v>
      </c>
      <c r="AI152" s="6" t="s">
        <v>385</v>
      </c>
      <c r="AJ152" s="6" t="s">
        <v>244</v>
      </c>
      <c r="AK152" s="6" t="s">
        <v>244</v>
      </c>
      <c r="AL152" s="6" t="s">
        <v>247</v>
      </c>
      <c r="AM152" s="6" t="s">
        <v>244</v>
      </c>
      <c r="AN152" s="6" t="s">
        <v>247</v>
      </c>
      <c r="AO152" s="6" t="s">
        <v>244</v>
      </c>
      <c r="AP152" s="6" t="s">
        <v>247</v>
      </c>
      <c r="AQ152" s="6" t="s">
        <v>288</v>
      </c>
      <c r="AR152" s="6" t="s">
        <v>288</v>
      </c>
      <c r="AS152" s="6" t="s">
        <v>244</v>
      </c>
      <c r="AT152" s="6" t="s">
        <v>244</v>
      </c>
      <c r="AU152" s="6" t="s">
        <v>288</v>
      </c>
      <c r="AV152" s="6" t="s">
        <v>371</v>
      </c>
      <c r="AW152" s="6" t="s">
        <v>244</v>
      </c>
      <c r="AX152" s="6" t="s">
        <v>247</v>
      </c>
    </row>
    <row r="153" spans="1:50">
      <c r="A153" s="6">
        <v>219</v>
      </c>
      <c r="B153" s="5" t="s">
        <v>3023</v>
      </c>
      <c r="C153" s="6">
        <v>4</v>
      </c>
      <c r="D153" s="6" t="s">
        <v>98</v>
      </c>
      <c r="E153" s="6">
        <v>261</v>
      </c>
      <c r="F153" s="6" t="s">
        <v>1297</v>
      </c>
      <c r="G153" s="6">
        <v>41988.923460648148</v>
      </c>
      <c r="H153" s="6">
        <v>42046.981678240743</v>
      </c>
      <c r="I153" s="6">
        <v>41988.923460648148</v>
      </c>
      <c r="J153" s="6" t="s">
        <v>103</v>
      </c>
      <c r="K153" s="6" t="s">
        <v>105</v>
      </c>
      <c r="L153" s="6" t="s">
        <v>1298</v>
      </c>
      <c r="M153" s="6" t="s">
        <v>352</v>
      </c>
      <c r="N153" s="6" t="s">
        <v>1299</v>
      </c>
      <c r="O153" s="6" t="s">
        <v>1300</v>
      </c>
      <c r="P153" s="6" t="s">
        <v>1129</v>
      </c>
      <c r="Q153" s="6">
        <v>380</v>
      </c>
      <c r="R153" s="6" t="s">
        <v>201</v>
      </c>
      <c r="S153" s="7">
        <v>380</v>
      </c>
      <c r="T153" s="7" t="s">
        <v>123</v>
      </c>
      <c r="U153" s="6" t="s">
        <v>76</v>
      </c>
      <c r="V153" s="6" t="s">
        <v>158</v>
      </c>
      <c r="W153" s="6" t="s">
        <v>160</v>
      </c>
      <c r="X153" s="6" t="s">
        <v>1298</v>
      </c>
      <c r="Y153" s="8" t="s">
        <v>3024</v>
      </c>
      <c r="AA153" s="8" t="s">
        <v>3025</v>
      </c>
      <c r="AB153" s="6">
        <v>40330</v>
      </c>
      <c r="AE153" s="6" t="s">
        <v>244</v>
      </c>
      <c r="AF153" s="6" t="s">
        <v>178</v>
      </c>
      <c r="AG153" s="6" t="s">
        <v>180</v>
      </c>
      <c r="AH153" s="6" t="s">
        <v>187</v>
      </c>
      <c r="AI153" s="6" t="s">
        <v>385</v>
      </c>
      <c r="AJ153" s="6" t="s">
        <v>244</v>
      </c>
      <c r="AK153" s="6" t="s">
        <v>244</v>
      </c>
      <c r="AL153" s="6" t="s">
        <v>178</v>
      </c>
      <c r="AM153" s="6" t="s">
        <v>244</v>
      </c>
      <c r="AN153" s="6" t="s">
        <v>378</v>
      </c>
      <c r="AO153" s="6" t="s">
        <v>244</v>
      </c>
      <c r="AP153" s="6" t="s">
        <v>394</v>
      </c>
      <c r="AQ153" s="6" t="s">
        <v>288</v>
      </c>
      <c r="AR153" s="6" t="s">
        <v>185</v>
      </c>
      <c r="AS153" s="6" t="s">
        <v>193</v>
      </c>
      <c r="AT153" s="6" t="s">
        <v>193</v>
      </c>
      <c r="AU153" s="6" t="s">
        <v>244</v>
      </c>
      <c r="AV153" s="6" t="s">
        <v>244</v>
      </c>
      <c r="AW153" s="6" t="s">
        <v>244</v>
      </c>
      <c r="AX153" s="6" t="s">
        <v>247</v>
      </c>
    </row>
    <row r="154" spans="1:50">
      <c r="A154" s="6">
        <v>221</v>
      </c>
      <c r="B154" s="5" t="s">
        <v>3026</v>
      </c>
      <c r="C154" s="6">
        <v>6</v>
      </c>
      <c r="D154" s="6" t="s">
        <v>98</v>
      </c>
      <c r="E154" s="6">
        <v>1</v>
      </c>
      <c r="F154" s="6" t="s">
        <v>1304</v>
      </c>
      <c r="G154" s="6">
        <v>41988.923483796294</v>
      </c>
      <c r="H154" s="6">
        <v>41988.923483796294</v>
      </c>
      <c r="I154" s="6">
        <v>41988.923483796294</v>
      </c>
      <c r="J154" s="6" t="s">
        <v>103</v>
      </c>
      <c r="K154" s="6" t="s">
        <v>105</v>
      </c>
      <c r="L154" s="6" t="s">
        <v>1305</v>
      </c>
      <c r="M154" s="6" t="s">
        <v>352</v>
      </c>
      <c r="N154" s="6" t="s">
        <v>1306</v>
      </c>
      <c r="O154" s="6" t="s">
        <v>1307</v>
      </c>
      <c r="P154" s="6" t="s">
        <v>215</v>
      </c>
      <c r="Q154" s="6">
        <v>380</v>
      </c>
      <c r="R154" s="6" t="s">
        <v>201</v>
      </c>
      <c r="S154" s="7">
        <v>380</v>
      </c>
      <c r="T154" s="7" t="s">
        <v>123</v>
      </c>
      <c r="U154" s="6" t="s">
        <v>76</v>
      </c>
      <c r="V154" s="6" t="s">
        <v>158</v>
      </c>
      <c r="W154" s="6" t="s">
        <v>160</v>
      </c>
      <c r="X154" s="6" t="s">
        <v>1305</v>
      </c>
      <c r="Y154" s="8" t="s">
        <v>3027</v>
      </c>
      <c r="Z154" s="8" t="s">
        <v>3028</v>
      </c>
      <c r="AA154" s="8" t="s">
        <v>3029</v>
      </c>
      <c r="AB154" s="6">
        <v>41773</v>
      </c>
      <c r="AC154" s="6">
        <v>42005</v>
      </c>
      <c r="AE154" s="6" t="s">
        <v>478</v>
      </c>
      <c r="AF154" s="6" t="s">
        <v>178</v>
      </c>
      <c r="AG154" s="6" t="s">
        <v>180</v>
      </c>
      <c r="AH154" s="6" t="s">
        <v>392</v>
      </c>
      <c r="AI154" s="6" t="s">
        <v>182</v>
      </c>
      <c r="AJ154" s="6" t="s">
        <v>393</v>
      </c>
      <c r="AK154" s="6" t="s">
        <v>185</v>
      </c>
      <c r="AL154" s="6" t="s">
        <v>479</v>
      </c>
      <c r="AM154" s="6" t="s">
        <v>189</v>
      </c>
      <c r="AN154" s="6" t="s">
        <v>181</v>
      </c>
      <c r="AO154" s="6" t="s">
        <v>185</v>
      </c>
      <c r="AP154" s="6" t="s">
        <v>394</v>
      </c>
      <c r="AQ154" s="6" t="s">
        <v>185</v>
      </c>
      <c r="AR154" s="6" t="s">
        <v>189</v>
      </c>
      <c r="AS154" s="6" t="s">
        <v>395</v>
      </c>
      <c r="AT154" s="6" t="s">
        <v>459</v>
      </c>
      <c r="AU154" s="6" t="s">
        <v>189</v>
      </c>
      <c r="AV154" s="6" t="s">
        <v>339</v>
      </c>
      <c r="AW154" s="6" t="s">
        <v>442</v>
      </c>
      <c r="AX154" s="6" t="s">
        <v>198</v>
      </c>
    </row>
    <row r="155" spans="1:50">
      <c r="A155" s="6">
        <v>222</v>
      </c>
      <c r="B155" s="5" t="s">
        <v>3030</v>
      </c>
      <c r="C155" s="6">
        <v>3</v>
      </c>
      <c r="D155" s="6" t="s">
        <v>98</v>
      </c>
      <c r="E155" s="6">
        <v>1</v>
      </c>
      <c r="F155" s="6" t="s">
        <v>1308</v>
      </c>
      <c r="G155" s="6">
        <v>41988.923483796294</v>
      </c>
      <c r="H155" s="6">
        <v>41988.923483796294</v>
      </c>
      <c r="I155" s="6">
        <v>41988.923483796294</v>
      </c>
      <c r="J155" s="6" t="s">
        <v>103</v>
      </c>
      <c r="K155" s="6" t="s">
        <v>105</v>
      </c>
      <c r="L155" s="6" t="s">
        <v>1309</v>
      </c>
      <c r="M155" s="6" t="s">
        <v>352</v>
      </c>
      <c r="N155" s="6" t="s">
        <v>1310</v>
      </c>
      <c r="P155" s="6" t="s">
        <v>1129</v>
      </c>
      <c r="Q155" s="6">
        <v>380</v>
      </c>
      <c r="R155" s="6" t="s">
        <v>201</v>
      </c>
      <c r="S155" s="7">
        <v>380</v>
      </c>
      <c r="T155" s="7" t="s">
        <v>123</v>
      </c>
      <c r="U155" s="6" t="s">
        <v>76</v>
      </c>
      <c r="V155" s="6" t="s">
        <v>158</v>
      </c>
      <c r="W155" s="6" t="s">
        <v>160</v>
      </c>
      <c r="X155" s="6" t="s">
        <v>1309</v>
      </c>
      <c r="Y155" s="8" t="s">
        <v>3031</v>
      </c>
      <c r="Z155" s="8" t="s">
        <v>3032</v>
      </c>
      <c r="AA155" s="8" t="s">
        <v>3033</v>
      </c>
      <c r="AB155" s="6">
        <v>40855</v>
      </c>
      <c r="AE155" s="6" t="s">
        <v>177</v>
      </c>
      <c r="AF155" s="6" t="s">
        <v>178</v>
      </c>
      <c r="AG155" s="6" t="s">
        <v>180</v>
      </c>
      <c r="AH155" s="6" t="s">
        <v>187</v>
      </c>
      <c r="AI155" s="6" t="s">
        <v>385</v>
      </c>
      <c r="AJ155" s="6" t="s">
        <v>244</v>
      </c>
      <c r="AK155" s="6" t="s">
        <v>244</v>
      </c>
      <c r="AL155" s="6" t="s">
        <v>479</v>
      </c>
      <c r="AM155" s="6" t="s">
        <v>244</v>
      </c>
      <c r="AN155" s="6" t="s">
        <v>378</v>
      </c>
      <c r="AO155" s="6" t="s">
        <v>244</v>
      </c>
      <c r="AP155" s="6" t="s">
        <v>394</v>
      </c>
      <c r="AQ155" s="6" t="s">
        <v>288</v>
      </c>
      <c r="AR155" s="6" t="s">
        <v>185</v>
      </c>
      <c r="AS155" s="6" t="s">
        <v>193</v>
      </c>
      <c r="AT155" s="6" t="s">
        <v>193</v>
      </c>
      <c r="AU155" s="6" t="s">
        <v>244</v>
      </c>
      <c r="AV155" s="6" t="s">
        <v>339</v>
      </c>
      <c r="AW155" s="6" t="s">
        <v>244</v>
      </c>
      <c r="AX155" s="6" t="s">
        <v>247</v>
      </c>
    </row>
    <row r="156" spans="1:50">
      <c r="A156" s="6">
        <v>228</v>
      </c>
      <c r="B156" s="5" t="s">
        <v>3034</v>
      </c>
      <c r="C156" s="6">
        <v>3</v>
      </c>
      <c r="D156" s="6" t="s">
        <v>98</v>
      </c>
      <c r="E156" s="6">
        <v>1</v>
      </c>
      <c r="F156" s="6" t="s">
        <v>1311</v>
      </c>
      <c r="G156" s="6">
        <v>41988.923506944448</v>
      </c>
      <c r="H156" s="6">
        <v>41988.923506944448</v>
      </c>
      <c r="I156" s="6">
        <v>41988.923506944448</v>
      </c>
      <c r="J156" s="6" t="s">
        <v>103</v>
      </c>
      <c r="K156" s="6" t="s">
        <v>105</v>
      </c>
      <c r="L156" s="6" t="s">
        <v>1312</v>
      </c>
      <c r="M156" s="6" t="s">
        <v>352</v>
      </c>
      <c r="P156" s="6" t="s">
        <v>215</v>
      </c>
      <c r="Q156" s="6">
        <v>380</v>
      </c>
      <c r="R156" s="6" t="s">
        <v>201</v>
      </c>
      <c r="S156" s="7">
        <v>380</v>
      </c>
      <c r="T156" s="7" t="s">
        <v>123</v>
      </c>
      <c r="U156" s="6" t="s">
        <v>76</v>
      </c>
      <c r="V156" s="6" t="s">
        <v>158</v>
      </c>
      <c r="W156" s="6" t="s">
        <v>160</v>
      </c>
      <c r="X156" s="6" t="s">
        <v>1312</v>
      </c>
      <c r="Y156" s="8" t="s">
        <v>3035</v>
      </c>
      <c r="Z156" s="8" t="s">
        <v>3009</v>
      </c>
      <c r="AE156" s="6" t="s">
        <v>177</v>
      </c>
      <c r="AF156" s="6" t="s">
        <v>178</v>
      </c>
      <c r="AG156" s="6" t="s">
        <v>180</v>
      </c>
      <c r="AH156" s="6" t="s">
        <v>244</v>
      </c>
      <c r="AI156" s="6" t="s">
        <v>385</v>
      </c>
      <c r="AJ156" s="6" t="s">
        <v>244</v>
      </c>
      <c r="AK156" s="6" t="s">
        <v>244</v>
      </c>
      <c r="AL156" s="6" t="s">
        <v>178</v>
      </c>
      <c r="AM156" s="6" t="s">
        <v>244</v>
      </c>
      <c r="AN156" s="6" t="s">
        <v>247</v>
      </c>
      <c r="AO156" s="6" t="s">
        <v>244</v>
      </c>
      <c r="AP156" s="6" t="s">
        <v>247</v>
      </c>
      <c r="AQ156" s="6" t="s">
        <v>288</v>
      </c>
      <c r="AR156" s="6" t="s">
        <v>185</v>
      </c>
      <c r="AS156" s="6" t="s">
        <v>244</v>
      </c>
      <c r="AT156" s="6" t="s">
        <v>244</v>
      </c>
      <c r="AU156" s="6" t="s">
        <v>288</v>
      </c>
      <c r="AV156" s="6" t="s">
        <v>371</v>
      </c>
      <c r="AW156" s="6" t="s">
        <v>244</v>
      </c>
      <c r="AX156" s="6" t="s">
        <v>247</v>
      </c>
    </row>
    <row r="157" spans="1:50">
      <c r="A157" s="6">
        <v>230</v>
      </c>
      <c r="B157" s="5" t="s">
        <v>3036</v>
      </c>
      <c r="C157" s="6">
        <v>4</v>
      </c>
      <c r="D157" s="6" t="s">
        <v>98</v>
      </c>
      <c r="E157" s="6">
        <v>1</v>
      </c>
      <c r="F157" s="6" t="s">
        <v>1317</v>
      </c>
      <c r="G157" s="6">
        <v>41988.923506944448</v>
      </c>
      <c r="H157" s="6">
        <v>42023.031793981485</v>
      </c>
      <c r="I157" s="6">
        <v>41988.923506944448</v>
      </c>
      <c r="J157" s="6" t="s">
        <v>103</v>
      </c>
      <c r="K157" s="6" t="s">
        <v>105</v>
      </c>
      <c r="L157" s="6" t="s">
        <v>1318</v>
      </c>
      <c r="M157" s="6" t="s">
        <v>469</v>
      </c>
      <c r="N157" s="6" t="s">
        <v>1319</v>
      </c>
      <c r="O157" s="6" t="s">
        <v>1320</v>
      </c>
      <c r="P157" s="6" t="s">
        <v>1129</v>
      </c>
      <c r="Q157" s="6">
        <v>380</v>
      </c>
      <c r="R157" s="6" t="s">
        <v>201</v>
      </c>
      <c r="S157" s="7">
        <v>380</v>
      </c>
      <c r="T157" s="7" t="s">
        <v>123</v>
      </c>
      <c r="U157" s="6" t="s">
        <v>76</v>
      </c>
      <c r="V157" s="6" t="s">
        <v>158</v>
      </c>
      <c r="W157" s="6" t="s">
        <v>160</v>
      </c>
      <c r="X157" s="6" t="s">
        <v>1318</v>
      </c>
      <c r="Y157" s="8" t="s">
        <v>3037</v>
      </c>
      <c r="AA157" s="8" t="s">
        <v>3038</v>
      </c>
      <c r="AE157" s="6" t="s">
        <v>244</v>
      </c>
      <c r="AF157" s="6" t="s">
        <v>178</v>
      </c>
      <c r="AG157" s="6" t="s">
        <v>180</v>
      </c>
      <c r="AH157" s="6" t="s">
        <v>244</v>
      </c>
      <c r="AI157" s="6" t="s">
        <v>385</v>
      </c>
      <c r="AJ157" s="6" t="s">
        <v>244</v>
      </c>
      <c r="AK157" s="6" t="s">
        <v>244</v>
      </c>
      <c r="AL157" s="6" t="s">
        <v>479</v>
      </c>
      <c r="AM157" s="6" t="s">
        <v>244</v>
      </c>
      <c r="AN157" s="6" t="s">
        <v>247</v>
      </c>
      <c r="AO157" s="6" t="s">
        <v>244</v>
      </c>
      <c r="AP157" s="6" t="s">
        <v>394</v>
      </c>
      <c r="AQ157" s="6" t="s">
        <v>288</v>
      </c>
      <c r="AR157" s="6" t="s">
        <v>244</v>
      </c>
      <c r="AS157" s="6" t="s">
        <v>244</v>
      </c>
      <c r="AT157" s="6" t="s">
        <v>244</v>
      </c>
      <c r="AU157" s="6" t="s">
        <v>288</v>
      </c>
      <c r="AV157" s="6" t="s">
        <v>244</v>
      </c>
      <c r="AW157" s="6" t="s">
        <v>244</v>
      </c>
      <c r="AX157" s="6" t="s">
        <v>247</v>
      </c>
    </row>
    <row r="158" spans="1:50">
      <c r="A158" s="6">
        <v>215</v>
      </c>
      <c r="B158" s="5" t="s">
        <v>3039</v>
      </c>
      <c r="C158" s="6">
        <v>6</v>
      </c>
      <c r="D158" s="6" t="s">
        <v>98</v>
      </c>
      <c r="E158" s="6">
        <v>260</v>
      </c>
      <c r="F158" s="6" t="s">
        <v>1325</v>
      </c>
      <c r="G158" s="6">
        <v>41988.923449074071</v>
      </c>
      <c r="H158" s="6">
        <v>42046.981666666667</v>
      </c>
      <c r="I158" s="6">
        <v>41988.923449074071</v>
      </c>
      <c r="J158" s="6" t="s">
        <v>103</v>
      </c>
      <c r="K158" s="6" t="s">
        <v>105</v>
      </c>
      <c r="L158" s="6" t="s">
        <v>1326</v>
      </c>
      <c r="M158" s="6" t="s">
        <v>374</v>
      </c>
      <c r="N158" s="6" t="s">
        <v>1327</v>
      </c>
      <c r="O158" s="6" t="s">
        <v>1328</v>
      </c>
      <c r="P158" s="6" t="s">
        <v>215</v>
      </c>
      <c r="Q158" s="6">
        <v>380</v>
      </c>
      <c r="R158" s="6" t="s">
        <v>201</v>
      </c>
      <c r="S158" s="7">
        <v>380</v>
      </c>
      <c r="T158" s="7" t="s">
        <v>123</v>
      </c>
      <c r="U158" s="6" t="s">
        <v>76</v>
      </c>
      <c r="V158" s="6" t="s">
        <v>158</v>
      </c>
      <c r="W158" s="6" t="s">
        <v>160</v>
      </c>
      <c r="X158" s="6" t="s">
        <v>1326</v>
      </c>
      <c r="Y158" s="8" t="s">
        <v>3040</v>
      </c>
      <c r="Z158" s="8" t="s">
        <v>3041</v>
      </c>
      <c r="AA158" s="8" t="s">
        <v>3042</v>
      </c>
      <c r="AB158" s="6">
        <v>41442</v>
      </c>
      <c r="AC158" s="6">
        <v>41579</v>
      </c>
      <c r="AD158" s="6">
        <v>41871</v>
      </c>
      <c r="AE158" s="6" t="s">
        <v>478</v>
      </c>
      <c r="AF158" s="6" t="s">
        <v>178</v>
      </c>
      <c r="AG158" s="6" t="s">
        <v>180</v>
      </c>
      <c r="AH158" s="6" t="s">
        <v>392</v>
      </c>
      <c r="AI158" s="6" t="s">
        <v>182</v>
      </c>
      <c r="AJ158" s="6" t="s">
        <v>393</v>
      </c>
      <c r="AK158" s="6" t="s">
        <v>189</v>
      </c>
      <c r="AL158" s="6" t="s">
        <v>178</v>
      </c>
      <c r="AM158" s="6" t="s">
        <v>189</v>
      </c>
      <c r="AN158" s="6" t="s">
        <v>181</v>
      </c>
      <c r="AO158" s="6" t="s">
        <v>189</v>
      </c>
      <c r="AP158" s="6" t="s">
        <v>247</v>
      </c>
      <c r="AQ158" s="6" t="s">
        <v>288</v>
      </c>
      <c r="AR158" s="6" t="s">
        <v>244</v>
      </c>
      <c r="AS158" s="6" t="s">
        <v>244</v>
      </c>
      <c r="AT158" s="6" t="s">
        <v>244</v>
      </c>
      <c r="AU158" s="6" t="s">
        <v>288</v>
      </c>
      <c r="AV158" s="6" t="s">
        <v>339</v>
      </c>
      <c r="AW158" s="6" t="s">
        <v>244</v>
      </c>
      <c r="AX158" s="6" t="s">
        <v>247</v>
      </c>
    </row>
    <row r="159" spans="1:50">
      <c r="A159" s="6">
        <v>640</v>
      </c>
      <c r="B159" s="5" t="s">
        <v>3043</v>
      </c>
      <c r="C159" s="6">
        <v>7</v>
      </c>
      <c r="D159" s="6" t="s">
        <v>98</v>
      </c>
      <c r="E159" s="6">
        <v>1</v>
      </c>
      <c r="F159" s="6" t="s">
        <v>1333</v>
      </c>
      <c r="G159" s="6">
        <v>41988.924270833333</v>
      </c>
      <c r="H159" s="6">
        <v>41988.924270833333</v>
      </c>
      <c r="I159" s="6">
        <v>41988.924270833333</v>
      </c>
      <c r="J159" s="6" t="s">
        <v>103</v>
      </c>
      <c r="K159" s="6" t="s">
        <v>105</v>
      </c>
      <c r="L159" s="6" t="s">
        <v>1334</v>
      </c>
      <c r="O159" s="6" t="s">
        <v>1335</v>
      </c>
      <c r="P159" s="6" t="s">
        <v>215</v>
      </c>
      <c r="Q159" s="6">
        <v>380</v>
      </c>
      <c r="R159" s="6" t="s">
        <v>201</v>
      </c>
      <c r="S159" s="7">
        <v>380</v>
      </c>
      <c r="T159" s="7" t="s">
        <v>123</v>
      </c>
      <c r="U159" s="6" t="s">
        <v>76</v>
      </c>
      <c r="V159" s="6" t="s">
        <v>158</v>
      </c>
      <c r="W159" s="6" t="s">
        <v>160</v>
      </c>
      <c r="X159" s="6" t="s">
        <v>1334</v>
      </c>
      <c r="Y159" s="8" t="s">
        <v>3044</v>
      </c>
      <c r="AA159" s="8" t="s">
        <v>3045</v>
      </c>
      <c r="AB159" s="6">
        <v>39142</v>
      </c>
      <c r="AE159" s="6" t="s">
        <v>478</v>
      </c>
      <c r="AF159" s="6" t="s">
        <v>178</v>
      </c>
      <c r="AG159" s="6" t="s">
        <v>180</v>
      </c>
      <c r="AH159" s="6" t="s">
        <v>244</v>
      </c>
      <c r="AI159" s="6" t="s">
        <v>385</v>
      </c>
      <c r="AJ159" s="6" t="s">
        <v>244</v>
      </c>
      <c r="AK159" s="6" t="s">
        <v>185</v>
      </c>
      <c r="AL159" s="6" t="s">
        <v>479</v>
      </c>
      <c r="AM159" s="6" t="s">
        <v>189</v>
      </c>
      <c r="AN159" s="6" t="s">
        <v>378</v>
      </c>
      <c r="AO159" s="6" t="s">
        <v>244</v>
      </c>
      <c r="AP159" s="6" t="s">
        <v>394</v>
      </c>
      <c r="AQ159" s="6" t="s">
        <v>185</v>
      </c>
      <c r="AR159" s="6" t="s">
        <v>189</v>
      </c>
      <c r="AS159" s="6" t="s">
        <v>459</v>
      </c>
      <c r="AT159" s="6" t="s">
        <v>459</v>
      </c>
      <c r="AU159" s="6" t="s">
        <v>189</v>
      </c>
      <c r="AV159" s="6" t="s">
        <v>339</v>
      </c>
      <c r="AW159" s="6" t="s">
        <v>244</v>
      </c>
      <c r="AX159" s="6" t="s">
        <v>247</v>
      </c>
    </row>
    <row r="160" spans="1:50">
      <c r="A160" s="6">
        <v>41</v>
      </c>
      <c r="B160" s="5" t="s">
        <v>3046</v>
      </c>
      <c r="C160" s="6">
        <v>3</v>
      </c>
      <c r="D160" s="6" t="s">
        <v>98</v>
      </c>
      <c r="E160" s="6">
        <v>1</v>
      </c>
      <c r="F160" s="6" t="s">
        <v>1343</v>
      </c>
      <c r="G160" s="6">
        <v>41988.923136574071</v>
      </c>
      <c r="H160" s="6">
        <v>41988.923136574071</v>
      </c>
      <c r="I160" s="6">
        <v>41988.923136574071</v>
      </c>
      <c r="J160" s="6" t="s">
        <v>103</v>
      </c>
      <c r="K160" s="6" t="s">
        <v>105</v>
      </c>
      <c r="L160" s="6" t="s">
        <v>1344</v>
      </c>
      <c r="M160" s="6" t="s">
        <v>352</v>
      </c>
      <c r="P160" s="6" t="s">
        <v>215</v>
      </c>
      <c r="Q160" s="6">
        <v>392</v>
      </c>
      <c r="R160" s="6" t="s">
        <v>204</v>
      </c>
      <c r="S160" s="7">
        <v>392</v>
      </c>
      <c r="T160" s="7" t="s">
        <v>118</v>
      </c>
      <c r="U160" s="6" t="s">
        <v>70</v>
      </c>
      <c r="V160" s="6" t="s">
        <v>158</v>
      </c>
      <c r="W160" s="6" t="s">
        <v>376</v>
      </c>
      <c r="X160" s="6" t="s">
        <v>1344</v>
      </c>
      <c r="Y160" s="8" t="s">
        <v>3047</v>
      </c>
      <c r="Z160" s="8" t="s">
        <v>3048</v>
      </c>
      <c r="AB160" s="6">
        <v>41365</v>
      </c>
      <c r="AC160" s="6">
        <v>41365</v>
      </c>
      <c r="AE160" s="6" t="s">
        <v>371</v>
      </c>
      <c r="AF160" s="6" t="s">
        <v>178</v>
      </c>
      <c r="AG160" s="6" t="s">
        <v>180</v>
      </c>
      <c r="AH160" s="6" t="s">
        <v>392</v>
      </c>
      <c r="AI160" s="6" t="s">
        <v>385</v>
      </c>
      <c r="AJ160" s="6" t="s">
        <v>244</v>
      </c>
      <c r="AK160" s="6" t="s">
        <v>185</v>
      </c>
      <c r="AL160" s="6" t="s">
        <v>247</v>
      </c>
      <c r="AM160" s="6" t="s">
        <v>244</v>
      </c>
      <c r="AN160" s="6" t="s">
        <v>378</v>
      </c>
      <c r="AO160" s="6" t="s">
        <v>185</v>
      </c>
      <c r="AP160" s="6" t="s">
        <v>386</v>
      </c>
      <c r="AQ160" s="6" t="s">
        <v>288</v>
      </c>
      <c r="AR160" s="6" t="s">
        <v>189</v>
      </c>
      <c r="AS160" s="6" t="s">
        <v>395</v>
      </c>
      <c r="AT160" s="6" t="s">
        <v>395</v>
      </c>
      <c r="AU160" s="6" t="s">
        <v>244</v>
      </c>
      <c r="AV160" s="6" t="s">
        <v>339</v>
      </c>
      <c r="AW160" s="6" t="s">
        <v>244</v>
      </c>
      <c r="AX160" s="6" t="s">
        <v>247</v>
      </c>
    </row>
    <row r="161" spans="1:50">
      <c r="A161" s="6">
        <v>762</v>
      </c>
      <c r="B161" s="5" t="s">
        <v>3049</v>
      </c>
      <c r="C161" s="6">
        <v>4</v>
      </c>
      <c r="D161" s="6" t="s">
        <v>98</v>
      </c>
      <c r="E161" s="6">
        <v>772</v>
      </c>
      <c r="F161" s="6" t="s">
        <v>1345</v>
      </c>
      <c r="G161" s="6">
        <v>42131.878946759258</v>
      </c>
      <c r="H161" s="6">
        <v>42131.878946759258</v>
      </c>
      <c r="I161" s="6">
        <v>42131.878946759258</v>
      </c>
      <c r="J161" s="6" t="s">
        <v>103</v>
      </c>
      <c r="K161" s="6" t="s">
        <v>105</v>
      </c>
      <c r="L161" s="6" t="s">
        <v>1346</v>
      </c>
      <c r="Q161" s="6">
        <v>392</v>
      </c>
      <c r="R161" s="6" t="s">
        <v>204</v>
      </c>
      <c r="S161" s="7">
        <v>392</v>
      </c>
      <c r="T161" s="7" t="s">
        <v>118</v>
      </c>
      <c r="U161" s="6" t="s">
        <v>70</v>
      </c>
      <c r="V161" s="6" t="s">
        <v>158</v>
      </c>
      <c r="W161" s="6" t="s">
        <v>160</v>
      </c>
      <c r="X161" s="6" t="s">
        <v>1346</v>
      </c>
      <c r="Y161" s="8" t="s">
        <v>3050</v>
      </c>
      <c r="Z161" s="8" t="s">
        <v>3051</v>
      </c>
      <c r="AA161" s="8" t="s">
        <v>3052</v>
      </c>
      <c r="AB161" s="6">
        <v>42122</v>
      </c>
      <c r="AE161" s="6" t="s">
        <v>177</v>
      </c>
      <c r="AF161" s="6" t="s">
        <v>178</v>
      </c>
      <c r="AG161" s="6" t="s">
        <v>180</v>
      </c>
      <c r="AH161" s="6" t="s">
        <v>181</v>
      </c>
      <c r="AI161" s="6" t="s">
        <v>182</v>
      </c>
      <c r="AJ161" s="6" t="s">
        <v>393</v>
      </c>
      <c r="AK161" s="6" t="s">
        <v>189</v>
      </c>
      <c r="AL161" s="6" t="s">
        <v>178</v>
      </c>
      <c r="AM161" s="6" t="s">
        <v>189</v>
      </c>
      <c r="AN161" s="6" t="s">
        <v>181</v>
      </c>
      <c r="AO161" s="6" t="s">
        <v>185</v>
      </c>
      <c r="AP161" s="6" t="s">
        <v>394</v>
      </c>
      <c r="AQ161" s="6" t="s">
        <v>288</v>
      </c>
      <c r="AR161" s="6" t="s">
        <v>189</v>
      </c>
      <c r="AS161" s="6" t="s">
        <v>244</v>
      </c>
      <c r="AT161" s="6" t="s">
        <v>244</v>
      </c>
      <c r="AU161" s="6" t="s">
        <v>244</v>
      </c>
      <c r="AV161" s="6" t="s">
        <v>339</v>
      </c>
      <c r="AW161" s="6" t="s">
        <v>244</v>
      </c>
      <c r="AX161" s="6" t="s">
        <v>247</v>
      </c>
    </row>
    <row r="162" spans="1:50">
      <c r="A162" s="6">
        <v>42</v>
      </c>
      <c r="B162" s="5" t="s">
        <v>3053</v>
      </c>
      <c r="C162" s="6">
        <v>3</v>
      </c>
      <c r="D162" s="6" t="s">
        <v>98</v>
      </c>
      <c r="E162" s="6">
        <v>1</v>
      </c>
      <c r="F162" s="6" t="s">
        <v>1347</v>
      </c>
      <c r="G162" s="6">
        <v>41988.923136574071</v>
      </c>
      <c r="H162" s="6">
        <v>41988.923136574071</v>
      </c>
      <c r="I162" s="6">
        <v>41988.923136574071</v>
      </c>
      <c r="J162" s="6" t="s">
        <v>103</v>
      </c>
      <c r="K162" s="6" t="s">
        <v>105</v>
      </c>
      <c r="L162" s="6" t="s">
        <v>1348</v>
      </c>
      <c r="M162" s="6" t="s">
        <v>637</v>
      </c>
      <c r="P162" s="6" t="s">
        <v>501</v>
      </c>
      <c r="Q162" s="6">
        <v>392</v>
      </c>
      <c r="R162" s="6" t="s">
        <v>204</v>
      </c>
      <c r="S162" s="7">
        <v>392</v>
      </c>
      <c r="T162" s="7" t="s">
        <v>118</v>
      </c>
      <c r="U162" s="6" t="s">
        <v>70</v>
      </c>
      <c r="V162" s="6" t="s">
        <v>158</v>
      </c>
      <c r="W162" s="6" t="s">
        <v>160</v>
      </c>
      <c r="X162" s="6" t="s">
        <v>1348</v>
      </c>
      <c r="Y162" s="8" t="s">
        <v>3054</v>
      </c>
      <c r="Z162" s="8" t="s">
        <v>3055</v>
      </c>
      <c r="AA162" s="8" t="s">
        <v>3056</v>
      </c>
      <c r="AB162" s="6">
        <v>41559</v>
      </c>
      <c r="AC162" s="6">
        <v>41559</v>
      </c>
      <c r="AD162" s="6">
        <v>41789</v>
      </c>
      <c r="AE162" s="6" t="s">
        <v>177</v>
      </c>
      <c r="AF162" s="6" t="s">
        <v>178</v>
      </c>
      <c r="AG162" s="6" t="s">
        <v>180</v>
      </c>
      <c r="AH162" s="6" t="s">
        <v>244</v>
      </c>
      <c r="AI162" s="6" t="s">
        <v>182</v>
      </c>
      <c r="AJ162" s="6" t="s">
        <v>244</v>
      </c>
      <c r="AK162" s="6" t="s">
        <v>189</v>
      </c>
      <c r="AL162" s="6" t="s">
        <v>178</v>
      </c>
      <c r="AM162" s="6" t="s">
        <v>189</v>
      </c>
      <c r="AN162" s="6" t="s">
        <v>181</v>
      </c>
      <c r="AO162" s="6" t="s">
        <v>244</v>
      </c>
      <c r="AP162" s="6" t="s">
        <v>247</v>
      </c>
      <c r="AQ162" s="6" t="s">
        <v>288</v>
      </c>
      <c r="AR162" s="6" t="s">
        <v>288</v>
      </c>
      <c r="AS162" s="6" t="s">
        <v>244</v>
      </c>
      <c r="AT162" s="6" t="s">
        <v>244</v>
      </c>
      <c r="AU162" s="6" t="s">
        <v>288</v>
      </c>
      <c r="AV162" s="6" t="s">
        <v>371</v>
      </c>
      <c r="AW162" s="6" t="s">
        <v>244</v>
      </c>
      <c r="AX162" s="6" t="s">
        <v>247</v>
      </c>
    </row>
    <row r="163" spans="1:50">
      <c r="A163" s="6">
        <v>2</v>
      </c>
      <c r="B163" s="5" t="s">
        <v>3057</v>
      </c>
      <c r="C163" s="6">
        <v>3</v>
      </c>
      <c r="D163" s="6" t="s">
        <v>98</v>
      </c>
      <c r="E163" s="6">
        <v>1</v>
      </c>
      <c r="F163" s="6" t="s">
        <v>1349</v>
      </c>
      <c r="G163" s="6">
        <v>41988.923067129632</v>
      </c>
      <c r="H163" s="6">
        <v>41988.923067129632</v>
      </c>
      <c r="I163" s="6">
        <v>41988.923067129632</v>
      </c>
      <c r="J163" s="6" t="s">
        <v>103</v>
      </c>
      <c r="K163" s="6" t="s">
        <v>105</v>
      </c>
      <c r="L163" s="6" t="s">
        <v>1350</v>
      </c>
      <c r="M163" s="6" t="s">
        <v>374</v>
      </c>
      <c r="P163" s="6" t="s">
        <v>215</v>
      </c>
      <c r="Q163" s="6">
        <v>404</v>
      </c>
      <c r="R163" s="6" t="s">
        <v>207</v>
      </c>
      <c r="S163" s="7">
        <v>404</v>
      </c>
      <c r="T163" s="7" t="s">
        <v>51</v>
      </c>
      <c r="U163" s="6" t="s">
        <v>59</v>
      </c>
      <c r="V163" s="6" t="s">
        <v>158</v>
      </c>
      <c r="W163" s="6" t="s">
        <v>160</v>
      </c>
      <c r="X163" s="6" t="s">
        <v>1350</v>
      </c>
      <c r="Y163" s="8" t="s">
        <v>3058</v>
      </c>
      <c r="Z163" s="8" t="s">
        <v>3059</v>
      </c>
      <c r="AA163" s="8" t="s">
        <v>3060</v>
      </c>
      <c r="AB163" s="6">
        <v>41082</v>
      </c>
      <c r="AC163" s="6">
        <v>41072</v>
      </c>
      <c r="AE163" s="6" t="s">
        <v>177</v>
      </c>
      <c r="AF163" s="6" t="s">
        <v>178</v>
      </c>
      <c r="AG163" s="6" t="s">
        <v>180</v>
      </c>
      <c r="AH163" s="6" t="s">
        <v>392</v>
      </c>
      <c r="AI163" s="6" t="s">
        <v>244</v>
      </c>
      <c r="AJ163" s="6" t="s">
        <v>244</v>
      </c>
      <c r="AK163" s="6" t="s">
        <v>185</v>
      </c>
      <c r="AL163" s="6" t="s">
        <v>178</v>
      </c>
      <c r="AM163" s="6" t="s">
        <v>189</v>
      </c>
      <c r="AN163" s="6" t="s">
        <v>181</v>
      </c>
      <c r="AO163" s="6" t="s">
        <v>185</v>
      </c>
      <c r="AP163" s="6" t="s">
        <v>648</v>
      </c>
      <c r="AQ163" s="6" t="s">
        <v>189</v>
      </c>
      <c r="AR163" s="6" t="s">
        <v>189</v>
      </c>
      <c r="AS163" s="6" t="s">
        <v>244</v>
      </c>
      <c r="AT163" s="6" t="s">
        <v>244</v>
      </c>
      <c r="AU163" s="6" t="s">
        <v>288</v>
      </c>
      <c r="AV163" s="6" t="s">
        <v>371</v>
      </c>
      <c r="AW163" s="6" t="s">
        <v>244</v>
      </c>
      <c r="AX163" s="6" t="s">
        <v>247</v>
      </c>
    </row>
    <row r="164" spans="1:50">
      <c r="A164" s="6">
        <v>3</v>
      </c>
      <c r="B164" s="5" t="s">
        <v>3061</v>
      </c>
      <c r="C164" s="6">
        <v>4</v>
      </c>
      <c r="D164" s="6" t="s">
        <v>98</v>
      </c>
      <c r="E164" s="6">
        <v>224</v>
      </c>
      <c r="F164" s="6" t="s">
        <v>1351</v>
      </c>
      <c r="G164" s="6">
        <v>41988.923067129632</v>
      </c>
      <c r="H164" s="6">
        <v>42046.981631944444</v>
      </c>
      <c r="I164" s="6">
        <v>41988.923067129632</v>
      </c>
      <c r="J164" s="6" t="s">
        <v>103</v>
      </c>
      <c r="K164" s="6" t="s">
        <v>105</v>
      </c>
      <c r="L164" s="6" t="s">
        <v>1352</v>
      </c>
      <c r="M164" s="6" t="s">
        <v>374</v>
      </c>
      <c r="P164" s="6" t="s">
        <v>215</v>
      </c>
      <c r="Q164" s="6">
        <v>404</v>
      </c>
      <c r="R164" s="6" t="s">
        <v>207</v>
      </c>
      <c r="S164" s="7">
        <v>404</v>
      </c>
      <c r="T164" s="7" t="s">
        <v>51</v>
      </c>
      <c r="U164" s="6" t="s">
        <v>59</v>
      </c>
      <c r="V164" s="6" t="s">
        <v>158</v>
      </c>
      <c r="W164" s="6" t="s">
        <v>160</v>
      </c>
      <c r="X164" s="6" t="s">
        <v>1352</v>
      </c>
      <c r="Y164" s="8" t="s">
        <v>3062</v>
      </c>
      <c r="Z164" s="8" t="s">
        <v>3063</v>
      </c>
      <c r="AA164" s="8" t="s">
        <v>3064</v>
      </c>
      <c r="AB164" s="6">
        <v>41648</v>
      </c>
      <c r="AC164" s="6">
        <v>41648</v>
      </c>
      <c r="AE164" s="6" t="s">
        <v>177</v>
      </c>
      <c r="AF164" s="6" t="s">
        <v>178</v>
      </c>
      <c r="AG164" s="6" t="s">
        <v>180</v>
      </c>
      <c r="AH164" s="6" t="s">
        <v>244</v>
      </c>
      <c r="AI164" s="6" t="s">
        <v>244</v>
      </c>
      <c r="AJ164" s="6" t="s">
        <v>244</v>
      </c>
      <c r="AK164" s="6" t="s">
        <v>185</v>
      </c>
      <c r="AL164" s="6" t="s">
        <v>178</v>
      </c>
      <c r="AM164" s="6" t="s">
        <v>189</v>
      </c>
      <c r="AN164" s="6" t="s">
        <v>181</v>
      </c>
      <c r="AO164" s="6" t="s">
        <v>185</v>
      </c>
      <c r="AP164" s="6" t="s">
        <v>394</v>
      </c>
      <c r="AQ164" s="6" t="s">
        <v>288</v>
      </c>
      <c r="AR164" s="6" t="s">
        <v>189</v>
      </c>
      <c r="AS164" s="6" t="s">
        <v>244</v>
      </c>
      <c r="AT164" s="6" t="s">
        <v>244</v>
      </c>
      <c r="AU164" s="6" t="s">
        <v>288</v>
      </c>
      <c r="AV164" s="6" t="s">
        <v>371</v>
      </c>
      <c r="AW164" s="6" t="s">
        <v>244</v>
      </c>
      <c r="AX164" s="6" t="s">
        <v>247</v>
      </c>
    </row>
    <row r="165" spans="1:50">
      <c r="A165" s="6">
        <v>656</v>
      </c>
      <c r="B165" s="5" t="s">
        <v>3065</v>
      </c>
      <c r="C165" s="6">
        <v>9</v>
      </c>
      <c r="D165" s="6" t="s">
        <v>98</v>
      </c>
      <c r="E165" s="6">
        <v>366</v>
      </c>
      <c r="F165" s="6" t="s">
        <v>1353</v>
      </c>
      <c r="G165" s="6">
        <v>42020.672291666669</v>
      </c>
      <c r="H165" s="6">
        <v>42046.981770833336</v>
      </c>
      <c r="I165" s="6">
        <v>42020.672291666669</v>
      </c>
      <c r="J165" s="6" t="s">
        <v>103</v>
      </c>
      <c r="K165" s="6" t="s">
        <v>105</v>
      </c>
      <c r="L165" s="6" t="s">
        <v>1354</v>
      </c>
      <c r="N165" s="6" t="s">
        <v>1355</v>
      </c>
      <c r="O165" s="6" t="s">
        <v>1356</v>
      </c>
      <c r="P165" s="6" t="s">
        <v>215</v>
      </c>
      <c r="Q165" s="6">
        <v>404</v>
      </c>
      <c r="R165" s="6" t="s">
        <v>207</v>
      </c>
      <c r="S165" s="7">
        <v>404</v>
      </c>
      <c r="T165" s="7" t="s">
        <v>51</v>
      </c>
      <c r="U165" s="6" t="s">
        <v>59</v>
      </c>
      <c r="V165" s="6" t="s">
        <v>158</v>
      </c>
      <c r="W165" s="6" t="s">
        <v>160</v>
      </c>
      <c r="X165" s="6" t="s">
        <v>1354</v>
      </c>
      <c r="Y165" s="8" t="s">
        <v>3066</v>
      </c>
      <c r="AA165" s="8" t="s">
        <v>3067</v>
      </c>
      <c r="AB165" s="6">
        <v>41792</v>
      </c>
      <c r="AE165" s="6" t="s">
        <v>177</v>
      </c>
      <c r="AF165" s="6" t="s">
        <v>178</v>
      </c>
      <c r="AG165" s="6" t="s">
        <v>180</v>
      </c>
      <c r="AH165" s="6" t="s">
        <v>392</v>
      </c>
      <c r="AI165" s="6" t="s">
        <v>385</v>
      </c>
      <c r="AJ165" s="6" t="s">
        <v>371</v>
      </c>
      <c r="AK165" s="6" t="s">
        <v>185</v>
      </c>
      <c r="AL165" s="6" t="s">
        <v>178</v>
      </c>
      <c r="AM165" s="6" t="s">
        <v>185</v>
      </c>
      <c r="AN165" s="6" t="s">
        <v>621</v>
      </c>
      <c r="AO165" s="6" t="s">
        <v>189</v>
      </c>
      <c r="AP165" s="6" t="s">
        <v>394</v>
      </c>
      <c r="AQ165" s="6" t="s">
        <v>288</v>
      </c>
      <c r="AR165" s="6" t="s">
        <v>185</v>
      </c>
      <c r="AS165" s="6" t="s">
        <v>459</v>
      </c>
      <c r="AT165" s="6" t="s">
        <v>459</v>
      </c>
      <c r="AU165" s="6" t="s">
        <v>185</v>
      </c>
      <c r="AV165" s="6" t="s">
        <v>244</v>
      </c>
      <c r="AW165" s="6" t="s">
        <v>244</v>
      </c>
      <c r="AX165" s="6" t="s">
        <v>247</v>
      </c>
    </row>
    <row r="166" spans="1:50">
      <c r="A166" s="6">
        <v>4</v>
      </c>
      <c r="B166" s="5" t="s">
        <v>3068</v>
      </c>
      <c r="C166" s="6">
        <v>3</v>
      </c>
      <c r="D166" s="6" t="s">
        <v>98</v>
      </c>
      <c r="E166" s="6">
        <v>1</v>
      </c>
      <c r="F166" s="6" t="s">
        <v>1357</v>
      </c>
      <c r="G166" s="6">
        <v>41988.923067129632</v>
      </c>
      <c r="H166" s="6">
        <v>41988.923067129632</v>
      </c>
      <c r="I166" s="6">
        <v>41988.923067129632</v>
      </c>
      <c r="J166" s="6" t="s">
        <v>103</v>
      </c>
      <c r="K166" s="6" t="s">
        <v>105</v>
      </c>
      <c r="L166" s="6" t="s">
        <v>1358</v>
      </c>
      <c r="M166" s="6" t="s">
        <v>532</v>
      </c>
      <c r="N166" s="6" t="s">
        <v>1359</v>
      </c>
      <c r="P166" s="6" t="s">
        <v>215</v>
      </c>
      <c r="Q166" s="6">
        <v>404</v>
      </c>
      <c r="R166" s="6" t="s">
        <v>207</v>
      </c>
      <c r="S166" s="7">
        <v>404</v>
      </c>
      <c r="T166" s="7" t="s">
        <v>51</v>
      </c>
      <c r="U166" s="6" t="s">
        <v>59</v>
      </c>
      <c r="V166" s="6" t="s">
        <v>158</v>
      </c>
      <c r="W166" s="6" t="s">
        <v>160</v>
      </c>
      <c r="X166" s="6" t="s">
        <v>1358</v>
      </c>
      <c r="Y166" s="8" t="s">
        <v>3069</v>
      </c>
      <c r="Z166" s="8" t="s">
        <v>3070</v>
      </c>
      <c r="AA166" s="8" t="s">
        <v>3071</v>
      </c>
      <c r="AB166" s="6">
        <v>40599</v>
      </c>
      <c r="AC166" s="6">
        <v>40599</v>
      </c>
      <c r="AE166" s="6" t="s">
        <v>478</v>
      </c>
      <c r="AF166" s="6" t="s">
        <v>178</v>
      </c>
      <c r="AG166" s="6" t="s">
        <v>180</v>
      </c>
      <c r="AH166" s="6" t="s">
        <v>392</v>
      </c>
      <c r="AI166" s="6" t="s">
        <v>182</v>
      </c>
      <c r="AJ166" s="6" t="s">
        <v>393</v>
      </c>
      <c r="AK166" s="6" t="s">
        <v>189</v>
      </c>
      <c r="AL166" s="6" t="s">
        <v>178</v>
      </c>
      <c r="AM166" s="6" t="s">
        <v>244</v>
      </c>
      <c r="AN166" s="6" t="s">
        <v>247</v>
      </c>
      <c r="AO166" s="6" t="s">
        <v>244</v>
      </c>
      <c r="AP166" s="6" t="s">
        <v>648</v>
      </c>
      <c r="AQ166" s="6" t="s">
        <v>189</v>
      </c>
      <c r="AR166" s="6" t="s">
        <v>288</v>
      </c>
      <c r="AS166" s="6" t="s">
        <v>244</v>
      </c>
      <c r="AT166" s="6" t="s">
        <v>244</v>
      </c>
      <c r="AU166" s="6" t="s">
        <v>288</v>
      </c>
      <c r="AV166" s="6" t="s">
        <v>339</v>
      </c>
      <c r="AW166" s="6" t="s">
        <v>244</v>
      </c>
      <c r="AX166" s="6" t="s">
        <v>247</v>
      </c>
    </row>
    <row r="167" spans="1:50">
      <c r="A167" s="6">
        <v>5</v>
      </c>
      <c r="B167" s="5" t="s">
        <v>3072</v>
      </c>
      <c r="C167" s="6">
        <v>3</v>
      </c>
      <c r="D167" s="6" t="s">
        <v>98</v>
      </c>
      <c r="E167" s="6">
        <v>1</v>
      </c>
      <c r="F167" s="6" t="s">
        <v>1360</v>
      </c>
      <c r="G167" s="6">
        <v>41988.923078703701</v>
      </c>
      <c r="H167" s="6">
        <v>41988.923078703701</v>
      </c>
      <c r="I167" s="6">
        <v>41988.923078703701</v>
      </c>
      <c r="J167" s="6" t="s">
        <v>103</v>
      </c>
      <c r="K167" s="6" t="s">
        <v>105</v>
      </c>
      <c r="L167" s="6" t="s">
        <v>1361</v>
      </c>
      <c r="M167" s="6" t="s">
        <v>374</v>
      </c>
      <c r="P167" s="6" t="s">
        <v>215</v>
      </c>
      <c r="Q167" s="6">
        <v>404</v>
      </c>
      <c r="R167" s="6" t="s">
        <v>207</v>
      </c>
      <c r="S167" s="7">
        <v>404</v>
      </c>
      <c r="T167" s="7" t="s">
        <v>51</v>
      </c>
      <c r="U167" s="6" t="s">
        <v>59</v>
      </c>
      <c r="V167" s="6" t="s">
        <v>158</v>
      </c>
      <c r="W167" s="6" t="s">
        <v>160</v>
      </c>
      <c r="X167" s="6" t="s">
        <v>1361</v>
      </c>
      <c r="Y167" s="8" t="s">
        <v>3073</v>
      </c>
      <c r="Z167" s="8" t="s">
        <v>3074</v>
      </c>
      <c r="AA167" s="8" t="s">
        <v>3075</v>
      </c>
      <c r="AB167" s="6">
        <v>40878</v>
      </c>
      <c r="AC167" s="6">
        <v>40878</v>
      </c>
      <c r="AE167" s="6" t="s">
        <v>177</v>
      </c>
      <c r="AF167" s="6" t="s">
        <v>178</v>
      </c>
      <c r="AG167" s="6" t="s">
        <v>180</v>
      </c>
      <c r="AH167" s="6" t="s">
        <v>392</v>
      </c>
      <c r="AI167" s="6" t="s">
        <v>182</v>
      </c>
      <c r="AJ167" s="6" t="s">
        <v>393</v>
      </c>
      <c r="AK167" s="6" t="s">
        <v>185</v>
      </c>
      <c r="AL167" s="6" t="s">
        <v>178</v>
      </c>
      <c r="AM167" s="6" t="s">
        <v>244</v>
      </c>
      <c r="AN167" s="6" t="s">
        <v>181</v>
      </c>
      <c r="AO167" s="6" t="s">
        <v>244</v>
      </c>
      <c r="AP167" s="6" t="s">
        <v>394</v>
      </c>
      <c r="AQ167" s="6" t="s">
        <v>288</v>
      </c>
      <c r="AR167" s="6" t="s">
        <v>288</v>
      </c>
      <c r="AS167" s="6" t="s">
        <v>244</v>
      </c>
      <c r="AT167" s="6" t="s">
        <v>244</v>
      </c>
      <c r="AU167" s="6" t="s">
        <v>288</v>
      </c>
      <c r="AV167" s="6" t="s">
        <v>371</v>
      </c>
      <c r="AW167" s="6" t="s">
        <v>341</v>
      </c>
      <c r="AX167" s="6" t="s">
        <v>247</v>
      </c>
    </row>
    <row r="168" spans="1:50">
      <c r="A168" s="6">
        <v>239</v>
      </c>
      <c r="B168" s="5" t="s">
        <v>3076</v>
      </c>
      <c r="C168" s="6">
        <v>4</v>
      </c>
      <c r="D168" s="6" t="s">
        <v>98</v>
      </c>
      <c r="E168" s="6">
        <v>265</v>
      </c>
      <c r="F168" s="6" t="s">
        <v>1386</v>
      </c>
      <c r="G168" s="6">
        <v>41988.923541666663</v>
      </c>
      <c r="H168" s="6">
        <v>42046.981678240743</v>
      </c>
      <c r="I168" s="6">
        <v>41988.923541666663</v>
      </c>
      <c r="J168" s="6" t="s">
        <v>103</v>
      </c>
      <c r="K168" s="6" t="s">
        <v>105</v>
      </c>
      <c r="L168" s="6" t="s">
        <v>1387</v>
      </c>
      <c r="M168" s="6" t="s">
        <v>374</v>
      </c>
      <c r="N168" s="6" t="s">
        <v>1388</v>
      </c>
      <c r="O168" s="6" t="s">
        <v>1389</v>
      </c>
      <c r="P168" s="6" t="s">
        <v>215</v>
      </c>
      <c r="Q168" s="6">
        <v>442</v>
      </c>
      <c r="R168" s="6" t="s">
        <v>225</v>
      </c>
      <c r="S168" s="7">
        <v>442</v>
      </c>
      <c r="T168" s="7" t="s">
        <v>123</v>
      </c>
      <c r="U168" s="6" t="s">
        <v>108</v>
      </c>
      <c r="V168" s="6" t="s">
        <v>158</v>
      </c>
      <c r="W168" s="6" t="s">
        <v>160</v>
      </c>
      <c r="X168" s="6" t="s">
        <v>1387</v>
      </c>
      <c r="Y168" s="8" t="s">
        <v>3077</v>
      </c>
      <c r="Z168" s="8" t="s">
        <v>3078</v>
      </c>
      <c r="AA168" s="8" t="s">
        <v>3079</v>
      </c>
      <c r="AC168" s="6">
        <v>41275</v>
      </c>
      <c r="AD168" s="6">
        <v>41640</v>
      </c>
      <c r="AE168" s="6" t="s">
        <v>177</v>
      </c>
      <c r="AF168" s="6" t="s">
        <v>178</v>
      </c>
      <c r="AG168" s="6" t="s">
        <v>180</v>
      </c>
      <c r="AH168" s="6" t="s">
        <v>187</v>
      </c>
      <c r="AI168" s="6" t="s">
        <v>182</v>
      </c>
      <c r="AJ168" s="6" t="s">
        <v>371</v>
      </c>
      <c r="AK168" s="6" t="s">
        <v>185</v>
      </c>
      <c r="AL168" s="6" t="s">
        <v>479</v>
      </c>
      <c r="AM168" s="6" t="s">
        <v>244</v>
      </c>
      <c r="AN168" s="6" t="s">
        <v>378</v>
      </c>
      <c r="AO168" s="6" t="s">
        <v>189</v>
      </c>
      <c r="AP168" s="6" t="s">
        <v>394</v>
      </c>
      <c r="AQ168" s="6" t="s">
        <v>288</v>
      </c>
      <c r="AR168" s="6" t="s">
        <v>189</v>
      </c>
      <c r="AS168" s="6" t="s">
        <v>244</v>
      </c>
      <c r="AT168" s="6" t="s">
        <v>244</v>
      </c>
      <c r="AU168" s="6" t="s">
        <v>288</v>
      </c>
      <c r="AV168" s="6" t="s">
        <v>195</v>
      </c>
      <c r="AW168" s="6" t="s">
        <v>244</v>
      </c>
      <c r="AX168" s="6" t="s">
        <v>198</v>
      </c>
    </row>
    <row r="169" spans="1:50">
      <c r="A169" s="6">
        <v>242</v>
      </c>
      <c r="B169" s="5" t="s">
        <v>3080</v>
      </c>
      <c r="C169" s="6">
        <v>3</v>
      </c>
      <c r="D169" s="6" t="s">
        <v>98</v>
      </c>
      <c r="E169" s="6">
        <v>1</v>
      </c>
      <c r="F169" s="6" t="s">
        <v>1402</v>
      </c>
      <c r="G169" s="6">
        <v>41988.92355324074</v>
      </c>
      <c r="H169" s="6">
        <v>41988.92355324074</v>
      </c>
      <c r="I169" s="6">
        <v>41988.92355324074</v>
      </c>
      <c r="J169" s="6" t="s">
        <v>103</v>
      </c>
      <c r="K169" s="6" t="s">
        <v>105</v>
      </c>
      <c r="L169" s="6" t="s">
        <v>1403</v>
      </c>
      <c r="M169" s="6" t="s">
        <v>532</v>
      </c>
      <c r="P169" s="6" t="s">
        <v>966</v>
      </c>
      <c r="Q169" s="6">
        <v>528</v>
      </c>
      <c r="R169" s="6" t="s">
        <v>251</v>
      </c>
      <c r="S169" s="7">
        <v>528</v>
      </c>
      <c r="T169" s="7" t="s">
        <v>123</v>
      </c>
      <c r="U169" s="6" t="s">
        <v>108</v>
      </c>
      <c r="V169" s="6" t="s">
        <v>158</v>
      </c>
      <c r="W169" s="6" t="s">
        <v>160</v>
      </c>
      <c r="X169" s="6" t="s">
        <v>1403</v>
      </c>
      <c r="Y169" s="8" t="s">
        <v>3081</v>
      </c>
      <c r="Z169" s="8" t="s">
        <v>3082</v>
      </c>
      <c r="AA169" s="8" t="s">
        <v>3083</v>
      </c>
      <c r="AB169" s="6">
        <v>40325</v>
      </c>
      <c r="AE169" s="6" t="s">
        <v>177</v>
      </c>
      <c r="AF169" s="6" t="s">
        <v>178</v>
      </c>
      <c r="AG169" s="6" t="s">
        <v>180</v>
      </c>
      <c r="AH169" s="6" t="s">
        <v>244</v>
      </c>
      <c r="AI169" s="6" t="s">
        <v>244</v>
      </c>
      <c r="AJ169" s="6" t="s">
        <v>244</v>
      </c>
      <c r="AK169" s="6" t="s">
        <v>244</v>
      </c>
      <c r="AL169" s="6" t="s">
        <v>247</v>
      </c>
      <c r="AM169" s="6" t="s">
        <v>244</v>
      </c>
      <c r="AN169" s="6" t="s">
        <v>247</v>
      </c>
      <c r="AO169" s="6" t="s">
        <v>244</v>
      </c>
      <c r="AP169" s="6" t="s">
        <v>247</v>
      </c>
      <c r="AQ169" s="6" t="s">
        <v>288</v>
      </c>
      <c r="AR169" s="6" t="s">
        <v>288</v>
      </c>
      <c r="AS169" s="6" t="s">
        <v>244</v>
      </c>
      <c r="AT169" s="6" t="s">
        <v>244</v>
      </c>
      <c r="AU169" s="6" t="s">
        <v>288</v>
      </c>
      <c r="AV169" s="6" t="s">
        <v>195</v>
      </c>
      <c r="AW169" s="6" t="s">
        <v>244</v>
      </c>
      <c r="AX169" s="6" t="s">
        <v>247</v>
      </c>
    </row>
    <row r="170" spans="1:50">
      <c r="A170" s="6">
        <v>243</v>
      </c>
      <c r="B170" s="5" t="s">
        <v>3084</v>
      </c>
      <c r="C170" s="6">
        <v>3</v>
      </c>
      <c r="D170" s="6" t="s">
        <v>98</v>
      </c>
      <c r="E170" s="6">
        <v>1</v>
      </c>
      <c r="F170" s="6" t="s">
        <v>1404</v>
      </c>
      <c r="G170" s="6">
        <v>41988.92355324074</v>
      </c>
      <c r="H170" s="6">
        <v>41988.92355324074</v>
      </c>
      <c r="I170" s="6">
        <v>41988.92355324074</v>
      </c>
      <c r="J170" s="6" t="s">
        <v>103</v>
      </c>
      <c r="K170" s="6" t="s">
        <v>105</v>
      </c>
      <c r="L170" s="6" t="s">
        <v>1405</v>
      </c>
      <c r="M170" s="6" t="s">
        <v>532</v>
      </c>
      <c r="N170" s="6" t="s">
        <v>1406</v>
      </c>
      <c r="P170" s="6" t="s">
        <v>215</v>
      </c>
      <c r="Q170" s="6">
        <v>528</v>
      </c>
      <c r="R170" s="6" t="s">
        <v>251</v>
      </c>
      <c r="S170" s="7">
        <v>528</v>
      </c>
      <c r="T170" s="7" t="s">
        <v>123</v>
      </c>
      <c r="U170" s="6" t="s">
        <v>108</v>
      </c>
      <c r="V170" s="6" t="s">
        <v>158</v>
      </c>
      <c r="W170" s="6" t="s">
        <v>160</v>
      </c>
      <c r="X170" s="6" t="s">
        <v>1405</v>
      </c>
      <c r="Y170" s="8" t="s">
        <v>3085</v>
      </c>
      <c r="Z170" s="8" t="s">
        <v>3086</v>
      </c>
      <c r="AA170" s="8" t="s">
        <v>3087</v>
      </c>
      <c r="AB170" s="6">
        <v>40422</v>
      </c>
      <c r="AC170" s="6">
        <v>40544</v>
      </c>
      <c r="AE170" s="6" t="s">
        <v>177</v>
      </c>
      <c r="AF170" s="6" t="s">
        <v>178</v>
      </c>
      <c r="AG170" s="6" t="s">
        <v>180</v>
      </c>
      <c r="AH170" s="6" t="s">
        <v>187</v>
      </c>
      <c r="AI170" s="6" t="s">
        <v>182</v>
      </c>
      <c r="AJ170" s="6" t="s">
        <v>393</v>
      </c>
      <c r="AK170" s="6" t="s">
        <v>244</v>
      </c>
      <c r="AL170" s="6" t="s">
        <v>247</v>
      </c>
      <c r="AM170" s="6" t="s">
        <v>244</v>
      </c>
      <c r="AN170" s="6" t="s">
        <v>187</v>
      </c>
      <c r="AO170" s="6" t="s">
        <v>244</v>
      </c>
      <c r="AP170" s="6" t="s">
        <v>247</v>
      </c>
      <c r="AQ170" s="6" t="s">
        <v>288</v>
      </c>
      <c r="AR170" s="6" t="s">
        <v>288</v>
      </c>
      <c r="AS170" s="6" t="s">
        <v>244</v>
      </c>
      <c r="AT170" s="6" t="s">
        <v>244</v>
      </c>
      <c r="AU170" s="6" t="s">
        <v>288</v>
      </c>
      <c r="AV170" s="6" t="s">
        <v>371</v>
      </c>
      <c r="AW170" s="6" t="s">
        <v>244</v>
      </c>
      <c r="AX170" s="6" t="s">
        <v>247</v>
      </c>
    </row>
    <row r="171" spans="1:50">
      <c r="A171" s="6">
        <v>244</v>
      </c>
      <c r="B171" s="5" t="s">
        <v>3088</v>
      </c>
      <c r="C171" s="6">
        <v>10</v>
      </c>
      <c r="D171" s="6" t="s">
        <v>98</v>
      </c>
      <c r="E171" s="6">
        <v>266</v>
      </c>
      <c r="F171" s="6" t="s">
        <v>1410</v>
      </c>
      <c r="G171" s="6">
        <v>41988.92355324074</v>
      </c>
      <c r="H171" s="6">
        <v>42060.501921296294</v>
      </c>
      <c r="I171" s="6">
        <v>41988.92355324074</v>
      </c>
      <c r="J171" s="6" t="s">
        <v>103</v>
      </c>
      <c r="K171" s="6" t="s">
        <v>105</v>
      </c>
      <c r="L171" s="6" t="s">
        <v>1411</v>
      </c>
      <c r="M171" s="6" t="s">
        <v>532</v>
      </c>
      <c r="N171" s="6" t="s">
        <v>1412</v>
      </c>
      <c r="P171" s="6" t="s">
        <v>1411</v>
      </c>
      <c r="Q171" s="6">
        <v>528</v>
      </c>
      <c r="R171" s="6" t="s">
        <v>251</v>
      </c>
      <c r="S171" s="7">
        <v>528</v>
      </c>
      <c r="T171" s="7" t="s">
        <v>123</v>
      </c>
      <c r="U171" s="6" t="s">
        <v>108</v>
      </c>
      <c r="V171" s="6" t="s">
        <v>158</v>
      </c>
      <c r="W171" s="6" t="s">
        <v>160</v>
      </c>
      <c r="X171" s="6" t="s">
        <v>1411</v>
      </c>
      <c r="Y171" s="8" t="s">
        <v>3089</v>
      </c>
      <c r="Z171" s="8" t="s">
        <v>3090</v>
      </c>
      <c r="AA171" s="8" t="s">
        <v>3091</v>
      </c>
      <c r="AB171" s="6">
        <v>40603</v>
      </c>
      <c r="AD171" s="6">
        <v>41609</v>
      </c>
      <c r="AE171" s="6" t="s">
        <v>478</v>
      </c>
      <c r="AF171" s="6" t="s">
        <v>178</v>
      </c>
      <c r="AG171" s="6" t="s">
        <v>180</v>
      </c>
      <c r="AH171" s="6" t="s">
        <v>392</v>
      </c>
      <c r="AI171" s="6" t="s">
        <v>182</v>
      </c>
      <c r="AJ171" s="6" t="s">
        <v>183</v>
      </c>
      <c r="AK171" s="6" t="s">
        <v>185</v>
      </c>
      <c r="AL171" s="6" t="s">
        <v>479</v>
      </c>
      <c r="AM171" s="6" t="s">
        <v>189</v>
      </c>
      <c r="AN171" s="6" t="s">
        <v>378</v>
      </c>
      <c r="AO171" s="6" t="s">
        <v>185</v>
      </c>
      <c r="AP171" s="6" t="s">
        <v>247</v>
      </c>
      <c r="AQ171" s="6" t="s">
        <v>288</v>
      </c>
      <c r="AR171" s="6" t="s">
        <v>185</v>
      </c>
      <c r="AS171" s="6" t="s">
        <v>379</v>
      </c>
      <c r="AT171" s="6" t="s">
        <v>395</v>
      </c>
      <c r="AU171" s="6" t="s">
        <v>189</v>
      </c>
      <c r="AV171" s="6" t="s">
        <v>339</v>
      </c>
      <c r="AW171" s="6" t="s">
        <v>442</v>
      </c>
      <c r="AX171" s="6" t="s">
        <v>247</v>
      </c>
    </row>
    <row r="172" spans="1:50">
      <c r="A172" s="6">
        <v>247</v>
      </c>
      <c r="B172" s="5" t="s">
        <v>3092</v>
      </c>
      <c r="C172" s="6">
        <v>3</v>
      </c>
      <c r="D172" s="6" t="s">
        <v>98</v>
      </c>
      <c r="E172" s="6">
        <v>1</v>
      </c>
      <c r="F172" s="6" t="s">
        <v>1419</v>
      </c>
      <c r="G172" s="6">
        <v>41988.923564814817</v>
      </c>
      <c r="H172" s="6">
        <v>41988.923564814817</v>
      </c>
      <c r="I172" s="6">
        <v>41988.923564814817</v>
      </c>
      <c r="J172" s="6" t="s">
        <v>103</v>
      </c>
      <c r="K172" s="6" t="s">
        <v>105</v>
      </c>
      <c r="L172" s="6" t="s">
        <v>1420</v>
      </c>
      <c r="M172" s="6" t="s">
        <v>374</v>
      </c>
      <c r="N172" s="6" t="s">
        <v>1421</v>
      </c>
      <c r="P172" s="6" t="s">
        <v>215</v>
      </c>
      <c r="Q172" s="6">
        <v>528</v>
      </c>
      <c r="R172" s="6" t="s">
        <v>251</v>
      </c>
      <c r="S172" s="7">
        <v>528</v>
      </c>
      <c r="T172" s="7" t="s">
        <v>123</v>
      </c>
      <c r="U172" s="6" t="s">
        <v>108</v>
      </c>
      <c r="V172" s="6" t="s">
        <v>158</v>
      </c>
      <c r="W172" s="6" t="s">
        <v>160</v>
      </c>
      <c r="X172" s="6" t="s">
        <v>1420</v>
      </c>
      <c r="Y172" s="8" t="s">
        <v>3093</v>
      </c>
      <c r="Z172" s="8" t="s">
        <v>3094</v>
      </c>
      <c r="AA172" s="8" t="s">
        <v>3095</v>
      </c>
      <c r="AB172" s="6">
        <v>38482</v>
      </c>
      <c r="AE172" s="6" t="s">
        <v>177</v>
      </c>
      <c r="AF172" s="6" t="s">
        <v>178</v>
      </c>
      <c r="AG172" s="6" t="s">
        <v>180</v>
      </c>
      <c r="AH172" s="6" t="s">
        <v>187</v>
      </c>
      <c r="AI172" s="6" t="s">
        <v>182</v>
      </c>
      <c r="AJ172" s="6" t="s">
        <v>183</v>
      </c>
      <c r="AK172" s="6" t="s">
        <v>244</v>
      </c>
      <c r="AL172" s="6" t="s">
        <v>247</v>
      </c>
      <c r="AM172" s="6" t="s">
        <v>244</v>
      </c>
      <c r="AN172" s="6" t="s">
        <v>181</v>
      </c>
      <c r="AO172" s="6" t="s">
        <v>244</v>
      </c>
      <c r="AP172" s="6" t="s">
        <v>247</v>
      </c>
      <c r="AQ172" s="6" t="s">
        <v>288</v>
      </c>
      <c r="AR172" s="6" t="s">
        <v>288</v>
      </c>
      <c r="AS172" s="6" t="s">
        <v>193</v>
      </c>
      <c r="AT172" s="6" t="s">
        <v>244</v>
      </c>
      <c r="AU172" s="6" t="s">
        <v>288</v>
      </c>
      <c r="AV172" s="6" t="s">
        <v>195</v>
      </c>
      <c r="AW172" s="6" t="s">
        <v>244</v>
      </c>
      <c r="AX172" s="6" t="s">
        <v>247</v>
      </c>
    </row>
    <row r="173" spans="1:50">
      <c r="A173" s="6">
        <v>597</v>
      </c>
      <c r="B173" s="5" t="s">
        <v>3096</v>
      </c>
      <c r="C173" s="6">
        <v>3</v>
      </c>
      <c r="D173" s="6" t="s">
        <v>98</v>
      </c>
      <c r="E173" s="6">
        <v>1</v>
      </c>
      <c r="F173" s="6" t="s">
        <v>1426</v>
      </c>
      <c r="G173" s="6">
        <v>41988.924201388887</v>
      </c>
      <c r="H173" s="6">
        <v>41988.924201388887</v>
      </c>
      <c r="I173" s="6">
        <v>41988.924201388887</v>
      </c>
      <c r="J173" s="6" t="s">
        <v>103</v>
      </c>
      <c r="K173" s="6" t="s">
        <v>105</v>
      </c>
      <c r="L173" s="6" t="s">
        <v>1427</v>
      </c>
      <c r="M173" s="6" t="s">
        <v>352</v>
      </c>
      <c r="N173" s="6" t="s">
        <v>1428</v>
      </c>
      <c r="P173" s="6" t="s">
        <v>215</v>
      </c>
      <c r="Q173" s="6">
        <v>554</v>
      </c>
      <c r="R173" s="6" t="s">
        <v>260</v>
      </c>
      <c r="S173" s="7">
        <v>554</v>
      </c>
      <c r="T173" s="7" t="s">
        <v>55</v>
      </c>
      <c r="U173" s="6" t="s">
        <v>55</v>
      </c>
      <c r="V173" s="6" t="s">
        <v>158</v>
      </c>
      <c r="W173" s="6" t="s">
        <v>384</v>
      </c>
      <c r="X173" s="6" t="s">
        <v>1427</v>
      </c>
      <c r="Y173" s="8" t="s">
        <v>3097</v>
      </c>
      <c r="Z173" s="8" t="s">
        <v>3098</v>
      </c>
      <c r="AA173" s="8" t="s">
        <v>3099</v>
      </c>
      <c r="AE173" s="6" t="s">
        <v>244</v>
      </c>
      <c r="AF173" s="6" t="s">
        <v>178</v>
      </c>
      <c r="AG173" s="6" t="s">
        <v>180</v>
      </c>
      <c r="AH173" s="6" t="s">
        <v>244</v>
      </c>
      <c r="AI173" s="6" t="s">
        <v>385</v>
      </c>
      <c r="AJ173" s="6" t="s">
        <v>183</v>
      </c>
      <c r="AK173" s="6" t="s">
        <v>244</v>
      </c>
      <c r="AL173" s="6" t="s">
        <v>371</v>
      </c>
      <c r="AM173" s="6" t="s">
        <v>244</v>
      </c>
      <c r="AN173" s="6" t="s">
        <v>247</v>
      </c>
      <c r="AO173" s="6" t="s">
        <v>244</v>
      </c>
      <c r="AP173" s="6" t="s">
        <v>247</v>
      </c>
      <c r="AQ173" s="6" t="s">
        <v>288</v>
      </c>
      <c r="AR173" s="6" t="s">
        <v>288</v>
      </c>
      <c r="AS173" s="6" t="s">
        <v>244</v>
      </c>
      <c r="AT173" s="6" t="s">
        <v>244</v>
      </c>
      <c r="AU173" s="6" t="s">
        <v>288</v>
      </c>
      <c r="AV173" s="6" t="s">
        <v>339</v>
      </c>
      <c r="AW173" s="6" t="s">
        <v>244</v>
      </c>
      <c r="AX173" s="6" t="s">
        <v>247</v>
      </c>
    </row>
    <row r="174" spans="1:50">
      <c r="A174" s="6">
        <v>600</v>
      </c>
      <c r="B174" s="5" t="s">
        <v>3100</v>
      </c>
      <c r="C174" s="6">
        <v>4</v>
      </c>
      <c r="D174" s="6" t="s">
        <v>98</v>
      </c>
      <c r="E174" s="6">
        <v>348</v>
      </c>
      <c r="F174" s="6" t="s">
        <v>1434</v>
      </c>
      <c r="G174" s="6">
        <v>41988.924212962964</v>
      </c>
      <c r="H174" s="6">
        <v>42046.981747685182</v>
      </c>
      <c r="I174" s="6">
        <v>41988.924212962964</v>
      </c>
      <c r="J174" s="6" t="s">
        <v>103</v>
      </c>
      <c r="K174" s="6" t="s">
        <v>105</v>
      </c>
      <c r="L174" s="6" t="s">
        <v>1435</v>
      </c>
      <c r="M174" s="6" t="s">
        <v>374</v>
      </c>
      <c r="N174" s="6" t="s">
        <v>1436</v>
      </c>
      <c r="P174" s="6" t="s">
        <v>501</v>
      </c>
      <c r="Q174" s="6">
        <v>554</v>
      </c>
      <c r="R174" s="6" t="s">
        <v>260</v>
      </c>
      <c r="S174" s="7">
        <v>554</v>
      </c>
      <c r="T174" s="7" t="s">
        <v>55</v>
      </c>
      <c r="U174" s="6" t="s">
        <v>55</v>
      </c>
      <c r="V174" s="6" t="s">
        <v>158</v>
      </c>
      <c r="W174" s="6" t="s">
        <v>160</v>
      </c>
      <c r="X174" s="6" t="s">
        <v>1435</v>
      </c>
      <c r="Y174" s="8" t="s">
        <v>3101</v>
      </c>
      <c r="Z174" s="8" t="s">
        <v>3102</v>
      </c>
      <c r="AA174" s="8" t="s">
        <v>3103</v>
      </c>
      <c r="AB174" s="6">
        <v>41702</v>
      </c>
      <c r="AE174" s="6" t="s">
        <v>177</v>
      </c>
      <c r="AF174" s="6" t="s">
        <v>178</v>
      </c>
      <c r="AG174" s="6" t="s">
        <v>180</v>
      </c>
      <c r="AH174" s="6" t="s">
        <v>244</v>
      </c>
      <c r="AI174" s="6" t="s">
        <v>182</v>
      </c>
      <c r="AJ174" s="6" t="s">
        <v>393</v>
      </c>
      <c r="AK174" s="6" t="s">
        <v>189</v>
      </c>
      <c r="AL174" s="6" t="s">
        <v>178</v>
      </c>
      <c r="AM174" s="6" t="s">
        <v>189</v>
      </c>
      <c r="AN174" s="6" t="s">
        <v>247</v>
      </c>
      <c r="AO174" s="6" t="s">
        <v>244</v>
      </c>
      <c r="AP174" s="6" t="s">
        <v>247</v>
      </c>
      <c r="AQ174" s="6" t="s">
        <v>288</v>
      </c>
      <c r="AR174" s="6" t="s">
        <v>189</v>
      </c>
      <c r="AS174" s="6" t="s">
        <v>244</v>
      </c>
      <c r="AT174" s="6" t="s">
        <v>244</v>
      </c>
      <c r="AU174" s="6" t="s">
        <v>288</v>
      </c>
      <c r="AV174" s="6" t="s">
        <v>339</v>
      </c>
      <c r="AW174" s="6" t="s">
        <v>244</v>
      </c>
      <c r="AX174" s="6" t="s">
        <v>247</v>
      </c>
    </row>
    <row r="175" spans="1:50">
      <c r="A175" s="6">
        <v>601</v>
      </c>
      <c r="B175" s="5" t="s">
        <v>3104</v>
      </c>
      <c r="C175" s="6">
        <v>6</v>
      </c>
      <c r="D175" s="6" t="s">
        <v>98</v>
      </c>
      <c r="E175" s="6">
        <v>349</v>
      </c>
      <c r="F175" s="6" t="s">
        <v>1437</v>
      </c>
      <c r="G175" s="6">
        <v>41988.924212962964</v>
      </c>
      <c r="H175" s="6">
        <v>42046.981747685182</v>
      </c>
      <c r="I175" s="6">
        <v>41988.924212962964</v>
      </c>
      <c r="J175" s="6" t="s">
        <v>103</v>
      </c>
      <c r="K175" s="6" t="s">
        <v>105</v>
      </c>
      <c r="L175" s="6" t="s">
        <v>1438</v>
      </c>
      <c r="M175" s="6" t="s">
        <v>352</v>
      </c>
      <c r="N175" s="6" t="s">
        <v>1439</v>
      </c>
      <c r="O175" s="6" t="s">
        <v>1440</v>
      </c>
      <c r="P175" s="6" t="s">
        <v>215</v>
      </c>
      <c r="Q175" s="6">
        <v>554</v>
      </c>
      <c r="R175" s="6" t="s">
        <v>260</v>
      </c>
      <c r="S175" s="7">
        <v>554</v>
      </c>
      <c r="T175" s="7" t="s">
        <v>55</v>
      </c>
      <c r="U175" s="6" t="s">
        <v>55</v>
      </c>
      <c r="V175" s="6" t="s">
        <v>158</v>
      </c>
      <c r="W175" s="6" t="s">
        <v>384</v>
      </c>
      <c r="X175" s="6" t="s">
        <v>1438</v>
      </c>
      <c r="Y175" s="8" t="s">
        <v>3105</v>
      </c>
      <c r="Z175" s="8" t="s">
        <v>3106</v>
      </c>
      <c r="AA175" s="8" t="s">
        <v>3107</v>
      </c>
      <c r="AB175" s="6">
        <v>1992</v>
      </c>
      <c r="AC175" s="6">
        <v>41791</v>
      </c>
      <c r="AD175" s="6">
        <v>41791</v>
      </c>
      <c r="AE175" s="6" t="s">
        <v>177</v>
      </c>
      <c r="AF175" s="6" t="s">
        <v>178</v>
      </c>
      <c r="AG175" s="6" t="s">
        <v>180</v>
      </c>
      <c r="AH175" s="6" t="s">
        <v>244</v>
      </c>
      <c r="AI175" s="6" t="s">
        <v>244</v>
      </c>
      <c r="AJ175" s="6" t="s">
        <v>244</v>
      </c>
      <c r="AK175" s="6" t="s">
        <v>185</v>
      </c>
      <c r="AL175" s="6" t="s">
        <v>479</v>
      </c>
      <c r="AM175" s="6" t="s">
        <v>189</v>
      </c>
      <c r="AN175" s="6" t="s">
        <v>187</v>
      </c>
      <c r="AO175" s="6" t="s">
        <v>244</v>
      </c>
      <c r="AP175" s="6" t="s">
        <v>394</v>
      </c>
      <c r="AQ175" s="6" t="s">
        <v>189</v>
      </c>
      <c r="AR175" s="6" t="s">
        <v>189</v>
      </c>
      <c r="AS175" s="6" t="s">
        <v>244</v>
      </c>
      <c r="AT175" s="6" t="s">
        <v>244</v>
      </c>
      <c r="AU175" s="6" t="s">
        <v>189</v>
      </c>
      <c r="AV175" s="6" t="s">
        <v>244</v>
      </c>
      <c r="AW175" s="6" t="s">
        <v>244</v>
      </c>
      <c r="AX175" s="6" t="s">
        <v>247</v>
      </c>
    </row>
    <row r="176" spans="1:50">
      <c r="A176" s="6">
        <v>6</v>
      </c>
      <c r="B176" s="5" t="s">
        <v>2874</v>
      </c>
      <c r="C176" s="6">
        <v>4</v>
      </c>
      <c r="D176" s="6" t="s">
        <v>98</v>
      </c>
      <c r="E176" s="6">
        <v>225</v>
      </c>
      <c r="F176" s="6" t="s">
        <v>1441</v>
      </c>
      <c r="G176" s="6">
        <v>41988.923078703701</v>
      </c>
      <c r="H176" s="6">
        <v>42046.981631944444</v>
      </c>
      <c r="I176" s="6">
        <v>41988.923078703701</v>
      </c>
      <c r="J176" s="6" t="s">
        <v>103</v>
      </c>
      <c r="K176" s="6" t="s">
        <v>105</v>
      </c>
      <c r="L176" s="6" t="s">
        <v>1442</v>
      </c>
      <c r="M176" s="6" t="s">
        <v>532</v>
      </c>
      <c r="N176" s="6" t="s">
        <v>1443</v>
      </c>
      <c r="P176" s="6" t="s">
        <v>215</v>
      </c>
      <c r="Q176" s="6">
        <v>566</v>
      </c>
      <c r="R176" s="6" t="s">
        <v>263</v>
      </c>
      <c r="S176" s="7">
        <v>566</v>
      </c>
      <c r="T176" s="7" t="s">
        <v>51</v>
      </c>
      <c r="U176" s="6" t="s">
        <v>56</v>
      </c>
      <c r="V176" s="6" t="s">
        <v>158</v>
      </c>
      <c r="W176" s="6" t="s">
        <v>160</v>
      </c>
      <c r="X176" s="6" t="s">
        <v>1442</v>
      </c>
      <c r="Y176" s="8" t="s">
        <v>3108</v>
      </c>
      <c r="Z176" s="8" t="s">
        <v>3109</v>
      </c>
      <c r="AA176" s="8" t="s">
        <v>3110</v>
      </c>
      <c r="AB176" s="6">
        <v>40567</v>
      </c>
      <c r="AC176" s="6">
        <v>40567</v>
      </c>
      <c r="AE176" s="6" t="s">
        <v>244</v>
      </c>
      <c r="AF176" s="6" t="s">
        <v>178</v>
      </c>
      <c r="AG176" s="6" t="s">
        <v>180</v>
      </c>
      <c r="AH176" s="6" t="s">
        <v>244</v>
      </c>
      <c r="AI176" s="6" t="s">
        <v>182</v>
      </c>
      <c r="AJ176" s="6" t="s">
        <v>244</v>
      </c>
      <c r="AK176" s="6" t="s">
        <v>244</v>
      </c>
      <c r="AL176" s="6" t="s">
        <v>178</v>
      </c>
      <c r="AM176" s="6" t="s">
        <v>244</v>
      </c>
      <c r="AN176" s="6" t="s">
        <v>181</v>
      </c>
      <c r="AO176" s="6" t="s">
        <v>244</v>
      </c>
      <c r="AP176" s="6" t="s">
        <v>386</v>
      </c>
      <c r="AQ176" s="6" t="s">
        <v>288</v>
      </c>
      <c r="AR176" s="6" t="s">
        <v>288</v>
      </c>
      <c r="AS176" s="6" t="s">
        <v>244</v>
      </c>
      <c r="AT176" s="6" t="s">
        <v>244</v>
      </c>
      <c r="AU176" s="6" t="s">
        <v>288</v>
      </c>
      <c r="AV176" s="6" t="s">
        <v>339</v>
      </c>
      <c r="AW176" s="6" t="s">
        <v>244</v>
      </c>
      <c r="AX176" s="6" t="s">
        <v>247</v>
      </c>
    </row>
    <row r="177" spans="1:50">
      <c r="A177" s="6">
        <v>248</v>
      </c>
      <c r="B177" s="5" t="s">
        <v>3111</v>
      </c>
      <c r="C177" s="6">
        <v>3</v>
      </c>
      <c r="D177" s="6" t="s">
        <v>98</v>
      </c>
      <c r="E177" s="6">
        <v>1</v>
      </c>
      <c r="F177" s="6" t="s">
        <v>1444</v>
      </c>
      <c r="G177" s="6">
        <v>41988.923564814817</v>
      </c>
      <c r="H177" s="6">
        <v>41988.923564814817</v>
      </c>
      <c r="I177" s="6">
        <v>41988.923564814817</v>
      </c>
      <c r="J177" s="6" t="s">
        <v>103</v>
      </c>
      <c r="K177" s="6" t="s">
        <v>105</v>
      </c>
      <c r="L177" s="6" t="s">
        <v>1445</v>
      </c>
      <c r="M177" s="6" t="s">
        <v>374</v>
      </c>
      <c r="O177" s="6" t="s">
        <v>1446</v>
      </c>
      <c r="P177" s="6" t="s">
        <v>215</v>
      </c>
      <c r="Q177" s="6">
        <v>578</v>
      </c>
      <c r="R177" s="6" t="s">
        <v>266</v>
      </c>
      <c r="S177" s="7">
        <v>578</v>
      </c>
      <c r="T177" s="7" t="s">
        <v>123</v>
      </c>
      <c r="U177" s="6" t="s">
        <v>125</v>
      </c>
      <c r="V177" s="6" t="s">
        <v>158</v>
      </c>
      <c r="W177" s="6" t="s">
        <v>160</v>
      </c>
      <c r="X177" s="6" t="s">
        <v>1445</v>
      </c>
      <c r="Y177" s="8" t="s">
        <v>3112</v>
      </c>
      <c r="Z177" s="8" t="s">
        <v>3113</v>
      </c>
      <c r="AA177" s="8" t="s">
        <v>3114</v>
      </c>
      <c r="AD177" s="6">
        <v>39777</v>
      </c>
      <c r="AE177" s="6" t="s">
        <v>244</v>
      </c>
      <c r="AF177" s="6" t="s">
        <v>178</v>
      </c>
      <c r="AG177" s="6" t="s">
        <v>180</v>
      </c>
      <c r="AH177" s="6" t="s">
        <v>377</v>
      </c>
      <c r="AI177" s="6" t="s">
        <v>182</v>
      </c>
      <c r="AJ177" s="6" t="s">
        <v>393</v>
      </c>
      <c r="AK177" s="6" t="s">
        <v>244</v>
      </c>
      <c r="AL177" s="6" t="s">
        <v>247</v>
      </c>
      <c r="AM177" s="6" t="s">
        <v>244</v>
      </c>
      <c r="AN177" s="6" t="s">
        <v>378</v>
      </c>
      <c r="AO177" s="6" t="s">
        <v>244</v>
      </c>
      <c r="AP177" s="6" t="s">
        <v>394</v>
      </c>
      <c r="AQ177" s="6" t="s">
        <v>288</v>
      </c>
      <c r="AR177" s="6" t="s">
        <v>288</v>
      </c>
      <c r="AS177" s="6" t="s">
        <v>244</v>
      </c>
      <c r="AT177" s="6" t="s">
        <v>244</v>
      </c>
      <c r="AU177" s="6" t="s">
        <v>288</v>
      </c>
      <c r="AV177" s="6" t="s">
        <v>195</v>
      </c>
      <c r="AW177" s="6" t="s">
        <v>442</v>
      </c>
      <c r="AX177" s="6" t="s">
        <v>247</v>
      </c>
    </row>
    <row r="178" spans="1:50">
      <c r="A178" s="6">
        <v>249</v>
      </c>
      <c r="B178" s="5" t="s">
        <v>3115</v>
      </c>
      <c r="C178" s="6">
        <v>3</v>
      </c>
      <c r="D178" s="6" t="s">
        <v>98</v>
      </c>
      <c r="E178" s="6">
        <v>1</v>
      </c>
      <c r="F178" s="6" t="s">
        <v>1447</v>
      </c>
      <c r="G178" s="6">
        <v>41988.923564814817</v>
      </c>
      <c r="H178" s="6">
        <v>41988.923564814817</v>
      </c>
      <c r="I178" s="6">
        <v>41988.923564814817</v>
      </c>
      <c r="J178" s="6" t="s">
        <v>103</v>
      </c>
      <c r="K178" s="6" t="s">
        <v>105</v>
      </c>
      <c r="L178" s="6" t="s">
        <v>1448</v>
      </c>
      <c r="M178" s="6" t="s">
        <v>469</v>
      </c>
      <c r="N178" s="6" t="s">
        <v>1449</v>
      </c>
      <c r="P178" s="6" t="s">
        <v>215</v>
      </c>
      <c r="Q178" s="6">
        <v>578</v>
      </c>
      <c r="R178" s="6" t="s">
        <v>266</v>
      </c>
      <c r="S178" s="7">
        <v>578</v>
      </c>
      <c r="T178" s="7" t="s">
        <v>123</v>
      </c>
      <c r="U178" s="6" t="s">
        <v>125</v>
      </c>
      <c r="V178" s="6" t="s">
        <v>158</v>
      </c>
      <c r="W178" s="6" t="s">
        <v>376</v>
      </c>
      <c r="X178" s="6" t="s">
        <v>1448</v>
      </c>
      <c r="Y178" s="8" t="s">
        <v>3116</v>
      </c>
      <c r="Z178" s="8" t="s">
        <v>3117</v>
      </c>
      <c r="AA178" s="8" t="s">
        <v>3118</v>
      </c>
      <c r="AE178" s="6" t="s">
        <v>244</v>
      </c>
      <c r="AF178" s="6" t="s">
        <v>178</v>
      </c>
      <c r="AG178" s="6" t="s">
        <v>180</v>
      </c>
      <c r="AH178" s="6" t="s">
        <v>244</v>
      </c>
      <c r="AI178" s="6" t="s">
        <v>244</v>
      </c>
      <c r="AJ178" s="6" t="s">
        <v>244</v>
      </c>
      <c r="AK178" s="6" t="s">
        <v>244</v>
      </c>
      <c r="AL178" s="6" t="s">
        <v>247</v>
      </c>
      <c r="AM178" s="6" t="s">
        <v>244</v>
      </c>
      <c r="AN178" s="6" t="s">
        <v>247</v>
      </c>
      <c r="AO178" s="6" t="s">
        <v>244</v>
      </c>
      <c r="AP178" s="6" t="s">
        <v>247</v>
      </c>
      <c r="AQ178" s="6" t="s">
        <v>288</v>
      </c>
      <c r="AR178" s="6" t="s">
        <v>288</v>
      </c>
      <c r="AS178" s="6" t="s">
        <v>244</v>
      </c>
      <c r="AT178" s="6" t="s">
        <v>244</v>
      </c>
      <c r="AU178" s="6" t="s">
        <v>288</v>
      </c>
      <c r="AV178" s="6" t="s">
        <v>195</v>
      </c>
      <c r="AW178" s="6" t="s">
        <v>244</v>
      </c>
      <c r="AX178" s="6" t="s">
        <v>247</v>
      </c>
    </row>
    <row r="179" spans="1:50">
      <c r="A179" s="6">
        <v>252</v>
      </c>
      <c r="B179" s="5" t="s">
        <v>3119</v>
      </c>
      <c r="C179" s="6">
        <v>5</v>
      </c>
      <c r="D179" s="6" t="s">
        <v>98</v>
      </c>
      <c r="E179" s="6">
        <v>1</v>
      </c>
      <c r="F179" s="6" t="s">
        <v>1470</v>
      </c>
      <c r="G179" s="6">
        <v>41988.923576388886</v>
      </c>
      <c r="H179" s="6">
        <v>41988.923576388886</v>
      </c>
      <c r="I179" s="6">
        <v>41988.923576388886</v>
      </c>
      <c r="J179" s="6" t="s">
        <v>103</v>
      </c>
      <c r="K179" s="6" t="s">
        <v>105</v>
      </c>
      <c r="L179" s="6" t="s">
        <v>1471</v>
      </c>
      <c r="M179" s="6" t="s">
        <v>637</v>
      </c>
      <c r="O179" s="6" t="s">
        <v>1472</v>
      </c>
      <c r="P179" s="6" t="s">
        <v>215</v>
      </c>
      <c r="Q179" s="6">
        <v>578</v>
      </c>
      <c r="R179" s="6" t="s">
        <v>266</v>
      </c>
      <c r="S179" s="7">
        <v>578</v>
      </c>
      <c r="T179" s="7" t="s">
        <v>123</v>
      </c>
      <c r="U179" s="6" t="s">
        <v>125</v>
      </c>
      <c r="V179" s="6" t="s">
        <v>158</v>
      </c>
      <c r="W179" s="6" t="s">
        <v>160</v>
      </c>
      <c r="X179" s="6" t="s">
        <v>1471</v>
      </c>
      <c r="Y179" s="8" t="s">
        <v>3120</v>
      </c>
      <c r="Z179" s="8" t="s">
        <v>3121</v>
      </c>
      <c r="AA179" s="8" t="s">
        <v>3122</v>
      </c>
      <c r="AB179" s="6">
        <v>40465</v>
      </c>
      <c r="AC179" s="6">
        <v>40465</v>
      </c>
      <c r="AE179" s="6" t="s">
        <v>177</v>
      </c>
      <c r="AF179" s="6" t="s">
        <v>178</v>
      </c>
      <c r="AG179" s="6" t="s">
        <v>180</v>
      </c>
      <c r="AH179" s="6" t="s">
        <v>181</v>
      </c>
      <c r="AI179" s="6" t="s">
        <v>182</v>
      </c>
      <c r="AJ179" s="6" t="s">
        <v>393</v>
      </c>
      <c r="AK179" s="6" t="s">
        <v>189</v>
      </c>
      <c r="AL179" s="6" t="s">
        <v>178</v>
      </c>
      <c r="AM179" s="6" t="s">
        <v>185</v>
      </c>
      <c r="AN179" s="6" t="s">
        <v>181</v>
      </c>
      <c r="AO179" s="6" t="s">
        <v>185</v>
      </c>
      <c r="AP179" s="6" t="s">
        <v>394</v>
      </c>
      <c r="AQ179" s="6" t="s">
        <v>288</v>
      </c>
      <c r="AR179" s="6" t="s">
        <v>288</v>
      </c>
      <c r="AS179" s="6" t="s">
        <v>244</v>
      </c>
      <c r="AT179" s="6" t="s">
        <v>244</v>
      </c>
      <c r="AU179" s="6" t="s">
        <v>288</v>
      </c>
      <c r="AV179" s="6" t="s">
        <v>630</v>
      </c>
      <c r="AW179" s="6" t="s">
        <v>341</v>
      </c>
      <c r="AX179" s="6" t="s">
        <v>428</v>
      </c>
    </row>
    <row r="180" spans="1:50">
      <c r="A180" s="6">
        <v>710</v>
      </c>
      <c r="B180" s="5" t="s">
        <v>3123</v>
      </c>
      <c r="C180" s="6">
        <v>5</v>
      </c>
      <c r="D180" s="6" t="s">
        <v>98</v>
      </c>
      <c r="E180" s="6">
        <v>447</v>
      </c>
      <c r="F180" s="6" t="s">
        <v>1473</v>
      </c>
      <c r="G180" s="6">
        <v>42086.923437500001</v>
      </c>
      <c r="H180" s="6">
        <v>42086.923437500001</v>
      </c>
      <c r="I180" s="6">
        <v>42086.923437500001</v>
      </c>
      <c r="J180" s="6" t="s">
        <v>103</v>
      </c>
      <c r="K180" s="6" t="s">
        <v>105</v>
      </c>
      <c r="L180" s="6" t="s">
        <v>1474</v>
      </c>
      <c r="Q180" s="6">
        <v>586</v>
      </c>
      <c r="R180" s="6" t="s">
        <v>271</v>
      </c>
      <c r="S180" s="7">
        <v>586</v>
      </c>
      <c r="T180" s="7" t="s">
        <v>118</v>
      </c>
      <c r="U180" s="6" t="s">
        <v>73</v>
      </c>
      <c r="V180" s="6" t="s">
        <v>158</v>
      </c>
      <c r="W180" s="6" t="s">
        <v>160</v>
      </c>
      <c r="X180" s="6" t="s">
        <v>1474</v>
      </c>
      <c r="Y180" s="8" t="s">
        <v>3124</v>
      </c>
      <c r="Z180" s="8" t="s">
        <v>3124</v>
      </c>
      <c r="AA180" s="8" t="s">
        <v>3125</v>
      </c>
      <c r="AB180" s="6">
        <v>2015</v>
      </c>
      <c r="AE180" s="6" t="s">
        <v>177</v>
      </c>
      <c r="AF180" s="6" t="s">
        <v>178</v>
      </c>
      <c r="AG180" s="6" t="s">
        <v>180</v>
      </c>
      <c r="AH180" s="6" t="s">
        <v>392</v>
      </c>
      <c r="AI180" s="6" t="s">
        <v>182</v>
      </c>
      <c r="AJ180" s="6" t="s">
        <v>183</v>
      </c>
      <c r="AL180" s="6" t="s">
        <v>178</v>
      </c>
      <c r="AM180" s="6" t="s">
        <v>189</v>
      </c>
      <c r="AN180" s="6" t="s">
        <v>181</v>
      </c>
      <c r="AO180" s="6" t="s">
        <v>189</v>
      </c>
      <c r="AP180" s="6" t="s">
        <v>394</v>
      </c>
      <c r="AQ180" s="6" t="s">
        <v>189</v>
      </c>
      <c r="AR180" s="6" t="s">
        <v>189</v>
      </c>
      <c r="AS180" s="6" t="s">
        <v>785</v>
      </c>
      <c r="AT180" s="6" t="s">
        <v>244</v>
      </c>
      <c r="AU180" s="6" t="s">
        <v>185</v>
      </c>
      <c r="AV180" s="6" t="s">
        <v>520</v>
      </c>
      <c r="AW180" s="6" t="s">
        <v>442</v>
      </c>
      <c r="AX180" s="6" t="s">
        <v>198</v>
      </c>
    </row>
    <row r="181" spans="1:50">
      <c r="A181" s="6">
        <v>734</v>
      </c>
      <c r="B181" s="5" t="s">
        <v>3126</v>
      </c>
      <c r="C181" s="6">
        <v>6</v>
      </c>
      <c r="D181" s="6" t="s">
        <v>98</v>
      </c>
      <c r="E181" s="6">
        <v>591</v>
      </c>
      <c r="F181" s="6" t="s">
        <v>1485</v>
      </c>
      <c r="G181" s="6">
        <v>42108.570092592592</v>
      </c>
      <c r="H181" s="6">
        <v>42108.570092592592</v>
      </c>
      <c r="I181" s="6">
        <v>42108.570092592592</v>
      </c>
      <c r="J181" s="6" t="s">
        <v>103</v>
      </c>
      <c r="K181" s="6" t="s">
        <v>105</v>
      </c>
      <c r="L181" s="6" t="s">
        <v>1486</v>
      </c>
      <c r="Q181" s="6">
        <v>604</v>
      </c>
      <c r="R181" s="6" t="s">
        <v>275</v>
      </c>
      <c r="S181" s="7">
        <v>604</v>
      </c>
      <c r="T181" s="7" t="s">
        <v>2517</v>
      </c>
      <c r="U181" s="6" t="s">
        <v>53</v>
      </c>
      <c r="V181" s="6" t="s">
        <v>158</v>
      </c>
      <c r="W181" s="6" t="s">
        <v>384</v>
      </c>
      <c r="X181" s="6" t="s">
        <v>1486</v>
      </c>
      <c r="Y181" s="8" t="s">
        <v>3127</v>
      </c>
      <c r="Z181" s="8" t="s">
        <v>3128</v>
      </c>
      <c r="AA181" s="8" t="s">
        <v>3129</v>
      </c>
      <c r="AB181" s="6">
        <v>41913</v>
      </c>
      <c r="AE181" s="6" t="s">
        <v>177</v>
      </c>
      <c r="AF181" s="6" t="s">
        <v>178</v>
      </c>
      <c r="AG181" s="6" t="s">
        <v>180</v>
      </c>
      <c r="AH181" s="6" t="s">
        <v>181</v>
      </c>
      <c r="AI181" s="6" t="s">
        <v>182</v>
      </c>
      <c r="AJ181" s="6" t="s">
        <v>183</v>
      </c>
      <c r="AK181" s="6" t="s">
        <v>244</v>
      </c>
      <c r="AL181" s="6" t="s">
        <v>479</v>
      </c>
      <c r="AM181" s="6" t="s">
        <v>189</v>
      </c>
      <c r="AN181" s="6" t="s">
        <v>378</v>
      </c>
      <c r="AO181" s="6" t="s">
        <v>185</v>
      </c>
      <c r="AP181" s="6" t="s">
        <v>394</v>
      </c>
      <c r="AQ181" s="6" t="s">
        <v>185</v>
      </c>
      <c r="AR181" s="6" t="s">
        <v>185</v>
      </c>
      <c r="AS181" s="6" t="s">
        <v>395</v>
      </c>
      <c r="AT181" s="6" t="s">
        <v>395</v>
      </c>
      <c r="AU181" s="6" t="s">
        <v>189</v>
      </c>
      <c r="AV181" s="6" t="s">
        <v>520</v>
      </c>
      <c r="AW181" s="6" t="s">
        <v>341</v>
      </c>
      <c r="AX181" s="6" t="s">
        <v>521</v>
      </c>
    </row>
    <row r="182" spans="1:50">
      <c r="A182" s="6">
        <v>257</v>
      </c>
      <c r="B182" s="5" t="s">
        <v>3130</v>
      </c>
      <c r="C182" s="6">
        <v>3</v>
      </c>
      <c r="D182" s="6" t="s">
        <v>98</v>
      </c>
      <c r="E182" s="6">
        <v>1</v>
      </c>
      <c r="F182" s="6" t="s">
        <v>1491</v>
      </c>
      <c r="G182" s="6">
        <v>41988.92359953704</v>
      </c>
      <c r="H182" s="6">
        <v>41988.92359953704</v>
      </c>
      <c r="I182" s="6">
        <v>41988.92359953704</v>
      </c>
      <c r="J182" s="6" t="s">
        <v>103</v>
      </c>
      <c r="K182" s="6" t="s">
        <v>105</v>
      </c>
      <c r="L182" s="6" t="s">
        <v>1492</v>
      </c>
      <c r="M182" s="6" t="s">
        <v>637</v>
      </c>
      <c r="N182" s="6" t="s">
        <v>1493</v>
      </c>
      <c r="P182" s="6" t="s">
        <v>215</v>
      </c>
      <c r="Q182" s="6">
        <v>616</v>
      </c>
      <c r="R182" s="6" t="s">
        <v>278</v>
      </c>
      <c r="S182" s="7">
        <v>616</v>
      </c>
      <c r="T182" s="7" t="s">
        <v>123</v>
      </c>
      <c r="U182" s="6" t="s">
        <v>102</v>
      </c>
      <c r="V182" s="6" t="s">
        <v>158</v>
      </c>
      <c r="W182" s="6" t="s">
        <v>160</v>
      </c>
      <c r="X182" s="6" t="s">
        <v>1492</v>
      </c>
      <c r="Y182" s="8" t="s">
        <v>3131</v>
      </c>
      <c r="AE182" s="6" t="s">
        <v>244</v>
      </c>
      <c r="AF182" s="6" t="s">
        <v>178</v>
      </c>
      <c r="AG182" s="6" t="s">
        <v>180</v>
      </c>
      <c r="AH182" s="6" t="s">
        <v>244</v>
      </c>
      <c r="AI182" s="6" t="s">
        <v>182</v>
      </c>
      <c r="AJ182" s="6" t="s">
        <v>393</v>
      </c>
      <c r="AK182" s="6" t="s">
        <v>244</v>
      </c>
      <c r="AL182" s="6" t="s">
        <v>247</v>
      </c>
      <c r="AM182" s="6" t="s">
        <v>244</v>
      </c>
      <c r="AN182" s="6" t="s">
        <v>378</v>
      </c>
      <c r="AO182" s="6" t="s">
        <v>244</v>
      </c>
      <c r="AP182" s="6" t="s">
        <v>247</v>
      </c>
      <c r="AQ182" s="6" t="s">
        <v>288</v>
      </c>
      <c r="AR182" s="6" t="s">
        <v>288</v>
      </c>
      <c r="AS182" s="6" t="s">
        <v>244</v>
      </c>
      <c r="AT182" s="6" t="s">
        <v>244</v>
      </c>
      <c r="AU182" s="6" t="s">
        <v>288</v>
      </c>
      <c r="AV182" s="6" t="s">
        <v>371</v>
      </c>
      <c r="AW182" s="6" t="s">
        <v>244</v>
      </c>
      <c r="AX182" s="6" t="s">
        <v>247</v>
      </c>
    </row>
    <row r="183" spans="1:50">
      <c r="A183" s="6">
        <v>258</v>
      </c>
      <c r="B183" s="5" t="s">
        <v>3132</v>
      </c>
      <c r="C183" s="6">
        <v>3</v>
      </c>
      <c r="D183" s="6" t="s">
        <v>98</v>
      </c>
      <c r="E183" s="6">
        <v>1</v>
      </c>
      <c r="F183" s="6" t="s">
        <v>1494</v>
      </c>
      <c r="G183" s="6">
        <v>41988.92359953704</v>
      </c>
      <c r="H183" s="6">
        <v>41988.92359953704</v>
      </c>
      <c r="I183" s="6">
        <v>41988.92359953704</v>
      </c>
      <c r="J183" s="6" t="s">
        <v>103</v>
      </c>
      <c r="K183" s="6" t="s">
        <v>105</v>
      </c>
      <c r="L183" s="6" t="s">
        <v>1495</v>
      </c>
      <c r="M183" s="6" t="s">
        <v>637</v>
      </c>
      <c r="N183" s="6" t="s">
        <v>1496</v>
      </c>
      <c r="O183" s="6" t="s">
        <v>1497</v>
      </c>
      <c r="P183" s="6" t="s">
        <v>215</v>
      </c>
      <c r="Q183" s="6">
        <v>620</v>
      </c>
      <c r="R183" s="6" t="s">
        <v>279</v>
      </c>
      <c r="S183" s="7">
        <v>620</v>
      </c>
      <c r="T183" s="7" t="s">
        <v>123</v>
      </c>
      <c r="U183" s="6" t="s">
        <v>76</v>
      </c>
      <c r="V183" s="6" t="s">
        <v>158</v>
      </c>
      <c r="W183" s="6" t="s">
        <v>160</v>
      </c>
      <c r="X183" s="6" t="s">
        <v>1495</v>
      </c>
      <c r="Y183" s="8" t="s">
        <v>3133</v>
      </c>
      <c r="Z183" s="8" t="s">
        <v>3134</v>
      </c>
      <c r="AA183" s="8" t="s">
        <v>3135</v>
      </c>
      <c r="AB183" s="6">
        <v>41584</v>
      </c>
      <c r="AC183" s="6">
        <v>41586</v>
      </c>
      <c r="AE183" s="6" t="s">
        <v>177</v>
      </c>
      <c r="AF183" s="6" t="s">
        <v>178</v>
      </c>
      <c r="AG183" s="6" t="s">
        <v>180</v>
      </c>
      <c r="AH183" s="6" t="s">
        <v>371</v>
      </c>
      <c r="AI183" s="6" t="s">
        <v>371</v>
      </c>
      <c r="AJ183" s="6" t="s">
        <v>244</v>
      </c>
      <c r="AK183" s="6" t="s">
        <v>185</v>
      </c>
      <c r="AL183" s="6" t="s">
        <v>247</v>
      </c>
      <c r="AM183" s="6" t="s">
        <v>244</v>
      </c>
      <c r="AN183" s="6" t="s">
        <v>247</v>
      </c>
      <c r="AO183" s="6" t="s">
        <v>244</v>
      </c>
      <c r="AP183" s="6" t="s">
        <v>394</v>
      </c>
      <c r="AQ183" s="6" t="s">
        <v>288</v>
      </c>
      <c r="AR183" s="6" t="s">
        <v>288</v>
      </c>
      <c r="AS183" s="6" t="s">
        <v>244</v>
      </c>
      <c r="AT183" s="6" t="s">
        <v>244</v>
      </c>
      <c r="AU183" s="6" t="s">
        <v>288</v>
      </c>
      <c r="AV183" s="6" t="s">
        <v>371</v>
      </c>
      <c r="AW183" s="6" t="s">
        <v>244</v>
      </c>
      <c r="AX183" s="6" t="s">
        <v>247</v>
      </c>
    </row>
    <row r="184" spans="1:50">
      <c r="A184" s="6">
        <v>260</v>
      </c>
      <c r="B184" s="5" t="s">
        <v>3136</v>
      </c>
      <c r="C184" s="6">
        <v>3</v>
      </c>
      <c r="D184" s="6" t="s">
        <v>98</v>
      </c>
      <c r="E184" s="6">
        <v>1</v>
      </c>
      <c r="F184" s="6" t="s">
        <v>1500</v>
      </c>
      <c r="G184" s="6">
        <v>41988.92359953704</v>
      </c>
      <c r="H184" s="6">
        <v>41988.92359953704</v>
      </c>
      <c r="I184" s="6">
        <v>41988.92359953704</v>
      </c>
      <c r="J184" s="6" t="s">
        <v>103</v>
      </c>
      <c r="K184" s="6" t="s">
        <v>105</v>
      </c>
      <c r="L184" s="6" t="s">
        <v>1501</v>
      </c>
      <c r="M184" s="6" t="s">
        <v>374</v>
      </c>
      <c r="N184" s="6" t="s">
        <v>1502</v>
      </c>
      <c r="P184" s="6" t="s">
        <v>595</v>
      </c>
      <c r="Q184" s="6">
        <v>620</v>
      </c>
      <c r="R184" s="6" t="s">
        <v>279</v>
      </c>
      <c r="S184" s="7">
        <v>620</v>
      </c>
      <c r="T184" s="7" t="s">
        <v>123</v>
      </c>
      <c r="U184" s="6" t="s">
        <v>76</v>
      </c>
      <c r="V184" s="6" t="s">
        <v>158</v>
      </c>
      <c r="W184" s="6" t="s">
        <v>376</v>
      </c>
      <c r="X184" s="6" t="s">
        <v>1501</v>
      </c>
      <c r="Y184" s="8" t="s">
        <v>3137</v>
      </c>
      <c r="Z184" s="6" t="s">
        <v>1503</v>
      </c>
      <c r="AB184" s="6">
        <v>41764</v>
      </c>
      <c r="AC184" s="6">
        <v>41764</v>
      </c>
      <c r="AE184" s="6" t="s">
        <v>177</v>
      </c>
      <c r="AF184" s="6" t="s">
        <v>178</v>
      </c>
      <c r="AG184" s="6" t="s">
        <v>180</v>
      </c>
      <c r="AH184" s="6" t="s">
        <v>187</v>
      </c>
      <c r="AI184" s="6" t="s">
        <v>182</v>
      </c>
      <c r="AJ184" s="6" t="s">
        <v>371</v>
      </c>
      <c r="AK184" s="6" t="s">
        <v>185</v>
      </c>
      <c r="AL184" s="6" t="s">
        <v>178</v>
      </c>
      <c r="AM184" s="6" t="s">
        <v>185</v>
      </c>
      <c r="AN184" s="6" t="s">
        <v>378</v>
      </c>
      <c r="AO184" s="6" t="s">
        <v>185</v>
      </c>
      <c r="AP184" s="6" t="s">
        <v>394</v>
      </c>
      <c r="AQ184" s="6" t="s">
        <v>288</v>
      </c>
      <c r="AR184" s="6" t="s">
        <v>288</v>
      </c>
      <c r="AS184" s="6" t="s">
        <v>379</v>
      </c>
      <c r="AT184" s="6" t="s">
        <v>395</v>
      </c>
      <c r="AU184" s="6" t="s">
        <v>244</v>
      </c>
      <c r="AV184" s="6" t="s">
        <v>520</v>
      </c>
      <c r="AW184" s="6" t="s">
        <v>244</v>
      </c>
      <c r="AX184" s="6" t="s">
        <v>247</v>
      </c>
    </row>
    <row r="185" spans="1:50">
      <c r="A185" s="6">
        <v>262</v>
      </c>
      <c r="B185" s="5" t="s">
        <v>3138</v>
      </c>
      <c r="C185" s="6">
        <v>3</v>
      </c>
      <c r="D185" s="6" t="s">
        <v>98</v>
      </c>
      <c r="E185" s="6">
        <v>1</v>
      </c>
      <c r="F185" s="6" t="s">
        <v>1504</v>
      </c>
      <c r="G185" s="6">
        <v>41988.92359953704</v>
      </c>
      <c r="H185" s="6">
        <v>41988.92359953704</v>
      </c>
      <c r="I185" s="6">
        <v>41988.92359953704</v>
      </c>
      <c r="J185" s="6" t="s">
        <v>103</v>
      </c>
      <c r="K185" s="6" t="s">
        <v>105</v>
      </c>
      <c r="L185" s="6" t="s">
        <v>1505</v>
      </c>
      <c r="M185" s="6" t="s">
        <v>374</v>
      </c>
      <c r="N185" s="6" t="s">
        <v>1506</v>
      </c>
      <c r="O185" s="6" t="s">
        <v>1507</v>
      </c>
      <c r="P185" s="6" t="s">
        <v>215</v>
      </c>
      <c r="Q185" s="6">
        <v>620</v>
      </c>
      <c r="R185" s="6" t="s">
        <v>279</v>
      </c>
      <c r="S185" s="7">
        <v>620</v>
      </c>
      <c r="T185" s="7" t="s">
        <v>123</v>
      </c>
      <c r="U185" s="6" t="s">
        <v>76</v>
      </c>
      <c r="V185" s="6" t="s">
        <v>158</v>
      </c>
      <c r="W185" s="6" t="s">
        <v>160</v>
      </c>
      <c r="X185" s="6" t="s">
        <v>1505</v>
      </c>
      <c r="Y185" s="8" t="s">
        <v>3139</v>
      </c>
      <c r="Z185" s="8" t="s">
        <v>3140</v>
      </c>
      <c r="AA185" s="8" t="s">
        <v>3141</v>
      </c>
      <c r="AB185" s="6">
        <v>40549</v>
      </c>
      <c r="AC185" s="6">
        <v>40550</v>
      </c>
      <c r="AD185" s="6">
        <v>41571</v>
      </c>
      <c r="AE185" s="6" t="s">
        <v>177</v>
      </c>
      <c r="AF185" s="6" t="s">
        <v>178</v>
      </c>
      <c r="AG185" s="6" t="s">
        <v>180</v>
      </c>
      <c r="AH185" s="6" t="s">
        <v>371</v>
      </c>
      <c r="AI185" s="6" t="s">
        <v>371</v>
      </c>
      <c r="AJ185" s="6" t="s">
        <v>244</v>
      </c>
      <c r="AK185" s="6" t="s">
        <v>185</v>
      </c>
      <c r="AL185" s="6" t="s">
        <v>247</v>
      </c>
      <c r="AM185" s="6" t="s">
        <v>244</v>
      </c>
      <c r="AN185" s="6" t="s">
        <v>247</v>
      </c>
      <c r="AO185" s="6" t="s">
        <v>185</v>
      </c>
      <c r="AP185" s="6" t="s">
        <v>394</v>
      </c>
      <c r="AQ185" s="6" t="s">
        <v>288</v>
      </c>
      <c r="AR185" s="6" t="s">
        <v>288</v>
      </c>
      <c r="AS185" s="6" t="s">
        <v>244</v>
      </c>
      <c r="AT185" s="6" t="s">
        <v>244</v>
      </c>
      <c r="AU185" s="6" t="s">
        <v>288</v>
      </c>
      <c r="AV185" s="6" t="s">
        <v>371</v>
      </c>
      <c r="AW185" s="6" t="s">
        <v>244</v>
      </c>
      <c r="AX185" s="6" t="s">
        <v>247</v>
      </c>
    </row>
    <row r="186" spans="1:50">
      <c r="A186" s="6">
        <v>261</v>
      </c>
      <c r="B186" s="5" t="s">
        <v>3142</v>
      </c>
      <c r="C186" s="6">
        <v>3</v>
      </c>
      <c r="D186" s="6" t="s">
        <v>98</v>
      </c>
      <c r="E186" s="6">
        <v>1</v>
      </c>
      <c r="F186" s="6" t="s">
        <v>1508</v>
      </c>
      <c r="G186" s="6">
        <v>41988.92359953704</v>
      </c>
      <c r="H186" s="6">
        <v>41988.92359953704</v>
      </c>
      <c r="I186" s="6">
        <v>41988.92359953704</v>
      </c>
      <c r="J186" s="6" t="s">
        <v>103</v>
      </c>
      <c r="K186" s="6" t="s">
        <v>105</v>
      </c>
      <c r="L186" s="6" t="s">
        <v>1509</v>
      </c>
      <c r="M186" s="6" t="s">
        <v>374</v>
      </c>
      <c r="N186" s="6" t="s">
        <v>1510</v>
      </c>
      <c r="P186" s="6" t="s">
        <v>215</v>
      </c>
      <c r="Q186" s="6">
        <v>620</v>
      </c>
      <c r="R186" s="6" t="s">
        <v>279</v>
      </c>
      <c r="S186" s="7">
        <v>620</v>
      </c>
      <c r="T186" s="7" t="s">
        <v>123</v>
      </c>
      <c r="U186" s="6" t="s">
        <v>76</v>
      </c>
      <c r="V186" s="6" t="s">
        <v>158</v>
      </c>
      <c r="W186" s="6" t="s">
        <v>160</v>
      </c>
      <c r="X186" s="6" t="s">
        <v>1509</v>
      </c>
      <c r="Y186" s="8" t="s">
        <v>3139</v>
      </c>
      <c r="Z186" s="8" t="s">
        <v>3143</v>
      </c>
      <c r="AA186" s="8" t="s">
        <v>3144</v>
      </c>
      <c r="AB186" s="6">
        <v>41204</v>
      </c>
      <c r="AC186" s="6">
        <v>41205</v>
      </c>
      <c r="AD186" s="6">
        <v>41571</v>
      </c>
      <c r="AE186" s="6" t="s">
        <v>177</v>
      </c>
      <c r="AF186" s="6" t="s">
        <v>178</v>
      </c>
      <c r="AG186" s="6" t="s">
        <v>180</v>
      </c>
      <c r="AH186" s="6" t="s">
        <v>371</v>
      </c>
      <c r="AI186" s="6" t="s">
        <v>371</v>
      </c>
      <c r="AJ186" s="6" t="s">
        <v>244</v>
      </c>
      <c r="AK186" s="6" t="s">
        <v>185</v>
      </c>
      <c r="AL186" s="6" t="s">
        <v>178</v>
      </c>
      <c r="AM186" s="6" t="s">
        <v>244</v>
      </c>
      <c r="AN186" s="6" t="s">
        <v>378</v>
      </c>
      <c r="AO186" s="6" t="s">
        <v>244</v>
      </c>
      <c r="AP186" s="6" t="s">
        <v>247</v>
      </c>
      <c r="AQ186" s="6" t="s">
        <v>288</v>
      </c>
      <c r="AR186" s="6" t="s">
        <v>288</v>
      </c>
      <c r="AS186" s="6" t="s">
        <v>244</v>
      </c>
      <c r="AT186" s="6" t="s">
        <v>244</v>
      </c>
      <c r="AU186" s="6" t="s">
        <v>288</v>
      </c>
      <c r="AV186" s="6" t="s">
        <v>520</v>
      </c>
      <c r="AW186" s="6" t="s">
        <v>244</v>
      </c>
      <c r="AX186" s="6" t="s">
        <v>247</v>
      </c>
    </row>
    <row r="187" spans="1:50">
      <c r="A187" s="6">
        <v>263</v>
      </c>
      <c r="B187" s="5" t="s">
        <v>3145</v>
      </c>
      <c r="C187" s="6">
        <v>4</v>
      </c>
      <c r="D187" s="6" t="s">
        <v>98</v>
      </c>
      <c r="E187" s="6">
        <v>268</v>
      </c>
      <c r="F187" s="6" t="s">
        <v>1511</v>
      </c>
      <c r="G187" s="6">
        <v>41988.92359953704</v>
      </c>
      <c r="H187" s="6">
        <v>42046.981678240743</v>
      </c>
      <c r="I187" s="6">
        <v>41988.92359953704</v>
      </c>
      <c r="J187" s="6" t="s">
        <v>103</v>
      </c>
      <c r="K187" s="6" t="s">
        <v>105</v>
      </c>
      <c r="L187" s="6" t="s">
        <v>1512</v>
      </c>
      <c r="M187" s="6" t="s">
        <v>532</v>
      </c>
      <c r="P187" s="6" t="s">
        <v>215</v>
      </c>
      <c r="Q187" s="6">
        <v>620</v>
      </c>
      <c r="R187" s="6" t="s">
        <v>279</v>
      </c>
      <c r="S187" s="7">
        <v>620</v>
      </c>
      <c r="T187" s="7" t="s">
        <v>123</v>
      </c>
      <c r="U187" s="6" t="s">
        <v>76</v>
      </c>
      <c r="V187" s="6" t="s">
        <v>158</v>
      </c>
      <c r="W187" s="6" t="s">
        <v>160</v>
      </c>
      <c r="X187" s="6" t="s">
        <v>1512</v>
      </c>
      <c r="Y187" s="8" t="s">
        <v>3146</v>
      </c>
      <c r="AA187" s="8" t="s">
        <v>3147</v>
      </c>
      <c r="AC187" s="6">
        <v>40513</v>
      </c>
      <c r="AE187" s="6" t="s">
        <v>244</v>
      </c>
      <c r="AF187" s="6" t="s">
        <v>178</v>
      </c>
      <c r="AG187" s="6" t="s">
        <v>180</v>
      </c>
      <c r="AH187" s="6" t="s">
        <v>244</v>
      </c>
      <c r="AI187" s="6" t="s">
        <v>182</v>
      </c>
      <c r="AJ187" s="6" t="s">
        <v>244</v>
      </c>
      <c r="AK187" s="6" t="s">
        <v>185</v>
      </c>
      <c r="AL187" s="6" t="s">
        <v>178</v>
      </c>
      <c r="AM187" s="6" t="s">
        <v>185</v>
      </c>
      <c r="AN187" s="6" t="s">
        <v>247</v>
      </c>
      <c r="AO187" s="6" t="s">
        <v>185</v>
      </c>
      <c r="AP187" s="6" t="s">
        <v>394</v>
      </c>
      <c r="AQ187" s="6" t="s">
        <v>288</v>
      </c>
      <c r="AR187" s="6" t="s">
        <v>185</v>
      </c>
      <c r="AS187" s="6" t="s">
        <v>244</v>
      </c>
      <c r="AT187" s="6" t="s">
        <v>244</v>
      </c>
      <c r="AU187" s="6" t="s">
        <v>288</v>
      </c>
      <c r="AV187" s="6" t="s">
        <v>195</v>
      </c>
      <c r="AW187" s="6" t="s">
        <v>244</v>
      </c>
      <c r="AX187" s="6" t="s">
        <v>247</v>
      </c>
    </row>
    <row r="188" spans="1:50">
      <c r="A188" s="6">
        <v>265</v>
      </c>
      <c r="B188" s="5" t="s">
        <v>3148</v>
      </c>
      <c r="C188" s="6">
        <v>4</v>
      </c>
      <c r="D188" s="6" t="s">
        <v>98</v>
      </c>
      <c r="E188" s="6">
        <v>270</v>
      </c>
      <c r="F188" s="6" t="s">
        <v>1516</v>
      </c>
      <c r="G188" s="6">
        <v>41988.923611111109</v>
      </c>
      <c r="H188" s="6">
        <v>42046.981678240743</v>
      </c>
      <c r="I188" s="6">
        <v>41988.923611111109</v>
      </c>
      <c r="J188" s="6" t="s">
        <v>103</v>
      </c>
      <c r="K188" s="6" t="s">
        <v>105</v>
      </c>
      <c r="L188" s="6" t="s">
        <v>1517</v>
      </c>
      <c r="M188" s="6" t="s">
        <v>374</v>
      </c>
      <c r="O188" s="6" t="s">
        <v>1518</v>
      </c>
      <c r="P188" s="6" t="s">
        <v>215</v>
      </c>
      <c r="Q188" s="6">
        <v>620</v>
      </c>
      <c r="R188" s="6" t="s">
        <v>279</v>
      </c>
      <c r="S188" s="7">
        <v>620</v>
      </c>
      <c r="T188" s="7" t="s">
        <v>123</v>
      </c>
      <c r="U188" s="6" t="s">
        <v>76</v>
      </c>
      <c r="V188" s="6" t="s">
        <v>158</v>
      </c>
      <c r="W188" s="6" t="s">
        <v>160</v>
      </c>
      <c r="X188" s="6" t="s">
        <v>1517</v>
      </c>
      <c r="Y188" s="8" t="s">
        <v>3149</v>
      </c>
      <c r="Z188" s="8" t="s">
        <v>3150</v>
      </c>
      <c r="AA188" s="8" t="s">
        <v>3151</v>
      </c>
      <c r="AB188" s="6">
        <v>40926</v>
      </c>
      <c r="AC188" s="6">
        <v>40927</v>
      </c>
      <c r="AE188" s="6" t="s">
        <v>177</v>
      </c>
      <c r="AF188" s="6" t="s">
        <v>178</v>
      </c>
      <c r="AG188" s="6" t="s">
        <v>180</v>
      </c>
      <c r="AH188" s="6" t="s">
        <v>244</v>
      </c>
      <c r="AI188" s="6" t="s">
        <v>371</v>
      </c>
      <c r="AJ188" s="6" t="s">
        <v>244</v>
      </c>
      <c r="AK188" s="6" t="s">
        <v>185</v>
      </c>
      <c r="AL188" s="6" t="s">
        <v>479</v>
      </c>
      <c r="AM188" s="6" t="s">
        <v>244</v>
      </c>
      <c r="AN188" s="6" t="s">
        <v>181</v>
      </c>
      <c r="AO188" s="6" t="s">
        <v>244</v>
      </c>
      <c r="AP188" s="6" t="s">
        <v>394</v>
      </c>
      <c r="AQ188" s="6" t="s">
        <v>288</v>
      </c>
      <c r="AR188" s="6" t="s">
        <v>288</v>
      </c>
      <c r="AS188" s="6" t="s">
        <v>244</v>
      </c>
      <c r="AT188" s="6" t="s">
        <v>244</v>
      </c>
      <c r="AU188" s="6" t="s">
        <v>288</v>
      </c>
      <c r="AV188" s="6" t="s">
        <v>371</v>
      </c>
      <c r="AW188" s="6" t="s">
        <v>244</v>
      </c>
      <c r="AX188" s="6" t="s">
        <v>247</v>
      </c>
    </row>
    <row r="189" spans="1:50">
      <c r="A189" s="6">
        <v>264</v>
      </c>
      <c r="B189" s="5" t="s">
        <v>3152</v>
      </c>
      <c r="C189" s="6">
        <v>6</v>
      </c>
      <c r="D189" s="6" t="s">
        <v>98</v>
      </c>
      <c r="E189" s="6">
        <v>269</v>
      </c>
      <c r="F189" s="6" t="s">
        <v>1522</v>
      </c>
      <c r="G189" s="6">
        <v>41988.923611111109</v>
      </c>
      <c r="H189" s="6">
        <v>42046.981678240743</v>
      </c>
      <c r="I189" s="6">
        <v>41988.923611111109</v>
      </c>
      <c r="J189" s="6" t="s">
        <v>103</v>
      </c>
      <c r="K189" s="6" t="s">
        <v>105</v>
      </c>
      <c r="L189" s="6" t="s">
        <v>1523</v>
      </c>
      <c r="M189" s="6" t="s">
        <v>374</v>
      </c>
      <c r="N189" s="6" t="s">
        <v>1524</v>
      </c>
      <c r="O189" s="6" t="s">
        <v>1525</v>
      </c>
      <c r="P189" s="6" t="s">
        <v>215</v>
      </c>
      <c r="Q189" s="6">
        <v>620</v>
      </c>
      <c r="R189" s="6" t="s">
        <v>279</v>
      </c>
      <c r="S189" s="7">
        <v>620</v>
      </c>
      <c r="T189" s="7" t="s">
        <v>123</v>
      </c>
      <c r="U189" s="6" t="s">
        <v>76</v>
      </c>
      <c r="V189" s="6" t="s">
        <v>158</v>
      </c>
      <c r="W189" s="6" t="s">
        <v>160</v>
      </c>
      <c r="X189" s="6" t="s">
        <v>1523</v>
      </c>
      <c r="Y189" s="8" t="s">
        <v>3153</v>
      </c>
      <c r="Z189" s="8" t="s">
        <v>3154</v>
      </c>
      <c r="AA189" s="8" t="s">
        <v>3155</v>
      </c>
      <c r="AB189" s="6">
        <v>2010</v>
      </c>
      <c r="AC189" s="6">
        <v>40340</v>
      </c>
      <c r="AE189" s="6" t="s">
        <v>177</v>
      </c>
      <c r="AF189" s="6" t="s">
        <v>178</v>
      </c>
      <c r="AG189" s="6" t="s">
        <v>180</v>
      </c>
      <c r="AH189" s="6" t="s">
        <v>244</v>
      </c>
      <c r="AI189" s="6" t="s">
        <v>182</v>
      </c>
      <c r="AJ189" s="6" t="s">
        <v>393</v>
      </c>
      <c r="AK189" s="6" t="s">
        <v>189</v>
      </c>
      <c r="AL189" s="6" t="s">
        <v>479</v>
      </c>
      <c r="AM189" s="6" t="s">
        <v>189</v>
      </c>
      <c r="AN189" s="6" t="s">
        <v>392</v>
      </c>
      <c r="AO189" s="6" t="s">
        <v>189</v>
      </c>
      <c r="AP189" s="6" t="s">
        <v>394</v>
      </c>
      <c r="AQ189" s="6" t="s">
        <v>288</v>
      </c>
      <c r="AR189" s="6" t="s">
        <v>189</v>
      </c>
      <c r="AS189" s="6" t="s">
        <v>379</v>
      </c>
      <c r="AT189" s="6" t="s">
        <v>379</v>
      </c>
      <c r="AU189" s="6" t="s">
        <v>189</v>
      </c>
      <c r="AV189" s="6" t="s">
        <v>244</v>
      </c>
      <c r="AW189" s="6" t="s">
        <v>341</v>
      </c>
    </row>
    <row r="190" spans="1:50">
      <c r="A190" s="6">
        <v>270</v>
      </c>
      <c r="B190" s="5" t="s">
        <v>3156</v>
      </c>
      <c r="C190" s="6">
        <v>3</v>
      </c>
      <c r="D190" s="6" t="s">
        <v>98</v>
      </c>
      <c r="E190" s="6">
        <v>1</v>
      </c>
      <c r="F190" s="6" t="s">
        <v>1535</v>
      </c>
      <c r="G190" s="6">
        <v>41988.923622685186</v>
      </c>
      <c r="H190" s="6">
        <v>41988.923622685186</v>
      </c>
      <c r="I190" s="6">
        <v>41988.923622685186</v>
      </c>
      <c r="J190" s="6" t="s">
        <v>103</v>
      </c>
      <c r="K190" s="6" t="s">
        <v>105</v>
      </c>
      <c r="L190" s="6" t="s">
        <v>1536</v>
      </c>
      <c r="M190" s="6" t="s">
        <v>374</v>
      </c>
      <c r="N190" s="6" t="s">
        <v>1537</v>
      </c>
      <c r="P190" s="6" t="s">
        <v>215</v>
      </c>
      <c r="Q190" s="6">
        <v>620</v>
      </c>
      <c r="R190" s="6" t="s">
        <v>279</v>
      </c>
      <c r="S190" s="7">
        <v>620</v>
      </c>
      <c r="T190" s="7" t="s">
        <v>123</v>
      </c>
      <c r="U190" s="6" t="s">
        <v>76</v>
      </c>
      <c r="V190" s="6" t="s">
        <v>158</v>
      </c>
      <c r="W190" s="6" t="s">
        <v>160</v>
      </c>
      <c r="X190" s="6" t="s">
        <v>1536</v>
      </c>
      <c r="Y190" s="8" t="s">
        <v>3157</v>
      </c>
      <c r="Z190" s="8" t="s">
        <v>3158</v>
      </c>
      <c r="AA190" s="8" t="s">
        <v>3159</v>
      </c>
      <c r="AE190" s="6" t="s">
        <v>244</v>
      </c>
      <c r="AF190" s="6" t="s">
        <v>178</v>
      </c>
      <c r="AG190" s="6" t="s">
        <v>180</v>
      </c>
      <c r="AH190" s="6" t="s">
        <v>371</v>
      </c>
      <c r="AI190" s="6" t="s">
        <v>182</v>
      </c>
      <c r="AJ190" s="6" t="s">
        <v>371</v>
      </c>
      <c r="AK190" s="6" t="s">
        <v>189</v>
      </c>
      <c r="AL190" s="6" t="s">
        <v>178</v>
      </c>
      <c r="AM190" s="6" t="s">
        <v>189</v>
      </c>
      <c r="AN190" s="6" t="s">
        <v>378</v>
      </c>
      <c r="AO190" s="6" t="s">
        <v>244</v>
      </c>
      <c r="AP190" s="6" t="s">
        <v>247</v>
      </c>
      <c r="AQ190" s="6" t="s">
        <v>288</v>
      </c>
      <c r="AR190" s="6" t="s">
        <v>185</v>
      </c>
      <c r="AS190" s="6" t="s">
        <v>244</v>
      </c>
      <c r="AT190" s="6" t="s">
        <v>244</v>
      </c>
      <c r="AU190" s="6" t="s">
        <v>288</v>
      </c>
      <c r="AV190" s="6" t="s">
        <v>195</v>
      </c>
      <c r="AW190" s="6" t="s">
        <v>244</v>
      </c>
      <c r="AX190" s="6" t="s">
        <v>247</v>
      </c>
    </row>
    <row r="191" spans="1:50">
      <c r="A191" s="6">
        <v>274</v>
      </c>
      <c r="B191" s="5" t="s">
        <v>3160</v>
      </c>
      <c r="C191" s="6">
        <v>4</v>
      </c>
      <c r="D191" s="6" t="s">
        <v>98</v>
      </c>
      <c r="E191" s="6">
        <v>1</v>
      </c>
      <c r="F191" s="6" t="s">
        <v>1549</v>
      </c>
      <c r="G191" s="6">
        <v>41988.923634259256</v>
      </c>
      <c r="H191" s="6">
        <v>41988.923634259256</v>
      </c>
      <c r="I191" s="6">
        <v>41988.923634259256</v>
      </c>
      <c r="J191" s="6" t="s">
        <v>103</v>
      </c>
      <c r="K191" s="6" t="s">
        <v>105</v>
      </c>
      <c r="L191" s="6" t="s">
        <v>1550</v>
      </c>
      <c r="M191" s="6" t="s">
        <v>374</v>
      </c>
      <c r="O191" s="6" t="s">
        <v>1551</v>
      </c>
      <c r="P191" s="6" t="s">
        <v>215</v>
      </c>
      <c r="Q191" s="6">
        <v>620</v>
      </c>
      <c r="R191" s="6" t="s">
        <v>279</v>
      </c>
      <c r="S191" s="7">
        <v>620</v>
      </c>
      <c r="T191" s="7" t="s">
        <v>123</v>
      </c>
      <c r="U191" s="6" t="s">
        <v>76</v>
      </c>
      <c r="V191" s="6" t="s">
        <v>158</v>
      </c>
      <c r="W191" s="6" t="s">
        <v>160</v>
      </c>
      <c r="X191" s="6" t="s">
        <v>1550</v>
      </c>
      <c r="Y191" s="8" t="s">
        <v>3161</v>
      </c>
      <c r="Z191" s="8" t="s">
        <v>3162</v>
      </c>
      <c r="AA191" s="8" t="s">
        <v>3163</v>
      </c>
      <c r="AB191" s="6">
        <v>2004</v>
      </c>
      <c r="AC191" s="6">
        <v>2005</v>
      </c>
      <c r="AD191" s="6">
        <v>40602</v>
      </c>
      <c r="AE191" s="6" t="s">
        <v>177</v>
      </c>
      <c r="AF191" s="6" t="s">
        <v>178</v>
      </c>
      <c r="AG191" s="6" t="s">
        <v>180</v>
      </c>
      <c r="AH191" s="6" t="s">
        <v>187</v>
      </c>
      <c r="AI191" s="6" t="s">
        <v>182</v>
      </c>
      <c r="AJ191" s="6" t="s">
        <v>393</v>
      </c>
      <c r="AK191" s="6" t="s">
        <v>185</v>
      </c>
      <c r="AL191" s="6" t="s">
        <v>247</v>
      </c>
      <c r="AM191" s="6" t="s">
        <v>189</v>
      </c>
      <c r="AN191" s="6" t="s">
        <v>181</v>
      </c>
      <c r="AO191" s="6" t="s">
        <v>189</v>
      </c>
      <c r="AP191" s="6" t="s">
        <v>394</v>
      </c>
      <c r="AQ191" s="6" t="s">
        <v>244</v>
      </c>
      <c r="AR191" s="6" t="s">
        <v>288</v>
      </c>
      <c r="AS191" s="6" t="s">
        <v>379</v>
      </c>
      <c r="AT191" s="6" t="s">
        <v>379</v>
      </c>
      <c r="AU191" s="6" t="s">
        <v>189</v>
      </c>
      <c r="AV191" s="6" t="s">
        <v>339</v>
      </c>
      <c r="AW191" s="6" t="s">
        <v>244</v>
      </c>
      <c r="AX191" s="6" t="s">
        <v>247</v>
      </c>
    </row>
    <row r="192" spans="1:50">
      <c r="A192" s="6">
        <v>276</v>
      </c>
      <c r="B192" s="5" t="s">
        <v>3164</v>
      </c>
      <c r="C192" s="6">
        <v>3</v>
      </c>
      <c r="D192" s="6" t="s">
        <v>98</v>
      </c>
      <c r="E192" s="6">
        <v>1</v>
      </c>
      <c r="F192" s="6" t="s">
        <v>1555</v>
      </c>
      <c r="G192" s="6">
        <v>41988.923634259256</v>
      </c>
      <c r="H192" s="6">
        <v>41988.923634259256</v>
      </c>
      <c r="I192" s="6">
        <v>41988.923634259256</v>
      </c>
      <c r="J192" s="6" t="s">
        <v>103</v>
      </c>
      <c r="K192" s="6" t="s">
        <v>105</v>
      </c>
      <c r="L192" s="6" t="s">
        <v>1556</v>
      </c>
      <c r="M192" s="6" t="s">
        <v>374</v>
      </c>
      <c r="N192" s="6" t="s">
        <v>1557</v>
      </c>
      <c r="P192" s="6" t="s">
        <v>215</v>
      </c>
      <c r="Q192" s="6">
        <v>620</v>
      </c>
      <c r="R192" s="6" t="s">
        <v>279</v>
      </c>
      <c r="S192" s="7">
        <v>620</v>
      </c>
      <c r="T192" s="7" t="s">
        <v>123</v>
      </c>
      <c r="U192" s="6" t="s">
        <v>76</v>
      </c>
      <c r="V192" s="6" t="s">
        <v>158</v>
      </c>
      <c r="W192" s="6" t="s">
        <v>160</v>
      </c>
      <c r="X192" s="6" t="s">
        <v>1556</v>
      </c>
      <c r="Y192" s="8" t="s">
        <v>3165</v>
      </c>
      <c r="Z192" s="8" t="s">
        <v>3166</v>
      </c>
      <c r="AA192" s="6" t="s">
        <v>1558</v>
      </c>
      <c r="AD192" s="6">
        <v>39692</v>
      </c>
      <c r="AE192" s="6" t="s">
        <v>244</v>
      </c>
      <c r="AF192" s="6" t="s">
        <v>178</v>
      </c>
      <c r="AG192" s="6" t="s">
        <v>180</v>
      </c>
      <c r="AH192" s="6" t="s">
        <v>244</v>
      </c>
      <c r="AI192" s="6" t="s">
        <v>182</v>
      </c>
      <c r="AJ192" s="6" t="s">
        <v>244</v>
      </c>
      <c r="AK192" s="6" t="s">
        <v>185</v>
      </c>
      <c r="AL192" s="6" t="s">
        <v>479</v>
      </c>
      <c r="AM192" s="6" t="s">
        <v>189</v>
      </c>
      <c r="AN192" s="6" t="s">
        <v>247</v>
      </c>
      <c r="AO192" s="6" t="s">
        <v>244</v>
      </c>
      <c r="AP192" s="6" t="s">
        <v>394</v>
      </c>
      <c r="AQ192" s="6" t="s">
        <v>288</v>
      </c>
      <c r="AR192" s="6" t="s">
        <v>185</v>
      </c>
      <c r="AS192" s="6" t="s">
        <v>244</v>
      </c>
      <c r="AT192" s="6" t="s">
        <v>244</v>
      </c>
      <c r="AU192" s="6" t="s">
        <v>288</v>
      </c>
      <c r="AV192" s="6" t="s">
        <v>520</v>
      </c>
      <c r="AW192" s="6" t="s">
        <v>244</v>
      </c>
      <c r="AX192" s="6" t="s">
        <v>247</v>
      </c>
    </row>
    <row r="193" spans="1:50">
      <c r="A193" s="6">
        <v>279</v>
      </c>
      <c r="B193" s="5" t="s">
        <v>3167</v>
      </c>
      <c r="C193" s="6">
        <v>4</v>
      </c>
      <c r="D193" s="6" t="s">
        <v>98</v>
      </c>
      <c r="E193" s="6">
        <v>277</v>
      </c>
      <c r="F193" s="6" t="s">
        <v>1559</v>
      </c>
      <c r="G193" s="6">
        <v>41988.923634259256</v>
      </c>
      <c r="H193" s="6">
        <v>42046.981689814813</v>
      </c>
      <c r="I193" s="6">
        <v>41988.923634259256</v>
      </c>
      <c r="J193" s="6" t="s">
        <v>103</v>
      </c>
      <c r="K193" s="6" t="s">
        <v>105</v>
      </c>
      <c r="L193" s="6" t="s">
        <v>1560</v>
      </c>
      <c r="M193" s="6" t="s">
        <v>374</v>
      </c>
      <c r="N193" s="6" t="s">
        <v>1561</v>
      </c>
      <c r="O193" s="6" t="s">
        <v>1562</v>
      </c>
      <c r="P193" s="6" t="s">
        <v>1563</v>
      </c>
      <c r="Q193" s="6">
        <v>643</v>
      </c>
      <c r="R193" s="6" t="s">
        <v>287</v>
      </c>
      <c r="S193" s="7">
        <v>643</v>
      </c>
      <c r="T193" s="7" t="s">
        <v>123</v>
      </c>
      <c r="U193" s="6" t="s">
        <v>102</v>
      </c>
      <c r="V193" s="6" t="s">
        <v>158</v>
      </c>
      <c r="W193" s="6" t="s">
        <v>160</v>
      </c>
      <c r="X193" s="6" t="s">
        <v>1560</v>
      </c>
      <c r="Y193" s="8" t="s">
        <v>3168</v>
      </c>
      <c r="Z193" s="8" t="s">
        <v>3169</v>
      </c>
      <c r="AA193" s="6" t="s">
        <v>1564</v>
      </c>
      <c r="AB193" s="6">
        <v>41411</v>
      </c>
      <c r="AC193" s="6">
        <v>41411</v>
      </c>
      <c r="AE193" s="6" t="s">
        <v>177</v>
      </c>
      <c r="AF193" s="6" t="s">
        <v>178</v>
      </c>
      <c r="AG193" s="6" t="s">
        <v>180</v>
      </c>
      <c r="AH193" s="6" t="s">
        <v>244</v>
      </c>
      <c r="AI193" s="6" t="s">
        <v>182</v>
      </c>
      <c r="AJ193" s="6" t="s">
        <v>244</v>
      </c>
      <c r="AK193" s="6" t="s">
        <v>185</v>
      </c>
      <c r="AL193" s="6" t="s">
        <v>178</v>
      </c>
      <c r="AM193" s="6" t="s">
        <v>185</v>
      </c>
      <c r="AN193" s="6" t="s">
        <v>181</v>
      </c>
      <c r="AO193" s="6" t="s">
        <v>244</v>
      </c>
      <c r="AP193" s="6" t="s">
        <v>386</v>
      </c>
      <c r="AQ193" s="6" t="s">
        <v>288</v>
      </c>
      <c r="AR193" s="6" t="s">
        <v>185</v>
      </c>
      <c r="AS193" s="6" t="s">
        <v>244</v>
      </c>
      <c r="AT193" s="6" t="s">
        <v>244</v>
      </c>
      <c r="AU193" s="6" t="s">
        <v>288</v>
      </c>
      <c r="AV193" s="6" t="s">
        <v>339</v>
      </c>
      <c r="AW193" s="6" t="s">
        <v>244</v>
      </c>
      <c r="AX193" s="6" t="s">
        <v>247</v>
      </c>
    </row>
    <row r="194" spans="1:50">
      <c r="A194" s="6">
        <v>280</v>
      </c>
      <c r="B194" s="5" t="s">
        <v>3170</v>
      </c>
      <c r="C194" s="6">
        <v>4</v>
      </c>
      <c r="D194" s="6" t="s">
        <v>98</v>
      </c>
      <c r="E194" s="6">
        <v>1</v>
      </c>
      <c r="F194" s="6" t="s">
        <v>1565</v>
      </c>
      <c r="G194" s="6">
        <v>41988.923634259256</v>
      </c>
      <c r="H194" s="6">
        <v>42020.584988425922</v>
      </c>
      <c r="I194" s="6">
        <v>41988.923634259256</v>
      </c>
      <c r="J194" s="6" t="s">
        <v>103</v>
      </c>
      <c r="K194" s="6" t="s">
        <v>105</v>
      </c>
      <c r="L194" s="6" t="s">
        <v>1566</v>
      </c>
      <c r="M194" s="6" t="s">
        <v>532</v>
      </c>
      <c r="N194" s="6" t="s">
        <v>1567</v>
      </c>
      <c r="O194" s="6" t="s">
        <v>1568</v>
      </c>
      <c r="P194" s="6" t="s">
        <v>215</v>
      </c>
      <c r="Q194" s="6">
        <v>643</v>
      </c>
      <c r="R194" s="6" t="s">
        <v>287</v>
      </c>
      <c r="S194" s="7">
        <v>643</v>
      </c>
      <c r="T194" s="7" t="s">
        <v>123</v>
      </c>
      <c r="U194" s="6" t="s">
        <v>102</v>
      </c>
      <c r="V194" s="6" t="s">
        <v>158</v>
      </c>
      <c r="W194" s="6" t="s">
        <v>384</v>
      </c>
      <c r="X194" s="6" t="s">
        <v>1566</v>
      </c>
      <c r="Y194" s="8" t="s">
        <v>3171</v>
      </c>
      <c r="AA194" s="8" t="s">
        <v>3172</v>
      </c>
      <c r="AE194" s="6" t="s">
        <v>244</v>
      </c>
      <c r="AF194" s="6" t="s">
        <v>178</v>
      </c>
      <c r="AG194" s="6" t="s">
        <v>180</v>
      </c>
      <c r="AH194" s="6" t="s">
        <v>371</v>
      </c>
      <c r="AI194" s="6" t="s">
        <v>182</v>
      </c>
      <c r="AJ194" s="6" t="s">
        <v>393</v>
      </c>
      <c r="AK194" s="6" t="s">
        <v>185</v>
      </c>
      <c r="AL194" s="6" t="s">
        <v>178</v>
      </c>
      <c r="AM194" s="6" t="s">
        <v>185</v>
      </c>
      <c r="AN194" s="6" t="s">
        <v>187</v>
      </c>
      <c r="AO194" s="6" t="s">
        <v>244</v>
      </c>
      <c r="AP194" s="6" t="s">
        <v>247</v>
      </c>
      <c r="AQ194" s="6" t="s">
        <v>288</v>
      </c>
      <c r="AR194" s="6" t="s">
        <v>185</v>
      </c>
      <c r="AS194" s="6" t="s">
        <v>379</v>
      </c>
      <c r="AT194" s="6" t="s">
        <v>379</v>
      </c>
      <c r="AU194" s="6" t="s">
        <v>288</v>
      </c>
      <c r="AV194" s="6" t="s">
        <v>371</v>
      </c>
      <c r="AW194" s="6" t="s">
        <v>244</v>
      </c>
      <c r="AX194" s="6" t="s">
        <v>247</v>
      </c>
    </row>
    <row r="195" spans="1:50">
      <c r="A195" s="6">
        <v>281</v>
      </c>
      <c r="B195" s="5" t="s">
        <v>3173</v>
      </c>
      <c r="C195" s="6">
        <v>4</v>
      </c>
      <c r="D195" s="6" t="s">
        <v>98</v>
      </c>
      <c r="E195" s="6">
        <v>1</v>
      </c>
      <c r="F195" s="6" t="s">
        <v>1569</v>
      </c>
      <c r="G195" s="6">
        <v>41988.923645833333</v>
      </c>
      <c r="H195" s="6">
        <v>42020.585196759261</v>
      </c>
      <c r="I195" s="6">
        <v>41988.923645833333</v>
      </c>
      <c r="J195" s="6" t="s">
        <v>103</v>
      </c>
      <c r="K195" s="6" t="s">
        <v>105</v>
      </c>
      <c r="L195" s="6" t="s">
        <v>1570</v>
      </c>
      <c r="M195" s="6" t="s">
        <v>532</v>
      </c>
      <c r="N195" s="6" t="s">
        <v>1571</v>
      </c>
      <c r="O195" s="6" t="s">
        <v>1572</v>
      </c>
      <c r="P195" s="6" t="s">
        <v>215</v>
      </c>
      <c r="Q195" s="6">
        <v>643</v>
      </c>
      <c r="R195" s="6" t="s">
        <v>287</v>
      </c>
      <c r="S195" s="7">
        <v>643</v>
      </c>
      <c r="T195" s="7" t="s">
        <v>123</v>
      </c>
      <c r="U195" s="6" t="s">
        <v>102</v>
      </c>
      <c r="V195" s="6" t="s">
        <v>158</v>
      </c>
      <c r="W195" s="6" t="s">
        <v>384</v>
      </c>
      <c r="X195" s="6" t="s">
        <v>1570</v>
      </c>
      <c r="Y195" s="8" t="s">
        <v>3174</v>
      </c>
      <c r="AA195" s="8" t="s">
        <v>3172</v>
      </c>
      <c r="AE195" s="6" t="s">
        <v>244</v>
      </c>
      <c r="AF195" s="6" t="s">
        <v>178</v>
      </c>
      <c r="AG195" s="6" t="s">
        <v>180</v>
      </c>
      <c r="AH195" s="6" t="s">
        <v>371</v>
      </c>
      <c r="AI195" s="6" t="s">
        <v>182</v>
      </c>
      <c r="AJ195" s="6" t="s">
        <v>393</v>
      </c>
      <c r="AK195" s="6" t="s">
        <v>185</v>
      </c>
      <c r="AL195" s="6" t="s">
        <v>178</v>
      </c>
      <c r="AM195" s="6" t="s">
        <v>185</v>
      </c>
      <c r="AN195" s="6" t="s">
        <v>187</v>
      </c>
      <c r="AO195" s="6" t="s">
        <v>244</v>
      </c>
      <c r="AP195" s="6" t="s">
        <v>247</v>
      </c>
      <c r="AQ195" s="6" t="s">
        <v>288</v>
      </c>
      <c r="AR195" s="6" t="s">
        <v>185</v>
      </c>
      <c r="AS195" s="6" t="s">
        <v>379</v>
      </c>
      <c r="AT195" s="6" t="s">
        <v>379</v>
      </c>
      <c r="AU195" s="6" t="s">
        <v>288</v>
      </c>
      <c r="AV195" s="6" t="s">
        <v>371</v>
      </c>
      <c r="AW195" s="6" t="s">
        <v>244</v>
      </c>
      <c r="AX195" s="6" t="s">
        <v>247</v>
      </c>
    </row>
    <row r="196" spans="1:50">
      <c r="A196" s="6">
        <v>282</v>
      </c>
      <c r="B196" s="5" t="s">
        <v>3175</v>
      </c>
      <c r="C196" s="6">
        <v>4</v>
      </c>
      <c r="D196" s="6" t="s">
        <v>98</v>
      </c>
      <c r="E196" s="6">
        <v>1</v>
      </c>
      <c r="F196" s="6" t="s">
        <v>1573</v>
      </c>
      <c r="G196" s="6">
        <v>41988.923645833333</v>
      </c>
      <c r="H196" s="6">
        <v>42020.585486111115</v>
      </c>
      <c r="I196" s="6">
        <v>41988.923645833333</v>
      </c>
      <c r="J196" s="6" t="s">
        <v>103</v>
      </c>
      <c r="K196" s="6" t="s">
        <v>105</v>
      </c>
      <c r="L196" s="6" t="s">
        <v>1574</v>
      </c>
      <c r="M196" s="6" t="s">
        <v>532</v>
      </c>
      <c r="N196" s="6" t="s">
        <v>1575</v>
      </c>
      <c r="O196" s="6" t="s">
        <v>1576</v>
      </c>
      <c r="P196" s="6" t="s">
        <v>215</v>
      </c>
      <c r="Q196" s="6">
        <v>643</v>
      </c>
      <c r="R196" s="6" t="s">
        <v>287</v>
      </c>
      <c r="S196" s="7">
        <v>643</v>
      </c>
      <c r="T196" s="7" t="s">
        <v>123</v>
      </c>
      <c r="U196" s="6" t="s">
        <v>102</v>
      </c>
      <c r="V196" s="6" t="s">
        <v>158</v>
      </c>
      <c r="W196" s="6" t="s">
        <v>384</v>
      </c>
      <c r="X196" s="6" t="s">
        <v>1574</v>
      </c>
      <c r="Y196" s="8" t="s">
        <v>3176</v>
      </c>
      <c r="AA196" s="8" t="s">
        <v>3172</v>
      </c>
      <c r="AE196" s="6" t="s">
        <v>244</v>
      </c>
      <c r="AF196" s="6" t="s">
        <v>178</v>
      </c>
      <c r="AG196" s="6" t="s">
        <v>180</v>
      </c>
      <c r="AH196" s="6" t="s">
        <v>371</v>
      </c>
      <c r="AI196" s="6" t="s">
        <v>182</v>
      </c>
      <c r="AJ196" s="6" t="s">
        <v>393</v>
      </c>
      <c r="AK196" s="6" t="s">
        <v>185</v>
      </c>
      <c r="AL196" s="6" t="s">
        <v>178</v>
      </c>
      <c r="AM196" s="6" t="s">
        <v>185</v>
      </c>
      <c r="AN196" s="6" t="s">
        <v>187</v>
      </c>
      <c r="AO196" s="6" t="s">
        <v>244</v>
      </c>
      <c r="AP196" s="6" t="s">
        <v>247</v>
      </c>
      <c r="AQ196" s="6" t="s">
        <v>288</v>
      </c>
      <c r="AR196" s="6" t="s">
        <v>185</v>
      </c>
      <c r="AS196" s="6" t="s">
        <v>379</v>
      </c>
      <c r="AT196" s="6" t="s">
        <v>379</v>
      </c>
      <c r="AU196" s="6" t="s">
        <v>288</v>
      </c>
      <c r="AV196" s="6" t="s">
        <v>371</v>
      </c>
      <c r="AW196" s="6" t="s">
        <v>244</v>
      </c>
      <c r="AX196" s="6" t="s">
        <v>247</v>
      </c>
    </row>
    <row r="197" spans="1:50">
      <c r="A197" s="6">
        <v>43</v>
      </c>
      <c r="B197" s="5" t="s">
        <v>3177</v>
      </c>
      <c r="C197" s="6">
        <v>6</v>
      </c>
      <c r="D197" s="6" t="s">
        <v>98</v>
      </c>
      <c r="E197" s="6">
        <v>235</v>
      </c>
      <c r="F197" s="6" t="s">
        <v>1577</v>
      </c>
      <c r="G197" s="6">
        <v>41988.923136574071</v>
      </c>
      <c r="H197" s="6">
        <v>42046.98164351852</v>
      </c>
      <c r="I197" s="6">
        <v>41988.923136574071</v>
      </c>
      <c r="J197" s="6" t="s">
        <v>103</v>
      </c>
      <c r="K197" s="6" t="s">
        <v>105</v>
      </c>
      <c r="L197" s="6" t="s">
        <v>1578</v>
      </c>
      <c r="M197" s="6" t="s">
        <v>307</v>
      </c>
      <c r="O197" s="6" t="s">
        <v>1579</v>
      </c>
      <c r="P197" s="6" t="s">
        <v>215</v>
      </c>
      <c r="Q197" s="6">
        <v>682</v>
      </c>
      <c r="R197" s="6" t="s">
        <v>301</v>
      </c>
      <c r="S197" s="7">
        <v>682</v>
      </c>
      <c r="T197" s="7" t="s">
        <v>118</v>
      </c>
      <c r="U197" s="6" t="s">
        <v>96</v>
      </c>
      <c r="V197" s="6" t="s">
        <v>158</v>
      </c>
      <c r="W197" s="6" t="s">
        <v>160</v>
      </c>
      <c r="X197" s="6" t="s">
        <v>1578</v>
      </c>
      <c r="Y197" s="8" t="s">
        <v>3178</v>
      </c>
      <c r="Z197" s="8" t="s">
        <v>3179</v>
      </c>
      <c r="AA197" s="8" t="s">
        <v>3180</v>
      </c>
      <c r="AB197" s="6">
        <v>41820</v>
      </c>
      <c r="AC197" s="6">
        <v>41820</v>
      </c>
      <c r="AE197" s="6" t="s">
        <v>177</v>
      </c>
      <c r="AF197" s="6" t="s">
        <v>178</v>
      </c>
      <c r="AG197" s="6" t="s">
        <v>180</v>
      </c>
      <c r="AH197" s="6" t="s">
        <v>392</v>
      </c>
      <c r="AI197" s="6" t="s">
        <v>182</v>
      </c>
      <c r="AJ197" s="6" t="s">
        <v>393</v>
      </c>
      <c r="AK197" s="6" t="s">
        <v>185</v>
      </c>
      <c r="AL197" s="6" t="s">
        <v>479</v>
      </c>
      <c r="AM197" s="6" t="s">
        <v>189</v>
      </c>
      <c r="AN197" s="6" t="s">
        <v>247</v>
      </c>
      <c r="AO197" s="6" t="s">
        <v>185</v>
      </c>
      <c r="AP197" s="6" t="s">
        <v>648</v>
      </c>
      <c r="AQ197" s="6" t="s">
        <v>288</v>
      </c>
      <c r="AR197" s="6" t="s">
        <v>189</v>
      </c>
      <c r="AS197" s="6" t="s">
        <v>244</v>
      </c>
      <c r="AT197" s="6" t="s">
        <v>244</v>
      </c>
      <c r="AU197" s="6" t="s">
        <v>288</v>
      </c>
      <c r="AV197" s="6" t="s">
        <v>339</v>
      </c>
      <c r="AW197" s="6" t="s">
        <v>244</v>
      </c>
      <c r="AX197" s="6" t="s">
        <v>247</v>
      </c>
    </row>
    <row r="198" spans="1:50">
      <c r="A198" s="6">
        <v>44</v>
      </c>
      <c r="B198" s="5" t="s">
        <v>3181</v>
      </c>
      <c r="C198" s="6">
        <v>4</v>
      </c>
      <c r="D198" s="6" t="s">
        <v>98</v>
      </c>
      <c r="E198" s="6">
        <v>236</v>
      </c>
      <c r="F198" s="6" t="s">
        <v>1580</v>
      </c>
      <c r="G198" s="6">
        <v>41988.923136574071</v>
      </c>
      <c r="H198" s="6">
        <v>42046.98164351852</v>
      </c>
      <c r="I198" s="6">
        <v>41988.923136574071</v>
      </c>
      <c r="J198" s="6" t="s">
        <v>103</v>
      </c>
      <c r="K198" s="6" t="s">
        <v>105</v>
      </c>
      <c r="L198" s="6" t="s">
        <v>1581</v>
      </c>
      <c r="M198" s="6" t="s">
        <v>374</v>
      </c>
      <c r="O198" s="6" t="s">
        <v>1582</v>
      </c>
      <c r="P198" s="6" t="s">
        <v>215</v>
      </c>
      <c r="Q198" s="6">
        <v>702</v>
      </c>
      <c r="R198" s="6" t="s">
        <v>310</v>
      </c>
      <c r="S198" s="7">
        <v>702</v>
      </c>
      <c r="T198" s="7" t="s">
        <v>118</v>
      </c>
      <c r="U198" s="6" t="s">
        <v>74</v>
      </c>
      <c r="V198" s="6" t="s">
        <v>158</v>
      </c>
      <c r="W198" s="6" t="s">
        <v>376</v>
      </c>
      <c r="X198" s="6" t="s">
        <v>1581</v>
      </c>
      <c r="Y198" s="8" t="s">
        <v>3182</v>
      </c>
      <c r="Z198" s="8" t="s">
        <v>3183</v>
      </c>
      <c r="AA198" s="8" t="s">
        <v>3184</v>
      </c>
      <c r="AB198" s="6">
        <v>41487</v>
      </c>
      <c r="AC198" s="6">
        <v>41487</v>
      </c>
      <c r="AE198" s="6" t="s">
        <v>177</v>
      </c>
      <c r="AF198" s="6" t="s">
        <v>178</v>
      </c>
      <c r="AG198" s="6" t="s">
        <v>370</v>
      </c>
      <c r="AH198" s="6" t="s">
        <v>187</v>
      </c>
      <c r="AI198" s="6" t="s">
        <v>182</v>
      </c>
      <c r="AJ198" s="6" t="s">
        <v>393</v>
      </c>
      <c r="AK198" s="6" t="s">
        <v>185</v>
      </c>
      <c r="AL198" s="6" t="s">
        <v>178</v>
      </c>
      <c r="AM198" s="6" t="s">
        <v>244</v>
      </c>
      <c r="AN198" s="6" t="s">
        <v>378</v>
      </c>
      <c r="AO198" s="6" t="s">
        <v>244</v>
      </c>
      <c r="AP198" s="6" t="s">
        <v>386</v>
      </c>
      <c r="AQ198" s="6" t="s">
        <v>288</v>
      </c>
      <c r="AR198" s="6" t="s">
        <v>189</v>
      </c>
      <c r="AS198" s="6" t="s">
        <v>395</v>
      </c>
      <c r="AT198" s="6" t="s">
        <v>244</v>
      </c>
      <c r="AU198" s="6" t="s">
        <v>288</v>
      </c>
      <c r="AV198" s="6" t="s">
        <v>339</v>
      </c>
      <c r="AW198" s="6" t="s">
        <v>244</v>
      </c>
      <c r="AX198" s="6" t="s">
        <v>247</v>
      </c>
    </row>
    <row r="199" spans="1:50">
      <c r="A199" s="6">
        <v>45</v>
      </c>
      <c r="B199" s="5" t="s">
        <v>3185</v>
      </c>
      <c r="C199" s="6">
        <v>3</v>
      </c>
      <c r="D199" s="6" t="s">
        <v>98</v>
      </c>
      <c r="E199" s="6">
        <v>1</v>
      </c>
      <c r="F199" s="6" t="s">
        <v>1583</v>
      </c>
      <c r="G199" s="6">
        <v>41988.923136574071</v>
      </c>
      <c r="H199" s="6">
        <v>41988.923136574071</v>
      </c>
      <c r="I199" s="6">
        <v>41988.923136574071</v>
      </c>
      <c r="J199" s="6" t="s">
        <v>103</v>
      </c>
      <c r="K199" s="6" t="s">
        <v>105</v>
      </c>
      <c r="L199" s="6" t="s">
        <v>1584</v>
      </c>
      <c r="M199" s="6" t="s">
        <v>374</v>
      </c>
      <c r="P199" s="6" t="s">
        <v>215</v>
      </c>
      <c r="Q199" s="6">
        <v>702</v>
      </c>
      <c r="R199" s="6" t="s">
        <v>310</v>
      </c>
      <c r="S199" s="7">
        <v>702</v>
      </c>
      <c r="T199" s="7" t="s">
        <v>118</v>
      </c>
      <c r="U199" s="6" t="s">
        <v>74</v>
      </c>
      <c r="V199" s="6" t="s">
        <v>158</v>
      </c>
      <c r="W199" s="6" t="s">
        <v>160</v>
      </c>
      <c r="X199" s="6" t="s">
        <v>1584</v>
      </c>
      <c r="Y199" s="8" t="s">
        <v>3186</v>
      </c>
      <c r="Z199" s="8" t="s">
        <v>3187</v>
      </c>
      <c r="AA199" s="8" t="s">
        <v>3188</v>
      </c>
      <c r="AB199" s="6">
        <v>40766</v>
      </c>
      <c r="AC199" s="6">
        <v>40763</v>
      </c>
      <c r="AE199" s="6" t="s">
        <v>177</v>
      </c>
      <c r="AF199" s="6" t="s">
        <v>178</v>
      </c>
      <c r="AG199" s="6" t="s">
        <v>180</v>
      </c>
      <c r="AH199" s="6" t="s">
        <v>187</v>
      </c>
      <c r="AI199" s="6" t="s">
        <v>182</v>
      </c>
      <c r="AJ199" s="6" t="s">
        <v>393</v>
      </c>
      <c r="AK199" s="6" t="s">
        <v>185</v>
      </c>
      <c r="AL199" s="6" t="s">
        <v>178</v>
      </c>
      <c r="AM199" s="6" t="s">
        <v>189</v>
      </c>
      <c r="AN199" s="6" t="s">
        <v>247</v>
      </c>
      <c r="AO199" s="6" t="s">
        <v>244</v>
      </c>
      <c r="AP199" s="6" t="s">
        <v>386</v>
      </c>
      <c r="AQ199" s="6" t="s">
        <v>288</v>
      </c>
      <c r="AR199" s="6" t="s">
        <v>189</v>
      </c>
      <c r="AS199" s="6" t="s">
        <v>244</v>
      </c>
      <c r="AT199" s="6" t="s">
        <v>244</v>
      </c>
      <c r="AU199" s="6" t="s">
        <v>288</v>
      </c>
      <c r="AV199" s="6" t="s">
        <v>339</v>
      </c>
      <c r="AW199" s="6" t="s">
        <v>244</v>
      </c>
      <c r="AX199" s="6" t="s">
        <v>247</v>
      </c>
    </row>
    <row r="200" spans="1:50">
      <c r="A200" s="6">
        <v>46</v>
      </c>
      <c r="B200" s="5" t="s">
        <v>3189</v>
      </c>
      <c r="C200" s="6">
        <v>4</v>
      </c>
      <c r="D200" s="6" t="s">
        <v>98</v>
      </c>
      <c r="E200" s="6">
        <v>237</v>
      </c>
      <c r="F200" s="6" t="s">
        <v>1585</v>
      </c>
      <c r="G200" s="6">
        <v>41988.923136574071</v>
      </c>
      <c r="H200" s="6">
        <v>42046.98164351852</v>
      </c>
      <c r="I200" s="6">
        <v>41988.923136574071</v>
      </c>
      <c r="J200" s="6" t="s">
        <v>103</v>
      </c>
      <c r="K200" s="6" t="s">
        <v>105</v>
      </c>
      <c r="L200" s="6" t="s">
        <v>1586</v>
      </c>
      <c r="M200" s="6" t="s">
        <v>374</v>
      </c>
      <c r="P200" s="6" t="s">
        <v>215</v>
      </c>
      <c r="Q200" s="6">
        <v>702</v>
      </c>
      <c r="R200" s="6" t="s">
        <v>310</v>
      </c>
      <c r="S200" s="7">
        <v>702</v>
      </c>
      <c r="T200" s="7" t="s">
        <v>118</v>
      </c>
      <c r="U200" s="6" t="s">
        <v>74</v>
      </c>
      <c r="V200" s="6" t="s">
        <v>158</v>
      </c>
      <c r="W200" s="6" t="s">
        <v>160</v>
      </c>
      <c r="X200" s="6" t="s">
        <v>1586</v>
      </c>
      <c r="Y200" s="8" t="s">
        <v>3190</v>
      </c>
      <c r="Z200" s="8" t="s">
        <v>3191</v>
      </c>
      <c r="AA200" s="8" t="s">
        <v>3192</v>
      </c>
      <c r="AB200" s="6">
        <v>41571</v>
      </c>
      <c r="AC200" s="6">
        <v>41571</v>
      </c>
      <c r="AE200" s="6" t="s">
        <v>177</v>
      </c>
      <c r="AF200" s="6" t="s">
        <v>178</v>
      </c>
      <c r="AG200" s="6" t="s">
        <v>180</v>
      </c>
      <c r="AH200" s="6" t="s">
        <v>244</v>
      </c>
      <c r="AI200" s="6" t="s">
        <v>182</v>
      </c>
      <c r="AJ200" s="6" t="s">
        <v>393</v>
      </c>
      <c r="AK200" s="6" t="s">
        <v>185</v>
      </c>
      <c r="AL200" s="6" t="s">
        <v>178</v>
      </c>
      <c r="AM200" s="6" t="s">
        <v>189</v>
      </c>
      <c r="AN200" s="6" t="s">
        <v>371</v>
      </c>
      <c r="AO200" s="6" t="s">
        <v>244</v>
      </c>
      <c r="AP200" s="6" t="s">
        <v>386</v>
      </c>
      <c r="AQ200" s="6" t="s">
        <v>288</v>
      </c>
      <c r="AR200" s="6" t="s">
        <v>189</v>
      </c>
      <c r="AS200" s="6" t="s">
        <v>244</v>
      </c>
      <c r="AT200" s="6" t="s">
        <v>244</v>
      </c>
      <c r="AU200" s="6" t="s">
        <v>288</v>
      </c>
      <c r="AV200" s="6" t="s">
        <v>339</v>
      </c>
      <c r="AW200" s="6" t="s">
        <v>244</v>
      </c>
      <c r="AX200" s="6" t="s">
        <v>247</v>
      </c>
    </row>
    <row r="201" spans="1:50">
      <c r="A201" s="6">
        <v>284</v>
      </c>
      <c r="B201" s="5" t="s">
        <v>3193</v>
      </c>
      <c r="C201" s="6">
        <v>3</v>
      </c>
      <c r="D201" s="6" t="s">
        <v>98</v>
      </c>
      <c r="E201" s="6">
        <v>1</v>
      </c>
      <c r="F201" s="6" t="s">
        <v>1587</v>
      </c>
      <c r="G201" s="6">
        <v>41988.923645833333</v>
      </c>
      <c r="H201" s="6">
        <v>41988.923645833333</v>
      </c>
      <c r="I201" s="6">
        <v>41988.923645833333</v>
      </c>
      <c r="J201" s="6" t="s">
        <v>103</v>
      </c>
      <c r="K201" s="6" t="s">
        <v>105</v>
      </c>
      <c r="L201" s="6" t="s">
        <v>1588</v>
      </c>
      <c r="M201" s="6" t="s">
        <v>637</v>
      </c>
      <c r="P201" s="6" t="s">
        <v>756</v>
      </c>
      <c r="Q201" s="6">
        <v>703</v>
      </c>
      <c r="R201" s="6" t="s">
        <v>311</v>
      </c>
      <c r="S201" s="7">
        <v>703</v>
      </c>
      <c r="T201" s="7" t="s">
        <v>123</v>
      </c>
      <c r="U201" s="6" t="s">
        <v>102</v>
      </c>
      <c r="V201" s="6" t="s">
        <v>158</v>
      </c>
      <c r="W201" s="6" t="s">
        <v>364</v>
      </c>
      <c r="X201" s="6" t="s">
        <v>1588</v>
      </c>
      <c r="Y201" s="8" t="s">
        <v>3194</v>
      </c>
      <c r="Z201" s="6" t="s">
        <v>1589</v>
      </c>
      <c r="AA201" s="8" t="s">
        <v>3195</v>
      </c>
      <c r="AE201" s="6" t="s">
        <v>244</v>
      </c>
      <c r="AF201" s="6" t="s">
        <v>178</v>
      </c>
      <c r="AG201" s="6" t="s">
        <v>180</v>
      </c>
      <c r="AH201" s="6" t="s">
        <v>371</v>
      </c>
      <c r="AI201" s="6" t="s">
        <v>385</v>
      </c>
      <c r="AJ201" s="6" t="s">
        <v>244</v>
      </c>
      <c r="AK201" s="6" t="s">
        <v>244</v>
      </c>
      <c r="AL201" s="6" t="s">
        <v>178</v>
      </c>
      <c r="AM201" s="6" t="s">
        <v>244</v>
      </c>
      <c r="AN201" s="6" t="s">
        <v>181</v>
      </c>
      <c r="AO201" s="6" t="s">
        <v>185</v>
      </c>
      <c r="AP201" s="6" t="s">
        <v>247</v>
      </c>
      <c r="AQ201" s="6" t="s">
        <v>288</v>
      </c>
      <c r="AR201" s="6" t="s">
        <v>189</v>
      </c>
      <c r="AS201" s="6" t="s">
        <v>193</v>
      </c>
      <c r="AT201" s="6" t="s">
        <v>193</v>
      </c>
      <c r="AU201" s="6" t="s">
        <v>288</v>
      </c>
      <c r="AV201" s="6" t="s">
        <v>339</v>
      </c>
      <c r="AW201" s="6" t="s">
        <v>244</v>
      </c>
      <c r="AX201" s="6" t="s">
        <v>247</v>
      </c>
    </row>
    <row r="202" spans="1:50">
      <c r="A202" s="6">
        <v>285</v>
      </c>
      <c r="B202" s="5" t="s">
        <v>3196</v>
      </c>
      <c r="C202" s="6">
        <v>4</v>
      </c>
      <c r="D202" s="6" t="s">
        <v>98</v>
      </c>
      <c r="E202" s="6">
        <v>1</v>
      </c>
      <c r="F202" s="6" t="s">
        <v>1592</v>
      </c>
      <c r="G202" s="6">
        <v>41988.923645833333</v>
      </c>
      <c r="H202" s="6">
        <v>41988.923645833333</v>
      </c>
      <c r="I202" s="6">
        <v>41988.923645833333</v>
      </c>
      <c r="J202" s="6" t="s">
        <v>103</v>
      </c>
      <c r="K202" s="6" t="s">
        <v>105</v>
      </c>
      <c r="L202" s="6" t="s">
        <v>1593</v>
      </c>
      <c r="M202" s="6" t="s">
        <v>532</v>
      </c>
      <c r="O202" s="6" t="s">
        <v>1594</v>
      </c>
      <c r="P202" s="6" t="s">
        <v>756</v>
      </c>
      <c r="Q202" s="6">
        <v>705</v>
      </c>
      <c r="R202" s="6" t="s">
        <v>314</v>
      </c>
      <c r="S202" s="7">
        <v>705</v>
      </c>
      <c r="T202" s="7" t="s">
        <v>123</v>
      </c>
      <c r="U202" s="6" t="s">
        <v>76</v>
      </c>
      <c r="V202" s="6" t="s">
        <v>158</v>
      </c>
      <c r="W202" s="6" t="s">
        <v>160</v>
      </c>
      <c r="X202" s="6" t="s">
        <v>1593</v>
      </c>
      <c r="Y202" s="8" t="s">
        <v>3197</v>
      </c>
      <c r="Z202" s="8" t="s">
        <v>3198</v>
      </c>
      <c r="AA202" s="8" t="s">
        <v>3199</v>
      </c>
      <c r="AB202" s="6">
        <v>41543</v>
      </c>
      <c r="AC202" s="6">
        <v>41559</v>
      </c>
      <c r="AE202" s="6" t="s">
        <v>177</v>
      </c>
      <c r="AF202" s="6" t="s">
        <v>178</v>
      </c>
      <c r="AG202" s="6" t="s">
        <v>180</v>
      </c>
      <c r="AH202" s="6" t="s">
        <v>371</v>
      </c>
      <c r="AI202" s="6" t="s">
        <v>385</v>
      </c>
      <c r="AJ202" s="6" t="s">
        <v>244</v>
      </c>
      <c r="AK202" s="6" t="s">
        <v>185</v>
      </c>
      <c r="AL202" s="6" t="s">
        <v>178</v>
      </c>
      <c r="AM202" s="6" t="s">
        <v>185</v>
      </c>
      <c r="AN202" s="6" t="s">
        <v>371</v>
      </c>
      <c r="AO202" s="6" t="s">
        <v>244</v>
      </c>
      <c r="AP202" s="6" t="s">
        <v>394</v>
      </c>
      <c r="AQ202" s="6" t="s">
        <v>288</v>
      </c>
      <c r="AR202" s="6" t="s">
        <v>288</v>
      </c>
      <c r="AS202" s="6" t="s">
        <v>244</v>
      </c>
      <c r="AT202" s="6" t="s">
        <v>244</v>
      </c>
      <c r="AU202" s="6" t="s">
        <v>288</v>
      </c>
      <c r="AV202" s="6" t="s">
        <v>244</v>
      </c>
      <c r="AW202" s="6" t="s">
        <v>244</v>
      </c>
      <c r="AX202" s="6" t="s">
        <v>247</v>
      </c>
    </row>
    <row r="203" spans="1:50">
      <c r="A203" s="6">
        <v>687</v>
      </c>
      <c r="B203" s="5" t="s">
        <v>3200</v>
      </c>
      <c r="C203" s="6">
        <v>5</v>
      </c>
      <c r="D203" s="6" t="s">
        <v>98</v>
      </c>
      <c r="E203" s="6">
        <v>196</v>
      </c>
      <c r="F203" s="6" t="s">
        <v>1602</v>
      </c>
      <c r="G203" s="6">
        <v>42076.569675925923</v>
      </c>
      <c r="H203" s="6">
        <v>42076.569675925923</v>
      </c>
      <c r="I203" s="6">
        <v>42076.569675925923</v>
      </c>
      <c r="J203" s="6" t="s">
        <v>103</v>
      </c>
      <c r="K203" s="6" t="s">
        <v>105</v>
      </c>
      <c r="L203" s="6" t="s">
        <v>1603</v>
      </c>
      <c r="N203" s="6" t="s">
        <v>1604</v>
      </c>
      <c r="P203" s="6" t="s">
        <v>1603</v>
      </c>
      <c r="Q203" s="6">
        <v>710</v>
      </c>
      <c r="R203" s="6" t="s">
        <v>316</v>
      </c>
      <c r="S203" s="7">
        <v>710</v>
      </c>
      <c r="T203" s="7" t="s">
        <v>51</v>
      </c>
      <c r="U203" s="6" t="s">
        <v>316</v>
      </c>
      <c r="V203" s="6" t="s">
        <v>158</v>
      </c>
      <c r="W203" s="6" t="s">
        <v>376</v>
      </c>
      <c r="X203" s="6" t="s">
        <v>1603</v>
      </c>
      <c r="Y203" s="8" t="s">
        <v>3201</v>
      </c>
      <c r="Z203" s="8" t="s">
        <v>3202</v>
      </c>
      <c r="AA203" s="8" t="s">
        <v>3203</v>
      </c>
      <c r="AB203" s="6">
        <v>2014</v>
      </c>
      <c r="AC203" s="6">
        <v>42064</v>
      </c>
      <c r="AE203" s="6" t="s">
        <v>177</v>
      </c>
      <c r="AF203" s="6" t="s">
        <v>178</v>
      </c>
      <c r="AG203" s="6" t="s">
        <v>180</v>
      </c>
      <c r="AH203" s="6" t="s">
        <v>377</v>
      </c>
      <c r="AI203" s="6" t="s">
        <v>182</v>
      </c>
      <c r="AJ203" s="6" t="s">
        <v>393</v>
      </c>
      <c r="AK203" s="6" t="s">
        <v>185</v>
      </c>
      <c r="AL203" s="6" t="s">
        <v>178</v>
      </c>
      <c r="AM203" s="6" t="s">
        <v>185</v>
      </c>
      <c r="AN203" s="6" t="s">
        <v>378</v>
      </c>
      <c r="AO203" s="6" t="s">
        <v>189</v>
      </c>
      <c r="AP203" s="6" t="s">
        <v>190</v>
      </c>
      <c r="AQ203" s="6" t="s">
        <v>244</v>
      </c>
      <c r="AR203" s="6" t="s">
        <v>185</v>
      </c>
      <c r="AS203" s="6" t="s">
        <v>395</v>
      </c>
      <c r="AT203" s="6" t="s">
        <v>395</v>
      </c>
      <c r="AU203" s="6" t="s">
        <v>185</v>
      </c>
      <c r="AV203" s="6" t="s">
        <v>195</v>
      </c>
      <c r="AW203" s="6" t="s">
        <v>341</v>
      </c>
      <c r="AX203" s="6" t="s">
        <v>247</v>
      </c>
    </row>
    <row r="204" spans="1:50">
      <c r="A204" s="6">
        <v>660</v>
      </c>
      <c r="B204" s="5" t="s">
        <v>3204</v>
      </c>
      <c r="C204" s="6">
        <v>5</v>
      </c>
      <c r="D204" s="6" t="s">
        <v>98</v>
      </c>
      <c r="E204" s="6">
        <v>65</v>
      </c>
      <c r="F204" s="6" t="s">
        <v>1612</v>
      </c>
      <c r="G204" s="6">
        <v>42012.757314814815</v>
      </c>
      <c r="H204" s="6">
        <v>42012.757314814815</v>
      </c>
      <c r="I204" s="6">
        <v>42012.757314814815</v>
      </c>
      <c r="J204" s="6" t="s">
        <v>103</v>
      </c>
      <c r="K204" s="6" t="s">
        <v>105</v>
      </c>
      <c r="L204" s="6" t="s">
        <v>1613</v>
      </c>
      <c r="P204" s="6" t="s">
        <v>215</v>
      </c>
      <c r="Q204" s="6">
        <v>710</v>
      </c>
      <c r="R204" s="6" t="s">
        <v>316</v>
      </c>
      <c r="S204" s="7">
        <v>710</v>
      </c>
      <c r="T204" s="7" t="s">
        <v>51</v>
      </c>
      <c r="U204" s="6" t="s">
        <v>316</v>
      </c>
      <c r="V204" s="6" t="s">
        <v>158</v>
      </c>
      <c r="W204" s="6" t="s">
        <v>160</v>
      </c>
      <c r="X204" s="6" t="s">
        <v>1613</v>
      </c>
      <c r="Y204" s="8" t="s">
        <v>3205</v>
      </c>
      <c r="Z204" s="8" t="s">
        <v>3206</v>
      </c>
      <c r="AA204" s="8" t="s">
        <v>3207</v>
      </c>
      <c r="AB204" s="6">
        <v>40848</v>
      </c>
      <c r="AC204" s="6">
        <v>41804</v>
      </c>
      <c r="AE204" s="6" t="s">
        <v>478</v>
      </c>
      <c r="AF204" s="6" t="s">
        <v>178</v>
      </c>
      <c r="AG204" s="6" t="s">
        <v>180</v>
      </c>
      <c r="AH204" s="6" t="s">
        <v>181</v>
      </c>
      <c r="AI204" s="6" t="s">
        <v>182</v>
      </c>
      <c r="AJ204" s="6" t="s">
        <v>393</v>
      </c>
      <c r="AK204" s="6" t="s">
        <v>185</v>
      </c>
      <c r="AL204" s="6" t="s">
        <v>479</v>
      </c>
      <c r="AM204" s="6" t="s">
        <v>244</v>
      </c>
      <c r="AN204" s="6" t="s">
        <v>247</v>
      </c>
      <c r="AO204" s="6" t="s">
        <v>244</v>
      </c>
      <c r="AP204" s="6" t="s">
        <v>394</v>
      </c>
      <c r="AQ204" s="6" t="s">
        <v>244</v>
      </c>
      <c r="AR204" s="6" t="s">
        <v>244</v>
      </c>
      <c r="AS204" s="6" t="s">
        <v>244</v>
      </c>
      <c r="AT204" s="6" t="s">
        <v>244</v>
      </c>
      <c r="AU204" s="6" t="s">
        <v>244</v>
      </c>
      <c r="AV204" s="6" t="s">
        <v>244</v>
      </c>
      <c r="AW204" s="6" t="s">
        <v>442</v>
      </c>
      <c r="AX204" s="6" t="s">
        <v>428</v>
      </c>
    </row>
    <row r="205" spans="1:50">
      <c r="A205" s="6">
        <v>9</v>
      </c>
      <c r="B205" s="5" t="s">
        <v>3208</v>
      </c>
      <c r="C205" s="6">
        <v>3</v>
      </c>
      <c r="D205" s="6" t="s">
        <v>98</v>
      </c>
      <c r="E205" s="6">
        <v>1</v>
      </c>
      <c r="F205" s="6" t="s">
        <v>1616</v>
      </c>
      <c r="G205" s="6">
        <v>41988.923078703701</v>
      </c>
      <c r="H205" s="6">
        <v>41988.923078703701</v>
      </c>
      <c r="I205" s="6">
        <v>41988.923078703701</v>
      </c>
      <c r="J205" s="6" t="s">
        <v>103</v>
      </c>
      <c r="K205" s="6" t="s">
        <v>105</v>
      </c>
      <c r="L205" s="6" t="s">
        <v>1617</v>
      </c>
      <c r="M205" s="6" t="s">
        <v>532</v>
      </c>
      <c r="N205" s="6" t="s">
        <v>1618</v>
      </c>
      <c r="P205" s="6" t="s">
        <v>215</v>
      </c>
      <c r="Q205" s="6">
        <v>710</v>
      </c>
      <c r="R205" s="6" t="s">
        <v>316</v>
      </c>
      <c r="S205" s="7">
        <v>710</v>
      </c>
      <c r="T205" s="7" t="s">
        <v>51</v>
      </c>
      <c r="U205" s="6" t="s">
        <v>316</v>
      </c>
      <c r="V205" s="6" t="s">
        <v>158</v>
      </c>
      <c r="W205" s="6" t="s">
        <v>160</v>
      </c>
      <c r="X205" s="6" t="s">
        <v>1617</v>
      </c>
      <c r="Y205" s="8" t="s">
        <v>3209</v>
      </c>
      <c r="Z205" s="8" t="s">
        <v>3210</v>
      </c>
      <c r="AA205" s="8" t="s">
        <v>3211</v>
      </c>
      <c r="AB205" s="6">
        <v>39845</v>
      </c>
      <c r="AE205" s="6" t="s">
        <v>478</v>
      </c>
      <c r="AF205" s="6" t="s">
        <v>178</v>
      </c>
      <c r="AG205" s="6" t="s">
        <v>180</v>
      </c>
      <c r="AH205" s="6" t="s">
        <v>187</v>
      </c>
      <c r="AI205" s="6" t="s">
        <v>182</v>
      </c>
      <c r="AJ205" s="6" t="s">
        <v>393</v>
      </c>
      <c r="AK205" s="6" t="s">
        <v>185</v>
      </c>
      <c r="AL205" s="6" t="s">
        <v>178</v>
      </c>
      <c r="AM205" s="6" t="s">
        <v>244</v>
      </c>
      <c r="AN205" s="6" t="s">
        <v>181</v>
      </c>
      <c r="AO205" s="6" t="s">
        <v>244</v>
      </c>
      <c r="AP205" s="6" t="s">
        <v>394</v>
      </c>
      <c r="AQ205" s="6" t="s">
        <v>288</v>
      </c>
      <c r="AR205" s="6" t="s">
        <v>185</v>
      </c>
      <c r="AS205" s="6" t="s">
        <v>244</v>
      </c>
      <c r="AT205" s="6" t="s">
        <v>244</v>
      </c>
      <c r="AU205" s="6" t="s">
        <v>288</v>
      </c>
      <c r="AV205" s="6" t="s">
        <v>339</v>
      </c>
      <c r="AW205" s="6" t="s">
        <v>341</v>
      </c>
      <c r="AX205" s="6" t="s">
        <v>247</v>
      </c>
    </row>
    <row r="206" spans="1:50">
      <c r="A206" s="6">
        <v>658</v>
      </c>
      <c r="B206" s="5" t="s">
        <v>3212</v>
      </c>
      <c r="C206" s="6">
        <v>9</v>
      </c>
      <c r="D206" s="6" t="s">
        <v>98</v>
      </c>
      <c r="E206" s="6">
        <v>367</v>
      </c>
      <c r="F206" s="6" t="s">
        <v>1622</v>
      </c>
      <c r="G206" s="6">
        <v>42020.675775462965</v>
      </c>
      <c r="H206" s="6">
        <v>42046.981770833336</v>
      </c>
      <c r="I206" s="6">
        <v>42020.675775462965</v>
      </c>
      <c r="J206" s="6" t="s">
        <v>103</v>
      </c>
      <c r="K206" s="6" t="s">
        <v>105</v>
      </c>
      <c r="L206" s="6" t="s">
        <v>1623</v>
      </c>
      <c r="O206" s="6" t="s">
        <v>1356</v>
      </c>
      <c r="P206" s="6" t="s">
        <v>215</v>
      </c>
      <c r="Q206" s="6">
        <v>716</v>
      </c>
      <c r="R206" s="6" t="s">
        <v>317</v>
      </c>
      <c r="S206" s="7">
        <v>716</v>
      </c>
      <c r="T206" s="7" t="s">
        <v>51</v>
      </c>
      <c r="U206" s="6" t="s">
        <v>316</v>
      </c>
      <c r="V206" s="6" t="s">
        <v>158</v>
      </c>
      <c r="W206" s="6" t="s">
        <v>160</v>
      </c>
      <c r="X206" s="6" t="s">
        <v>1623</v>
      </c>
      <c r="Y206" s="8" t="s">
        <v>3213</v>
      </c>
      <c r="AA206" s="8" t="s">
        <v>3214</v>
      </c>
      <c r="AB206" s="6">
        <v>41920</v>
      </c>
      <c r="AF206" s="6" t="s">
        <v>178</v>
      </c>
      <c r="AG206" s="6" t="s">
        <v>180</v>
      </c>
      <c r="AH206" s="6" t="s">
        <v>187</v>
      </c>
      <c r="AI206" s="6" t="s">
        <v>182</v>
      </c>
      <c r="AJ206" s="6" t="s">
        <v>393</v>
      </c>
      <c r="AK206" s="6" t="s">
        <v>244</v>
      </c>
      <c r="AL206" s="6" t="s">
        <v>178</v>
      </c>
      <c r="AM206" s="6" t="s">
        <v>244</v>
      </c>
      <c r="AN206" s="6" t="s">
        <v>187</v>
      </c>
      <c r="AO206" s="6" t="s">
        <v>244</v>
      </c>
      <c r="AP206" s="6" t="s">
        <v>394</v>
      </c>
      <c r="AQ206" s="6" t="s">
        <v>244</v>
      </c>
      <c r="AR206" s="6" t="s">
        <v>244</v>
      </c>
      <c r="AS206" s="6" t="s">
        <v>379</v>
      </c>
      <c r="AT206" s="6" t="s">
        <v>379</v>
      </c>
      <c r="AU206" s="6" t="s">
        <v>244</v>
      </c>
      <c r="AV206" s="6" t="s">
        <v>244</v>
      </c>
      <c r="AW206" s="6" t="s">
        <v>244</v>
      </c>
      <c r="AX206" s="6" t="s">
        <v>247</v>
      </c>
    </row>
    <row r="207" spans="1:50">
      <c r="A207" s="6">
        <v>659</v>
      </c>
      <c r="B207" s="5" t="s">
        <v>3215</v>
      </c>
      <c r="C207" s="6">
        <v>14</v>
      </c>
      <c r="D207" s="6" t="s">
        <v>98</v>
      </c>
      <c r="E207" s="6">
        <v>368</v>
      </c>
      <c r="F207" s="6" t="s">
        <v>1624</v>
      </c>
      <c r="G207" s="6">
        <v>42020.668055555558</v>
      </c>
      <c r="H207" s="6">
        <v>42046.981770833336</v>
      </c>
      <c r="I207" s="6">
        <v>42020.668055555558</v>
      </c>
      <c r="J207" s="6" t="s">
        <v>103</v>
      </c>
      <c r="K207" s="6" t="s">
        <v>105</v>
      </c>
      <c r="L207" s="6" t="s">
        <v>1625</v>
      </c>
      <c r="N207" s="6" t="s">
        <v>1626</v>
      </c>
      <c r="O207" s="6" t="s">
        <v>1627</v>
      </c>
      <c r="P207" s="6" t="s">
        <v>215</v>
      </c>
      <c r="Q207" s="6">
        <v>716</v>
      </c>
      <c r="R207" s="6" t="s">
        <v>317</v>
      </c>
      <c r="S207" s="7">
        <v>716</v>
      </c>
      <c r="T207" s="7" t="s">
        <v>51</v>
      </c>
      <c r="U207" s="6" t="s">
        <v>316</v>
      </c>
      <c r="V207" s="6" t="s">
        <v>158</v>
      </c>
      <c r="W207" s="6" t="s">
        <v>160</v>
      </c>
      <c r="X207" s="6" t="s">
        <v>1625</v>
      </c>
      <c r="Y207" s="8" t="s">
        <v>3216</v>
      </c>
      <c r="AA207" s="8" t="s">
        <v>3217</v>
      </c>
      <c r="AB207" s="6">
        <v>41640</v>
      </c>
      <c r="AE207" s="6" t="s">
        <v>244</v>
      </c>
      <c r="AF207" s="6" t="s">
        <v>178</v>
      </c>
      <c r="AG207" s="6" t="s">
        <v>180</v>
      </c>
      <c r="AH207" s="6" t="s">
        <v>392</v>
      </c>
      <c r="AI207" s="6" t="s">
        <v>182</v>
      </c>
      <c r="AJ207" s="6" t="s">
        <v>393</v>
      </c>
      <c r="AK207" s="6" t="s">
        <v>189</v>
      </c>
      <c r="AL207" s="6" t="s">
        <v>479</v>
      </c>
      <c r="AM207" s="6" t="s">
        <v>189</v>
      </c>
      <c r="AN207" s="6" t="s">
        <v>247</v>
      </c>
      <c r="AO207" s="6" t="s">
        <v>244</v>
      </c>
      <c r="AP207" s="6" t="s">
        <v>648</v>
      </c>
      <c r="AQ207" s="6" t="s">
        <v>244</v>
      </c>
      <c r="AR207" s="6" t="s">
        <v>189</v>
      </c>
      <c r="AS207" s="6" t="s">
        <v>244</v>
      </c>
      <c r="AT207" s="6" t="s">
        <v>244</v>
      </c>
      <c r="AU207" s="6" t="s">
        <v>244</v>
      </c>
      <c r="AV207" s="6" t="s">
        <v>244</v>
      </c>
      <c r="AW207" s="6" t="s">
        <v>244</v>
      </c>
      <c r="AX207" s="6" t="s">
        <v>247</v>
      </c>
    </row>
    <row r="208" spans="1:50">
      <c r="A208" s="6">
        <v>288</v>
      </c>
      <c r="B208" s="5" t="s">
        <v>3218</v>
      </c>
      <c r="C208" s="6">
        <v>4</v>
      </c>
      <c r="D208" s="6" t="s">
        <v>98</v>
      </c>
      <c r="E208" s="6">
        <v>1</v>
      </c>
      <c r="F208" s="6" t="s">
        <v>1628</v>
      </c>
      <c r="G208" s="6">
        <v>41988.923657407409</v>
      </c>
      <c r="H208" s="6">
        <v>42026.540960648148</v>
      </c>
      <c r="I208" s="6">
        <v>41988.923657407409</v>
      </c>
      <c r="J208" s="6" t="s">
        <v>103</v>
      </c>
      <c r="K208" s="6" t="s">
        <v>105</v>
      </c>
      <c r="L208" s="6" t="s">
        <v>1629</v>
      </c>
      <c r="M208" s="6" t="s">
        <v>374</v>
      </c>
      <c r="N208" s="6" t="s">
        <v>1630</v>
      </c>
      <c r="P208" s="6" t="s">
        <v>215</v>
      </c>
      <c r="Q208" s="6">
        <v>724</v>
      </c>
      <c r="R208" s="6" t="s">
        <v>319</v>
      </c>
      <c r="S208" s="7">
        <v>724</v>
      </c>
      <c r="T208" s="7" t="s">
        <v>123</v>
      </c>
      <c r="U208" s="6" t="s">
        <v>76</v>
      </c>
      <c r="V208" s="6" t="s">
        <v>158</v>
      </c>
      <c r="W208" s="6" t="s">
        <v>160</v>
      </c>
      <c r="X208" s="6" t="s">
        <v>1629</v>
      </c>
      <c r="Y208" s="8" t="s">
        <v>3219</v>
      </c>
      <c r="Z208" s="8" t="s">
        <v>3220</v>
      </c>
      <c r="AA208" s="8" t="s">
        <v>3221</v>
      </c>
      <c r="AB208" s="6">
        <v>41429</v>
      </c>
      <c r="AE208" s="6" t="s">
        <v>177</v>
      </c>
      <c r="AF208" s="6" t="s">
        <v>178</v>
      </c>
      <c r="AG208" s="6" t="s">
        <v>180</v>
      </c>
      <c r="AH208" s="6" t="s">
        <v>244</v>
      </c>
      <c r="AI208" s="6" t="s">
        <v>182</v>
      </c>
      <c r="AJ208" s="6" t="s">
        <v>244</v>
      </c>
      <c r="AK208" s="6" t="s">
        <v>185</v>
      </c>
      <c r="AL208" s="6" t="s">
        <v>479</v>
      </c>
      <c r="AM208" s="6" t="s">
        <v>244</v>
      </c>
      <c r="AN208" s="6" t="s">
        <v>247</v>
      </c>
      <c r="AO208" s="6" t="s">
        <v>244</v>
      </c>
      <c r="AP208" s="6" t="s">
        <v>394</v>
      </c>
      <c r="AQ208" s="6" t="s">
        <v>288</v>
      </c>
      <c r="AR208" s="6" t="s">
        <v>288</v>
      </c>
      <c r="AS208" s="6" t="s">
        <v>244</v>
      </c>
      <c r="AT208" s="6" t="s">
        <v>244</v>
      </c>
      <c r="AU208" s="6" t="s">
        <v>288</v>
      </c>
      <c r="AV208" s="6" t="s">
        <v>371</v>
      </c>
      <c r="AW208" s="6" t="s">
        <v>244</v>
      </c>
      <c r="AX208" s="6" t="s">
        <v>247</v>
      </c>
    </row>
    <row r="209" spans="1:50">
      <c r="A209" s="6">
        <v>290</v>
      </c>
      <c r="B209" s="5" t="s">
        <v>3222</v>
      </c>
      <c r="C209" s="6">
        <v>4</v>
      </c>
      <c r="D209" s="6" t="s">
        <v>98</v>
      </c>
      <c r="E209" s="6">
        <v>1</v>
      </c>
      <c r="F209" s="6" t="s">
        <v>1635</v>
      </c>
      <c r="G209" s="6">
        <v>41988.923657407409</v>
      </c>
      <c r="H209" s="6">
        <v>42029.781643518516</v>
      </c>
      <c r="I209" s="6">
        <v>41988.923657407409</v>
      </c>
      <c r="J209" s="6" t="s">
        <v>103</v>
      </c>
      <c r="K209" s="6" t="s">
        <v>105</v>
      </c>
      <c r="L209" s="6" t="s">
        <v>1636</v>
      </c>
      <c r="M209" s="6" t="s">
        <v>374</v>
      </c>
      <c r="O209" s="8" t="s">
        <v>3223</v>
      </c>
      <c r="P209" s="6" t="s">
        <v>215</v>
      </c>
      <c r="Q209" s="6">
        <v>724</v>
      </c>
      <c r="R209" s="6" t="s">
        <v>319</v>
      </c>
      <c r="S209" s="7">
        <v>724</v>
      </c>
      <c r="T209" s="7" t="s">
        <v>123</v>
      </c>
      <c r="U209" s="6" t="s">
        <v>76</v>
      </c>
      <c r="V209" s="6" t="s">
        <v>158</v>
      </c>
      <c r="W209" s="6" t="s">
        <v>376</v>
      </c>
      <c r="X209" s="6" t="s">
        <v>1636</v>
      </c>
      <c r="Y209" s="8" t="s">
        <v>3224</v>
      </c>
      <c r="Z209" s="8" t="s">
        <v>3225</v>
      </c>
      <c r="AA209" s="6" t="s">
        <v>1637</v>
      </c>
      <c r="AB209" s="6">
        <v>39863</v>
      </c>
      <c r="AE209" s="6" t="s">
        <v>244</v>
      </c>
      <c r="AF209" s="6" t="s">
        <v>178</v>
      </c>
      <c r="AG209" s="6" t="s">
        <v>180</v>
      </c>
      <c r="AH209" s="6" t="s">
        <v>244</v>
      </c>
      <c r="AI209" s="6" t="s">
        <v>182</v>
      </c>
      <c r="AJ209" s="6" t="s">
        <v>244</v>
      </c>
      <c r="AK209" s="6" t="s">
        <v>189</v>
      </c>
      <c r="AL209" s="6" t="s">
        <v>178</v>
      </c>
      <c r="AM209" s="6" t="s">
        <v>189</v>
      </c>
      <c r="AN209" s="6" t="s">
        <v>247</v>
      </c>
      <c r="AO209" s="6" t="s">
        <v>244</v>
      </c>
      <c r="AP209" s="6" t="s">
        <v>247</v>
      </c>
      <c r="AQ209" s="6" t="s">
        <v>288</v>
      </c>
      <c r="AR209" s="6" t="s">
        <v>288</v>
      </c>
      <c r="AS209" s="6" t="s">
        <v>244</v>
      </c>
      <c r="AT209" s="6" t="s">
        <v>244</v>
      </c>
      <c r="AU209" s="6" t="s">
        <v>288</v>
      </c>
      <c r="AV209" s="6" t="s">
        <v>195</v>
      </c>
      <c r="AW209" s="6" t="s">
        <v>244</v>
      </c>
      <c r="AX209" s="6" t="s">
        <v>247</v>
      </c>
    </row>
    <row r="210" spans="1:50">
      <c r="A210" s="6">
        <v>291</v>
      </c>
      <c r="B210" s="5" t="s">
        <v>3226</v>
      </c>
      <c r="C210" s="6">
        <v>3</v>
      </c>
      <c r="D210" s="6" t="s">
        <v>98</v>
      </c>
      <c r="E210" s="6">
        <v>1</v>
      </c>
      <c r="F210" s="6" t="s">
        <v>1638</v>
      </c>
      <c r="G210" s="6">
        <v>41988.923668981479</v>
      </c>
      <c r="H210" s="6">
        <v>41988.923668981479</v>
      </c>
      <c r="I210" s="6">
        <v>41988.923668981479</v>
      </c>
      <c r="J210" s="6" t="s">
        <v>103</v>
      </c>
      <c r="K210" s="6" t="s">
        <v>105</v>
      </c>
      <c r="L210" s="6" t="s">
        <v>1639</v>
      </c>
      <c r="M210" s="6" t="s">
        <v>637</v>
      </c>
      <c r="N210" s="6" t="s">
        <v>1640</v>
      </c>
      <c r="O210" s="6" t="s">
        <v>1641</v>
      </c>
      <c r="P210" s="6" t="s">
        <v>215</v>
      </c>
      <c r="Q210" s="6">
        <v>724</v>
      </c>
      <c r="R210" s="6" t="s">
        <v>319</v>
      </c>
      <c r="S210" s="7">
        <v>724</v>
      </c>
      <c r="T210" s="7" t="s">
        <v>123</v>
      </c>
      <c r="U210" s="6" t="s">
        <v>76</v>
      </c>
      <c r="V210" s="6" t="s">
        <v>158</v>
      </c>
      <c r="W210" s="6" t="s">
        <v>376</v>
      </c>
      <c r="X210" s="6" t="s">
        <v>1639</v>
      </c>
      <c r="Y210" s="8" t="s">
        <v>3227</v>
      </c>
      <c r="Z210" s="8" t="s">
        <v>3227</v>
      </c>
      <c r="AA210" s="8" t="s">
        <v>2714</v>
      </c>
      <c r="AD210" s="6">
        <v>40674</v>
      </c>
      <c r="AE210" s="6" t="s">
        <v>371</v>
      </c>
      <c r="AF210" s="6" t="s">
        <v>178</v>
      </c>
      <c r="AG210" s="6" t="s">
        <v>463</v>
      </c>
      <c r="AH210" s="6" t="s">
        <v>244</v>
      </c>
      <c r="AI210" s="6" t="s">
        <v>182</v>
      </c>
      <c r="AJ210" s="6" t="s">
        <v>244</v>
      </c>
      <c r="AK210" s="6" t="s">
        <v>244</v>
      </c>
      <c r="AL210" s="6" t="s">
        <v>178</v>
      </c>
      <c r="AM210" s="6" t="s">
        <v>244</v>
      </c>
      <c r="AN210" s="6" t="s">
        <v>247</v>
      </c>
      <c r="AO210" s="6" t="s">
        <v>244</v>
      </c>
      <c r="AP210" s="6" t="s">
        <v>394</v>
      </c>
      <c r="AQ210" s="6" t="s">
        <v>288</v>
      </c>
      <c r="AR210" s="6" t="s">
        <v>288</v>
      </c>
      <c r="AS210" s="6" t="s">
        <v>785</v>
      </c>
      <c r="AT210" s="6" t="s">
        <v>785</v>
      </c>
      <c r="AU210" s="6" t="s">
        <v>244</v>
      </c>
      <c r="AV210" s="6" t="s">
        <v>195</v>
      </c>
      <c r="AW210" s="6" t="s">
        <v>244</v>
      </c>
      <c r="AX210" s="6" t="s">
        <v>247</v>
      </c>
    </row>
    <row r="211" spans="1:50">
      <c r="A211" s="6">
        <v>293</v>
      </c>
      <c r="B211" s="5" t="s">
        <v>3228</v>
      </c>
      <c r="C211" s="6">
        <v>5</v>
      </c>
      <c r="D211" s="6" t="s">
        <v>98</v>
      </c>
      <c r="E211" s="6">
        <v>1</v>
      </c>
      <c r="F211" s="6" t="s">
        <v>1642</v>
      </c>
      <c r="G211" s="6">
        <v>41988.923668981479</v>
      </c>
      <c r="H211" s="6">
        <v>41988.923668981479</v>
      </c>
      <c r="I211" s="6">
        <v>41988.923668981479</v>
      </c>
      <c r="J211" s="6" t="s">
        <v>103</v>
      </c>
      <c r="K211" s="6" t="s">
        <v>105</v>
      </c>
      <c r="L211" s="6" t="s">
        <v>1643</v>
      </c>
      <c r="M211" s="6" t="s">
        <v>352</v>
      </c>
      <c r="N211" s="6" t="s">
        <v>1644</v>
      </c>
      <c r="O211" s="6" t="s">
        <v>1645</v>
      </c>
      <c r="P211" s="6" t="s">
        <v>215</v>
      </c>
      <c r="Q211" s="6">
        <v>724</v>
      </c>
      <c r="R211" s="6" t="s">
        <v>319</v>
      </c>
      <c r="S211" s="7">
        <v>724</v>
      </c>
      <c r="T211" s="7" t="s">
        <v>123</v>
      </c>
      <c r="U211" s="6" t="s">
        <v>76</v>
      </c>
      <c r="V211" s="6" t="s">
        <v>158</v>
      </c>
      <c r="W211" s="6" t="s">
        <v>160</v>
      </c>
      <c r="X211" s="6" t="s">
        <v>1643</v>
      </c>
      <c r="Y211" s="8" t="s">
        <v>3229</v>
      </c>
      <c r="Z211" s="8" t="s">
        <v>3230</v>
      </c>
      <c r="AA211" s="8" t="s">
        <v>3231</v>
      </c>
      <c r="AB211" s="6">
        <v>41312</v>
      </c>
      <c r="AC211" s="6">
        <v>41312</v>
      </c>
      <c r="AD211" s="6">
        <v>41606</v>
      </c>
      <c r="AE211" s="6" t="s">
        <v>478</v>
      </c>
      <c r="AF211" s="6" t="s">
        <v>178</v>
      </c>
      <c r="AG211" s="6" t="s">
        <v>180</v>
      </c>
      <c r="AH211" s="6" t="s">
        <v>392</v>
      </c>
      <c r="AI211" s="6" t="s">
        <v>385</v>
      </c>
      <c r="AJ211" s="6" t="s">
        <v>244</v>
      </c>
      <c r="AK211" s="6" t="s">
        <v>189</v>
      </c>
      <c r="AL211" s="6" t="s">
        <v>178</v>
      </c>
      <c r="AM211" s="6" t="s">
        <v>189</v>
      </c>
      <c r="AN211" s="6" t="s">
        <v>392</v>
      </c>
      <c r="AO211" s="6" t="s">
        <v>185</v>
      </c>
      <c r="AP211" s="6" t="s">
        <v>648</v>
      </c>
      <c r="AQ211" s="6" t="s">
        <v>189</v>
      </c>
      <c r="AR211" s="6" t="s">
        <v>288</v>
      </c>
      <c r="AS211" s="6" t="s">
        <v>379</v>
      </c>
      <c r="AT211" s="6" t="s">
        <v>395</v>
      </c>
      <c r="AU211" s="6" t="s">
        <v>288</v>
      </c>
      <c r="AV211" s="6" t="s">
        <v>630</v>
      </c>
      <c r="AW211" s="6" t="s">
        <v>244</v>
      </c>
      <c r="AX211" s="6" t="s">
        <v>247</v>
      </c>
    </row>
    <row r="212" spans="1:50">
      <c r="A212" s="6">
        <v>673</v>
      </c>
      <c r="B212" s="5" t="s">
        <v>3232</v>
      </c>
      <c r="C212" s="6">
        <v>8</v>
      </c>
      <c r="D212" s="6" t="s">
        <v>98</v>
      </c>
      <c r="E212" s="6">
        <v>381</v>
      </c>
      <c r="F212" s="6" t="s">
        <v>1646</v>
      </c>
      <c r="G212" s="6">
        <v>42055.574467592596</v>
      </c>
      <c r="H212" s="6">
        <v>42055.574467592596</v>
      </c>
      <c r="I212" s="6">
        <v>42055.574467592596</v>
      </c>
      <c r="J212" s="6" t="s">
        <v>103</v>
      </c>
      <c r="K212" s="6" t="s">
        <v>105</v>
      </c>
      <c r="L212" s="6" t="s">
        <v>1647</v>
      </c>
      <c r="Q212" s="6">
        <v>724</v>
      </c>
      <c r="R212" s="6" t="s">
        <v>319</v>
      </c>
      <c r="S212" s="7">
        <v>724</v>
      </c>
      <c r="T212" s="7" t="s">
        <v>123</v>
      </c>
      <c r="U212" s="6" t="s">
        <v>76</v>
      </c>
      <c r="V212" s="6" t="s">
        <v>158</v>
      </c>
      <c r="W212" s="6" t="s">
        <v>160</v>
      </c>
      <c r="X212" s="6" t="s">
        <v>1647</v>
      </c>
      <c r="Y212" s="8" t="s">
        <v>3233</v>
      </c>
      <c r="Z212" s="8" t="s">
        <v>3234</v>
      </c>
      <c r="AA212" s="8" t="s">
        <v>3235</v>
      </c>
      <c r="AB212" s="6">
        <v>41786</v>
      </c>
      <c r="AC212" s="6">
        <v>41786</v>
      </c>
      <c r="AE212" s="6" t="s">
        <v>177</v>
      </c>
      <c r="AF212" s="6" t="s">
        <v>178</v>
      </c>
      <c r="AG212" s="6" t="s">
        <v>180</v>
      </c>
      <c r="AH212" s="6" t="s">
        <v>181</v>
      </c>
      <c r="AI212" s="6" t="s">
        <v>182</v>
      </c>
      <c r="AJ212" s="6" t="s">
        <v>371</v>
      </c>
      <c r="AK212" s="6" t="s">
        <v>244</v>
      </c>
      <c r="AL212" s="6" t="s">
        <v>479</v>
      </c>
      <c r="AM212" s="6" t="s">
        <v>244</v>
      </c>
      <c r="AN212" s="6" t="s">
        <v>181</v>
      </c>
      <c r="AO212" s="6" t="s">
        <v>185</v>
      </c>
      <c r="AP212" s="6" t="s">
        <v>247</v>
      </c>
      <c r="AQ212" s="6" t="s">
        <v>244</v>
      </c>
      <c r="AR212" s="6" t="s">
        <v>244</v>
      </c>
      <c r="AS212" s="6" t="s">
        <v>244</v>
      </c>
      <c r="AT212" s="6" t="s">
        <v>244</v>
      </c>
      <c r="AU212" s="6" t="s">
        <v>244</v>
      </c>
      <c r="AV212" s="6" t="s">
        <v>244</v>
      </c>
      <c r="AW212" s="6" t="s">
        <v>244</v>
      </c>
      <c r="AX212" s="6" t="s">
        <v>247</v>
      </c>
    </row>
    <row r="213" spans="1:50">
      <c r="A213" s="6">
        <v>300</v>
      </c>
      <c r="B213" s="5" t="s">
        <v>3236</v>
      </c>
      <c r="C213" s="6">
        <v>3</v>
      </c>
      <c r="D213" s="6" t="s">
        <v>98</v>
      </c>
      <c r="E213" s="6">
        <v>1</v>
      </c>
      <c r="F213" s="6" t="s">
        <v>1654</v>
      </c>
      <c r="G213" s="6">
        <v>41988.923680555556</v>
      </c>
      <c r="H213" s="6">
        <v>41988.923680555556</v>
      </c>
      <c r="I213" s="6">
        <v>41988.923680555556</v>
      </c>
      <c r="J213" s="6" t="s">
        <v>103</v>
      </c>
      <c r="K213" s="6" t="s">
        <v>105</v>
      </c>
      <c r="L213" s="6" t="s">
        <v>1655</v>
      </c>
      <c r="M213" s="6" t="s">
        <v>532</v>
      </c>
      <c r="N213" s="6" t="s">
        <v>1656</v>
      </c>
      <c r="P213" s="6" t="s">
        <v>215</v>
      </c>
      <c r="Q213" s="6">
        <v>724</v>
      </c>
      <c r="R213" s="6" t="s">
        <v>319</v>
      </c>
      <c r="S213" s="7">
        <v>724</v>
      </c>
      <c r="T213" s="7" t="s">
        <v>123</v>
      </c>
      <c r="U213" s="6" t="s">
        <v>76</v>
      </c>
      <c r="V213" s="6" t="s">
        <v>158</v>
      </c>
      <c r="W213" s="6" t="s">
        <v>160</v>
      </c>
      <c r="X213" s="6" t="s">
        <v>1655</v>
      </c>
      <c r="Y213" s="8" t="s">
        <v>3237</v>
      </c>
      <c r="Z213" s="8" t="s">
        <v>2631</v>
      </c>
      <c r="AA213" s="8" t="s">
        <v>3238</v>
      </c>
      <c r="AF213" s="6" t="s">
        <v>178</v>
      </c>
      <c r="AG213" s="6" t="s">
        <v>180</v>
      </c>
      <c r="AH213" s="6" t="s">
        <v>244</v>
      </c>
      <c r="AI213" s="6" t="s">
        <v>182</v>
      </c>
      <c r="AJ213" s="6" t="s">
        <v>393</v>
      </c>
      <c r="AK213" s="6" t="s">
        <v>244</v>
      </c>
      <c r="AL213" s="6" t="s">
        <v>479</v>
      </c>
      <c r="AM213" s="6" t="s">
        <v>189</v>
      </c>
      <c r="AN213" s="6" t="s">
        <v>187</v>
      </c>
      <c r="AO213" s="6" t="s">
        <v>185</v>
      </c>
      <c r="AP213" s="6" t="s">
        <v>394</v>
      </c>
      <c r="AQ213" s="6" t="s">
        <v>288</v>
      </c>
      <c r="AR213" s="6" t="s">
        <v>189</v>
      </c>
      <c r="AS213" s="6" t="s">
        <v>379</v>
      </c>
      <c r="AT213" s="6" t="s">
        <v>379</v>
      </c>
      <c r="AU213" s="6" t="s">
        <v>288</v>
      </c>
      <c r="AV213" s="6" t="s">
        <v>195</v>
      </c>
      <c r="AW213" s="6" t="s">
        <v>341</v>
      </c>
      <c r="AX213" s="6" t="s">
        <v>247</v>
      </c>
    </row>
    <row r="214" spans="1:50">
      <c r="A214" s="6">
        <v>686</v>
      </c>
      <c r="B214" s="5" t="s">
        <v>3239</v>
      </c>
      <c r="C214" s="6">
        <v>7</v>
      </c>
      <c r="D214" s="6" t="s">
        <v>98</v>
      </c>
      <c r="E214" s="6">
        <v>425</v>
      </c>
      <c r="F214" s="6" t="s">
        <v>1663</v>
      </c>
      <c r="G214" s="6">
        <v>42076.568298611113</v>
      </c>
      <c r="H214" s="6">
        <v>42088.341851851852</v>
      </c>
      <c r="I214" s="6">
        <v>42076.568298611113</v>
      </c>
      <c r="J214" s="6" t="s">
        <v>103</v>
      </c>
      <c r="K214" s="6" t="s">
        <v>105</v>
      </c>
      <c r="L214" s="6" t="s">
        <v>1664</v>
      </c>
      <c r="P214" s="6" t="s">
        <v>1664</v>
      </c>
      <c r="Q214" s="6">
        <v>724</v>
      </c>
      <c r="R214" s="6" t="s">
        <v>319</v>
      </c>
      <c r="S214" s="7">
        <v>724</v>
      </c>
      <c r="T214" s="7" t="s">
        <v>123</v>
      </c>
      <c r="U214" s="6" t="s">
        <v>76</v>
      </c>
      <c r="V214" s="6" t="s">
        <v>158</v>
      </c>
      <c r="W214" s="6" t="s">
        <v>160</v>
      </c>
      <c r="X214" s="6" t="s">
        <v>1664</v>
      </c>
      <c r="Y214" s="8" t="s">
        <v>3240</v>
      </c>
      <c r="Z214" s="8" t="s">
        <v>3241</v>
      </c>
      <c r="AA214" s="8" t="s">
        <v>3242</v>
      </c>
      <c r="AB214" s="6">
        <v>42062</v>
      </c>
      <c r="AC214" s="6">
        <v>42062</v>
      </c>
      <c r="AE214" s="6" t="s">
        <v>177</v>
      </c>
      <c r="AF214" s="6" t="s">
        <v>178</v>
      </c>
      <c r="AG214" s="6" t="s">
        <v>180</v>
      </c>
      <c r="AH214" s="6" t="s">
        <v>181</v>
      </c>
      <c r="AI214" s="6" t="s">
        <v>385</v>
      </c>
      <c r="AJ214" s="6" t="s">
        <v>244</v>
      </c>
      <c r="AK214" s="6" t="s">
        <v>288</v>
      </c>
      <c r="AL214" s="6" t="s">
        <v>479</v>
      </c>
      <c r="AM214" s="6" t="s">
        <v>288</v>
      </c>
      <c r="AN214" s="6" t="s">
        <v>247</v>
      </c>
      <c r="AO214" s="6" t="s">
        <v>244</v>
      </c>
      <c r="AP214" s="6" t="s">
        <v>394</v>
      </c>
      <c r="AQ214" s="6" t="s">
        <v>244</v>
      </c>
      <c r="AR214" s="6" t="s">
        <v>244</v>
      </c>
      <c r="AS214" s="6" t="s">
        <v>395</v>
      </c>
      <c r="AT214" s="6" t="s">
        <v>395</v>
      </c>
      <c r="AU214" s="6" t="s">
        <v>244</v>
      </c>
      <c r="AV214" s="6" t="s">
        <v>520</v>
      </c>
      <c r="AW214" s="6" t="s">
        <v>244</v>
      </c>
      <c r="AX214" s="6" t="s">
        <v>247</v>
      </c>
    </row>
    <row r="215" spans="1:50">
      <c r="A215" s="6">
        <v>296</v>
      </c>
      <c r="B215" s="5" t="s">
        <v>3243</v>
      </c>
      <c r="C215" s="6">
        <v>3</v>
      </c>
      <c r="D215" s="6" t="s">
        <v>98</v>
      </c>
      <c r="E215" s="6">
        <v>1</v>
      </c>
      <c r="F215" s="6" t="s">
        <v>1665</v>
      </c>
      <c r="G215" s="6">
        <v>41988.923680555556</v>
      </c>
      <c r="H215" s="6">
        <v>41988.923680555556</v>
      </c>
      <c r="I215" s="6">
        <v>41988.923680555556</v>
      </c>
      <c r="J215" s="6" t="s">
        <v>103</v>
      </c>
      <c r="K215" s="6" t="s">
        <v>105</v>
      </c>
      <c r="L215" s="6" t="s">
        <v>1666</v>
      </c>
      <c r="M215" s="6" t="s">
        <v>374</v>
      </c>
      <c r="P215" s="6" t="s">
        <v>595</v>
      </c>
      <c r="Q215" s="6">
        <v>724</v>
      </c>
      <c r="R215" s="6" t="s">
        <v>319</v>
      </c>
      <c r="S215" s="7">
        <v>724</v>
      </c>
      <c r="T215" s="7" t="s">
        <v>123</v>
      </c>
      <c r="U215" s="6" t="s">
        <v>76</v>
      </c>
      <c r="V215" s="6" t="s">
        <v>158</v>
      </c>
      <c r="W215" s="6" t="s">
        <v>160</v>
      </c>
      <c r="X215" s="6" t="s">
        <v>1666</v>
      </c>
      <c r="Y215" s="8" t="s">
        <v>3244</v>
      </c>
      <c r="Z215" s="8" t="s">
        <v>3245</v>
      </c>
      <c r="AA215" s="8" t="s">
        <v>3246</v>
      </c>
      <c r="AC215" s="6">
        <v>40738</v>
      </c>
      <c r="AE215" s="6" t="s">
        <v>177</v>
      </c>
      <c r="AF215" s="6" t="s">
        <v>178</v>
      </c>
      <c r="AG215" s="6" t="s">
        <v>180</v>
      </c>
      <c r="AH215" s="6" t="s">
        <v>244</v>
      </c>
      <c r="AI215" s="6" t="s">
        <v>182</v>
      </c>
      <c r="AJ215" s="6" t="s">
        <v>244</v>
      </c>
      <c r="AK215" s="6" t="s">
        <v>244</v>
      </c>
      <c r="AL215" s="6" t="s">
        <v>479</v>
      </c>
      <c r="AM215" s="6" t="s">
        <v>189</v>
      </c>
      <c r="AN215" s="6" t="s">
        <v>247</v>
      </c>
      <c r="AO215" s="6" t="s">
        <v>185</v>
      </c>
      <c r="AP215" s="6" t="s">
        <v>247</v>
      </c>
      <c r="AQ215" s="6" t="s">
        <v>288</v>
      </c>
      <c r="AR215" s="6" t="s">
        <v>189</v>
      </c>
      <c r="AS215" s="6" t="s">
        <v>244</v>
      </c>
      <c r="AT215" s="6" t="s">
        <v>244</v>
      </c>
      <c r="AU215" s="6" t="s">
        <v>288</v>
      </c>
      <c r="AV215" s="6" t="s">
        <v>244</v>
      </c>
      <c r="AW215" s="6" t="s">
        <v>244</v>
      </c>
      <c r="AX215" s="6" t="s">
        <v>247</v>
      </c>
    </row>
    <row r="216" spans="1:50">
      <c r="A216" s="6">
        <v>301</v>
      </c>
      <c r="B216" s="5" t="s">
        <v>3247</v>
      </c>
      <c r="C216" s="6">
        <v>3</v>
      </c>
      <c r="D216" s="6" t="s">
        <v>98</v>
      </c>
      <c r="E216" s="6">
        <v>1</v>
      </c>
      <c r="F216" s="6" t="s">
        <v>1669</v>
      </c>
      <c r="G216" s="6">
        <v>41988.923692129632</v>
      </c>
      <c r="H216" s="6">
        <v>41988.923692129632</v>
      </c>
      <c r="I216" s="6">
        <v>41988.923692129632</v>
      </c>
      <c r="J216" s="6" t="s">
        <v>103</v>
      </c>
      <c r="K216" s="6" t="s">
        <v>105</v>
      </c>
      <c r="L216" s="6" t="s">
        <v>1670</v>
      </c>
      <c r="M216" s="6" t="s">
        <v>532</v>
      </c>
      <c r="P216" s="6" t="s">
        <v>595</v>
      </c>
      <c r="Q216" s="6">
        <v>724</v>
      </c>
      <c r="R216" s="6" t="s">
        <v>319</v>
      </c>
      <c r="S216" s="7">
        <v>724</v>
      </c>
      <c r="T216" s="7" t="s">
        <v>123</v>
      </c>
      <c r="U216" s="6" t="s">
        <v>76</v>
      </c>
      <c r="V216" s="6" t="s">
        <v>158</v>
      </c>
      <c r="W216" s="6" t="s">
        <v>160</v>
      </c>
      <c r="X216" s="6" t="s">
        <v>1670</v>
      </c>
      <c r="Y216" s="8" t="s">
        <v>3248</v>
      </c>
      <c r="Z216" s="8" t="s">
        <v>3249</v>
      </c>
      <c r="AA216" s="8" t="s">
        <v>3250</v>
      </c>
      <c r="AC216" s="6">
        <v>39995</v>
      </c>
      <c r="AE216" s="6" t="s">
        <v>177</v>
      </c>
      <c r="AF216" s="6" t="s">
        <v>178</v>
      </c>
      <c r="AG216" s="6" t="s">
        <v>180</v>
      </c>
      <c r="AH216" s="6" t="s">
        <v>244</v>
      </c>
      <c r="AI216" s="6" t="s">
        <v>385</v>
      </c>
      <c r="AJ216" s="6" t="s">
        <v>244</v>
      </c>
      <c r="AK216" s="6" t="s">
        <v>244</v>
      </c>
      <c r="AL216" s="6" t="s">
        <v>479</v>
      </c>
      <c r="AM216" s="6" t="s">
        <v>244</v>
      </c>
      <c r="AN216" s="6" t="s">
        <v>247</v>
      </c>
      <c r="AO216" s="6" t="s">
        <v>244</v>
      </c>
      <c r="AP216" s="6" t="s">
        <v>394</v>
      </c>
      <c r="AQ216" s="6" t="s">
        <v>288</v>
      </c>
      <c r="AR216" s="6" t="s">
        <v>288</v>
      </c>
      <c r="AS216" s="6" t="s">
        <v>244</v>
      </c>
      <c r="AT216" s="6" t="s">
        <v>244</v>
      </c>
      <c r="AU216" s="6" t="s">
        <v>288</v>
      </c>
      <c r="AV216" s="6" t="s">
        <v>371</v>
      </c>
      <c r="AW216" s="6" t="s">
        <v>244</v>
      </c>
      <c r="AX216" s="6" t="s">
        <v>247</v>
      </c>
    </row>
    <row r="217" spans="1:50">
      <c r="A217" s="6">
        <v>750</v>
      </c>
      <c r="B217" s="5" t="s">
        <v>3251</v>
      </c>
      <c r="C217" s="6">
        <v>5</v>
      </c>
      <c r="D217" s="6" t="s">
        <v>98</v>
      </c>
      <c r="E217" s="6">
        <v>643</v>
      </c>
      <c r="F217" s="6" t="s">
        <v>1671</v>
      </c>
      <c r="G217" s="6">
        <v>42121.430289351854</v>
      </c>
      <c r="H217" s="6">
        <v>42121.430289351854</v>
      </c>
      <c r="I217" s="6">
        <v>42121.430289351854</v>
      </c>
      <c r="J217" s="6" t="s">
        <v>103</v>
      </c>
      <c r="K217" s="6" t="s">
        <v>105</v>
      </c>
      <c r="L217" s="6" t="s">
        <v>1672</v>
      </c>
      <c r="Q217" s="6">
        <v>724</v>
      </c>
      <c r="R217" s="6" t="s">
        <v>319</v>
      </c>
      <c r="S217" s="7">
        <v>724</v>
      </c>
      <c r="T217" s="7" t="s">
        <v>123</v>
      </c>
      <c r="U217" s="6" t="s">
        <v>76</v>
      </c>
      <c r="V217" s="6" t="s">
        <v>158</v>
      </c>
      <c r="W217" s="6" t="s">
        <v>160</v>
      </c>
      <c r="X217" s="6" t="s">
        <v>1672</v>
      </c>
      <c r="Y217" s="8" t="s">
        <v>3252</v>
      </c>
      <c r="Z217" s="8" t="s">
        <v>3253</v>
      </c>
      <c r="AA217" s="8" t="s">
        <v>3254</v>
      </c>
      <c r="AB217" s="6">
        <v>41838</v>
      </c>
      <c r="AC217" s="6">
        <v>41838</v>
      </c>
      <c r="AE217" s="6" t="s">
        <v>177</v>
      </c>
      <c r="AF217" s="6" t="s">
        <v>178</v>
      </c>
      <c r="AG217" s="6" t="s">
        <v>180</v>
      </c>
      <c r="AH217" s="6" t="s">
        <v>181</v>
      </c>
      <c r="AI217" s="6" t="s">
        <v>182</v>
      </c>
      <c r="AJ217" s="6" t="s">
        <v>244</v>
      </c>
      <c r="AK217" s="6" t="s">
        <v>244</v>
      </c>
      <c r="AL217" s="6" t="s">
        <v>479</v>
      </c>
      <c r="AM217" s="6" t="s">
        <v>244</v>
      </c>
      <c r="AN217" s="6" t="s">
        <v>181</v>
      </c>
      <c r="AO217" s="6" t="s">
        <v>244</v>
      </c>
      <c r="AP217" s="6" t="s">
        <v>394</v>
      </c>
      <c r="AQ217" s="6" t="s">
        <v>244</v>
      </c>
      <c r="AR217" s="6" t="s">
        <v>244</v>
      </c>
      <c r="AS217" s="6" t="s">
        <v>244</v>
      </c>
      <c r="AT217" s="6" t="s">
        <v>244</v>
      </c>
      <c r="AU217" s="6" t="s">
        <v>244</v>
      </c>
      <c r="AV217" s="6" t="s">
        <v>244</v>
      </c>
      <c r="AW217" s="6" t="s">
        <v>244</v>
      </c>
      <c r="AX217" s="6" t="s">
        <v>247</v>
      </c>
    </row>
    <row r="218" spans="1:50">
      <c r="A218" s="6">
        <v>310</v>
      </c>
      <c r="B218" s="5" t="s">
        <v>3255</v>
      </c>
      <c r="C218" s="6">
        <v>3</v>
      </c>
      <c r="D218" s="6" t="s">
        <v>98</v>
      </c>
      <c r="E218" s="6">
        <v>1</v>
      </c>
      <c r="F218" s="6" t="s">
        <v>1673</v>
      </c>
      <c r="G218" s="6">
        <v>41988.923726851855</v>
      </c>
      <c r="H218" s="6">
        <v>41988.923738425925</v>
      </c>
      <c r="I218" s="6">
        <v>41988.923726851855</v>
      </c>
      <c r="J218" s="6" t="s">
        <v>103</v>
      </c>
      <c r="K218" s="6" t="s">
        <v>105</v>
      </c>
      <c r="L218" s="6" t="s">
        <v>1674</v>
      </c>
      <c r="M218" s="6" t="s">
        <v>352</v>
      </c>
      <c r="P218" s="6" t="s">
        <v>595</v>
      </c>
      <c r="Q218" s="6">
        <v>724</v>
      </c>
      <c r="R218" s="6" t="s">
        <v>319</v>
      </c>
      <c r="S218" s="7">
        <v>724</v>
      </c>
      <c r="T218" s="7" t="s">
        <v>123</v>
      </c>
      <c r="U218" s="6" t="s">
        <v>76</v>
      </c>
      <c r="V218" s="6" t="s">
        <v>158</v>
      </c>
      <c r="W218" s="6" t="s">
        <v>160</v>
      </c>
      <c r="X218" s="6" t="s">
        <v>1674</v>
      </c>
      <c r="Y218" s="8" t="s">
        <v>3256</v>
      </c>
      <c r="Z218" s="8" t="s">
        <v>3257</v>
      </c>
      <c r="AA218" s="8" t="s">
        <v>3258</v>
      </c>
      <c r="AB218" s="6">
        <v>41246</v>
      </c>
      <c r="AC218" s="6">
        <v>41262</v>
      </c>
      <c r="AE218" s="6" t="s">
        <v>177</v>
      </c>
      <c r="AF218" s="6" t="s">
        <v>178</v>
      </c>
      <c r="AG218" s="6" t="s">
        <v>180</v>
      </c>
      <c r="AH218" s="6" t="s">
        <v>244</v>
      </c>
      <c r="AI218" s="6" t="s">
        <v>385</v>
      </c>
      <c r="AJ218" s="6" t="s">
        <v>244</v>
      </c>
      <c r="AK218" s="6" t="s">
        <v>244</v>
      </c>
      <c r="AL218" s="6" t="s">
        <v>247</v>
      </c>
      <c r="AM218" s="6" t="s">
        <v>244</v>
      </c>
      <c r="AN218" s="6" t="s">
        <v>247</v>
      </c>
      <c r="AO218" s="6" t="s">
        <v>244</v>
      </c>
      <c r="AP218" s="6" t="s">
        <v>247</v>
      </c>
      <c r="AQ218" s="6" t="s">
        <v>288</v>
      </c>
      <c r="AR218" s="6" t="s">
        <v>288</v>
      </c>
      <c r="AS218" s="6" t="s">
        <v>244</v>
      </c>
      <c r="AT218" s="6" t="s">
        <v>244</v>
      </c>
      <c r="AU218" s="6" t="s">
        <v>288</v>
      </c>
      <c r="AV218" s="6" t="s">
        <v>371</v>
      </c>
      <c r="AW218" s="6" t="s">
        <v>244</v>
      </c>
      <c r="AX218" s="6" t="s">
        <v>247</v>
      </c>
    </row>
    <row r="219" spans="1:50">
      <c r="A219" s="6">
        <v>303</v>
      </c>
      <c r="B219" s="5" t="s">
        <v>3259</v>
      </c>
      <c r="C219" s="6">
        <v>6</v>
      </c>
      <c r="D219" s="6" t="s">
        <v>98</v>
      </c>
      <c r="E219" s="6">
        <v>282</v>
      </c>
      <c r="F219" s="6" t="s">
        <v>1675</v>
      </c>
      <c r="G219" s="6">
        <v>41988.923692129632</v>
      </c>
      <c r="H219" s="6">
        <v>42046.981689814813</v>
      </c>
      <c r="I219" s="6">
        <v>41988.923692129632</v>
      </c>
      <c r="J219" s="6" t="s">
        <v>103</v>
      </c>
      <c r="K219" s="6" t="s">
        <v>105</v>
      </c>
      <c r="L219" s="6" t="s">
        <v>1676</v>
      </c>
      <c r="M219" s="6" t="s">
        <v>374</v>
      </c>
      <c r="O219" s="6" t="s">
        <v>1677</v>
      </c>
      <c r="P219" s="6" t="s">
        <v>215</v>
      </c>
      <c r="Q219" s="6">
        <v>724</v>
      </c>
      <c r="R219" s="6" t="s">
        <v>319</v>
      </c>
      <c r="S219" s="7">
        <v>724</v>
      </c>
      <c r="T219" s="7" t="s">
        <v>123</v>
      </c>
      <c r="U219" s="6" t="s">
        <v>76</v>
      </c>
      <c r="V219" s="6" t="s">
        <v>158</v>
      </c>
      <c r="W219" s="6" t="s">
        <v>160</v>
      </c>
      <c r="X219" s="6" t="s">
        <v>1676</v>
      </c>
      <c r="Y219" s="8" t="s">
        <v>3260</v>
      </c>
      <c r="Z219" s="8" t="s">
        <v>3261</v>
      </c>
      <c r="AA219" s="8" t="s">
        <v>3262</v>
      </c>
      <c r="AB219" s="6">
        <v>41754</v>
      </c>
      <c r="AC219" s="6">
        <v>41754</v>
      </c>
      <c r="AE219" s="6" t="s">
        <v>177</v>
      </c>
      <c r="AF219" s="6" t="s">
        <v>178</v>
      </c>
      <c r="AG219" s="6" t="s">
        <v>180</v>
      </c>
      <c r="AH219" s="6" t="s">
        <v>181</v>
      </c>
      <c r="AI219" s="6" t="s">
        <v>371</v>
      </c>
      <c r="AJ219" s="6" t="s">
        <v>371</v>
      </c>
      <c r="AK219" s="6" t="s">
        <v>189</v>
      </c>
      <c r="AL219" s="6" t="s">
        <v>479</v>
      </c>
      <c r="AM219" s="6" t="s">
        <v>244</v>
      </c>
      <c r="AN219" s="6" t="s">
        <v>181</v>
      </c>
      <c r="AO219" s="6" t="s">
        <v>185</v>
      </c>
      <c r="AP219" s="6" t="s">
        <v>247</v>
      </c>
      <c r="AQ219" s="6" t="s">
        <v>244</v>
      </c>
      <c r="AR219" s="6" t="s">
        <v>244</v>
      </c>
      <c r="AS219" s="6" t="s">
        <v>244</v>
      </c>
      <c r="AT219" s="6" t="s">
        <v>244</v>
      </c>
      <c r="AU219" s="6" t="s">
        <v>244</v>
      </c>
      <c r="AV219" s="6" t="s">
        <v>244</v>
      </c>
      <c r="AW219" s="6" t="s">
        <v>244</v>
      </c>
      <c r="AX219" s="6" t="s">
        <v>247</v>
      </c>
    </row>
    <row r="220" spans="1:50">
      <c r="A220" s="6">
        <v>304</v>
      </c>
      <c r="B220" s="5" t="s">
        <v>3263</v>
      </c>
      <c r="C220" s="6">
        <v>4</v>
      </c>
      <c r="D220" s="6" t="s">
        <v>98</v>
      </c>
      <c r="E220" s="6">
        <v>1</v>
      </c>
      <c r="F220" s="6" t="s">
        <v>1678</v>
      </c>
      <c r="G220" s="6">
        <v>41988.923703703702</v>
      </c>
      <c r="H220" s="6">
        <v>42046.498981481483</v>
      </c>
      <c r="I220" s="6">
        <v>41988.923703703702</v>
      </c>
      <c r="J220" s="6" t="s">
        <v>103</v>
      </c>
      <c r="K220" s="6" t="s">
        <v>105</v>
      </c>
      <c r="L220" s="6" t="s">
        <v>1679</v>
      </c>
      <c r="M220" s="6" t="s">
        <v>374</v>
      </c>
      <c r="P220" s="6" t="s">
        <v>215</v>
      </c>
      <c r="Q220" s="6">
        <v>724</v>
      </c>
      <c r="R220" s="6" t="s">
        <v>319</v>
      </c>
      <c r="S220" s="7">
        <v>724</v>
      </c>
      <c r="T220" s="7" t="s">
        <v>123</v>
      </c>
      <c r="U220" s="6" t="s">
        <v>76</v>
      </c>
      <c r="V220" s="6" t="s">
        <v>158</v>
      </c>
      <c r="W220" s="6" t="s">
        <v>160</v>
      </c>
      <c r="X220" s="6" t="s">
        <v>1679</v>
      </c>
      <c r="Y220" s="8" t="s">
        <v>3264</v>
      </c>
      <c r="Z220" s="8" t="s">
        <v>3265</v>
      </c>
      <c r="AA220" s="8" t="s">
        <v>3266</v>
      </c>
      <c r="AD220" s="6">
        <v>40457</v>
      </c>
      <c r="AE220" s="6" t="s">
        <v>177</v>
      </c>
      <c r="AF220" s="6" t="s">
        <v>178</v>
      </c>
      <c r="AG220" s="6" t="s">
        <v>180</v>
      </c>
      <c r="AH220" s="6" t="s">
        <v>377</v>
      </c>
      <c r="AI220" s="6" t="s">
        <v>182</v>
      </c>
      <c r="AJ220" s="6" t="s">
        <v>393</v>
      </c>
      <c r="AK220" s="6" t="s">
        <v>288</v>
      </c>
      <c r="AL220" s="6" t="s">
        <v>479</v>
      </c>
      <c r="AM220" s="6" t="s">
        <v>185</v>
      </c>
      <c r="AN220" s="6" t="s">
        <v>247</v>
      </c>
      <c r="AO220" s="6" t="s">
        <v>244</v>
      </c>
      <c r="AP220" s="6" t="s">
        <v>247</v>
      </c>
      <c r="AQ220" s="6" t="s">
        <v>288</v>
      </c>
      <c r="AR220" s="6" t="s">
        <v>288</v>
      </c>
      <c r="AS220" s="6" t="s">
        <v>395</v>
      </c>
      <c r="AT220" s="6" t="s">
        <v>395</v>
      </c>
      <c r="AU220" s="6" t="s">
        <v>288</v>
      </c>
      <c r="AV220" s="6" t="s">
        <v>371</v>
      </c>
      <c r="AW220" s="6" t="s">
        <v>244</v>
      </c>
      <c r="AX220" s="6" t="s">
        <v>247</v>
      </c>
    </row>
    <row r="221" spans="1:50">
      <c r="A221" s="6">
        <v>308</v>
      </c>
      <c r="B221" s="5" t="s">
        <v>3267</v>
      </c>
      <c r="C221" s="6">
        <v>4</v>
      </c>
      <c r="D221" s="6" t="s">
        <v>98</v>
      </c>
      <c r="E221" s="6">
        <v>285</v>
      </c>
      <c r="F221" s="6" t="s">
        <v>1686</v>
      </c>
      <c r="G221" s="6">
        <v>41988.923726851855</v>
      </c>
      <c r="H221" s="6">
        <v>42046.98170138889</v>
      </c>
      <c r="I221" s="6">
        <v>41988.923726851855</v>
      </c>
      <c r="J221" s="6" t="s">
        <v>103</v>
      </c>
      <c r="K221" s="6" t="s">
        <v>105</v>
      </c>
      <c r="L221" s="6" t="s">
        <v>1687</v>
      </c>
      <c r="M221" s="6" t="s">
        <v>374</v>
      </c>
      <c r="P221" s="6" t="s">
        <v>215</v>
      </c>
      <c r="Q221" s="6">
        <v>724</v>
      </c>
      <c r="R221" s="6" t="s">
        <v>319</v>
      </c>
      <c r="S221" s="7">
        <v>724</v>
      </c>
      <c r="T221" s="7" t="s">
        <v>123</v>
      </c>
      <c r="U221" s="6" t="s">
        <v>76</v>
      </c>
      <c r="V221" s="6" t="s">
        <v>158</v>
      </c>
      <c r="W221" s="6" t="s">
        <v>160</v>
      </c>
      <c r="X221" s="6" t="s">
        <v>1687</v>
      </c>
      <c r="Y221" s="8" t="s">
        <v>3268</v>
      </c>
      <c r="Z221" s="8" t="s">
        <v>3269</v>
      </c>
      <c r="AA221" s="8" t="s">
        <v>3270</v>
      </c>
      <c r="AE221" s="6" t="s">
        <v>244</v>
      </c>
      <c r="AF221" s="6" t="s">
        <v>178</v>
      </c>
      <c r="AG221" s="6" t="s">
        <v>180</v>
      </c>
      <c r="AH221" s="6" t="s">
        <v>244</v>
      </c>
      <c r="AI221" s="6" t="s">
        <v>244</v>
      </c>
      <c r="AJ221" s="6" t="s">
        <v>244</v>
      </c>
      <c r="AK221" s="6" t="s">
        <v>244</v>
      </c>
      <c r="AL221" s="6" t="s">
        <v>178</v>
      </c>
      <c r="AM221" s="6" t="s">
        <v>185</v>
      </c>
      <c r="AN221" s="6" t="s">
        <v>247</v>
      </c>
      <c r="AO221" s="6" t="s">
        <v>244</v>
      </c>
      <c r="AP221" s="6" t="s">
        <v>247</v>
      </c>
      <c r="AQ221" s="6" t="s">
        <v>288</v>
      </c>
      <c r="AR221" s="6" t="s">
        <v>288</v>
      </c>
      <c r="AS221" s="6" t="s">
        <v>244</v>
      </c>
      <c r="AT221" s="6" t="s">
        <v>244</v>
      </c>
      <c r="AU221" s="6" t="s">
        <v>288</v>
      </c>
      <c r="AV221" s="6" t="s">
        <v>195</v>
      </c>
      <c r="AW221" s="6" t="s">
        <v>244</v>
      </c>
      <c r="AX221" s="6" t="s">
        <v>247</v>
      </c>
    </row>
    <row r="222" spans="1:50">
      <c r="A222" s="6">
        <v>312</v>
      </c>
      <c r="B222" s="5" t="s">
        <v>3271</v>
      </c>
      <c r="C222" s="6">
        <v>7</v>
      </c>
      <c r="D222" s="6" t="s">
        <v>98</v>
      </c>
      <c r="E222" s="6">
        <v>1</v>
      </c>
      <c r="F222" s="6" t="s">
        <v>1697</v>
      </c>
      <c r="G222" s="6">
        <v>41988.923738425925</v>
      </c>
      <c r="H222" s="6">
        <v>41988.923738425925</v>
      </c>
      <c r="I222" s="6">
        <v>41988.923738425925</v>
      </c>
      <c r="J222" s="6" t="s">
        <v>103</v>
      </c>
      <c r="K222" s="6" t="s">
        <v>105</v>
      </c>
      <c r="L222" s="6" t="s">
        <v>1698</v>
      </c>
      <c r="M222" s="6" t="s">
        <v>374</v>
      </c>
      <c r="N222" s="6" t="s">
        <v>1699</v>
      </c>
      <c r="O222" s="6" t="s">
        <v>1700</v>
      </c>
      <c r="P222" s="6" t="s">
        <v>215</v>
      </c>
      <c r="Q222" s="6">
        <v>752</v>
      </c>
      <c r="R222" s="6" t="s">
        <v>326</v>
      </c>
      <c r="S222" s="7">
        <v>752</v>
      </c>
      <c r="T222" s="7" t="s">
        <v>123</v>
      </c>
      <c r="U222" s="6" t="s">
        <v>125</v>
      </c>
      <c r="V222" s="6" t="s">
        <v>158</v>
      </c>
      <c r="W222" s="6" t="s">
        <v>160</v>
      </c>
      <c r="X222" s="6" t="s">
        <v>1698</v>
      </c>
      <c r="Y222" s="8" t="s">
        <v>3272</v>
      </c>
      <c r="Z222" s="8" t="s">
        <v>3273</v>
      </c>
      <c r="AA222" s="8" t="s">
        <v>3274</v>
      </c>
      <c r="AB222" s="6">
        <v>39244</v>
      </c>
      <c r="AC222" s="6">
        <v>39244</v>
      </c>
      <c r="AE222" s="6" t="s">
        <v>177</v>
      </c>
      <c r="AF222" s="6" t="s">
        <v>178</v>
      </c>
      <c r="AG222" s="6" t="s">
        <v>180</v>
      </c>
      <c r="AH222" s="6" t="s">
        <v>244</v>
      </c>
      <c r="AI222" s="6" t="s">
        <v>182</v>
      </c>
      <c r="AJ222" s="6" t="s">
        <v>393</v>
      </c>
      <c r="AK222" s="6" t="s">
        <v>189</v>
      </c>
      <c r="AL222" s="6" t="s">
        <v>178</v>
      </c>
      <c r="AM222" s="6" t="s">
        <v>189</v>
      </c>
      <c r="AN222" s="6" t="s">
        <v>247</v>
      </c>
      <c r="AO222" s="6" t="s">
        <v>185</v>
      </c>
      <c r="AP222" s="6" t="s">
        <v>394</v>
      </c>
      <c r="AQ222" s="6" t="s">
        <v>288</v>
      </c>
      <c r="AR222" s="6" t="s">
        <v>288</v>
      </c>
      <c r="AS222" s="6" t="s">
        <v>244</v>
      </c>
      <c r="AT222" s="6" t="s">
        <v>244</v>
      </c>
      <c r="AU222" s="6" t="s">
        <v>288</v>
      </c>
      <c r="AV222" s="6" t="s">
        <v>244</v>
      </c>
      <c r="AW222" s="6" t="s">
        <v>442</v>
      </c>
      <c r="AX222" s="6" t="s">
        <v>247</v>
      </c>
    </row>
    <row r="223" spans="1:50">
      <c r="A223" s="6">
        <v>313</v>
      </c>
      <c r="B223" s="5" t="s">
        <v>3275</v>
      </c>
      <c r="C223" s="6">
        <v>4</v>
      </c>
      <c r="D223" s="6" t="s">
        <v>98</v>
      </c>
      <c r="E223" s="6">
        <v>1</v>
      </c>
      <c r="F223" s="6" t="s">
        <v>1701</v>
      </c>
      <c r="G223" s="6">
        <v>41988.923738425925</v>
      </c>
      <c r="H223" s="6">
        <v>42026.541805555556</v>
      </c>
      <c r="I223" s="6">
        <v>41988.923738425925</v>
      </c>
      <c r="J223" s="6" t="s">
        <v>103</v>
      </c>
      <c r="K223" s="6" t="s">
        <v>105</v>
      </c>
      <c r="L223" s="6" t="s">
        <v>1702</v>
      </c>
      <c r="M223" s="6" t="s">
        <v>374</v>
      </c>
      <c r="O223" s="6" t="s">
        <v>1703</v>
      </c>
      <c r="P223" s="6" t="s">
        <v>215</v>
      </c>
      <c r="Q223" s="6">
        <v>752</v>
      </c>
      <c r="R223" s="6" t="s">
        <v>326</v>
      </c>
      <c r="S223" s="7">
        <v>752</v>
      </c>
      <c r="T223" s="7" t="s">
        <v>123</v>
      </c>
      <c r="U223" s="6" t="s">
        <v>125</v>
      </c>
      <c r="V223" s="6" t="s">
        <v>158</v>
      </c>
      <c r="W223" s="6" t="s">
        <v>160</v>
      </c>
      <c r="X223" s="6" t="s">
        <v>1702</v>
      </c>
      <c r="Y223" s="8" t="s">
        <v>3276</v>
      </c>
      <c r="Z223" s="8" t="s">
        <v>3277</v>
      </c>
      <c r="AA223" s="8" t="s">
        <v>3278</v>
      </c>
      <c r="AB223" s="6">
        <v>40179</v>
      </c>
      <c r="AC223" s="6">
        <v>40179</v>
      </c>
      <c r="AE223" s="6" t="s">
        <v>177</v>
      </c>
      <c r="AF223" s="6" t="s">
        <v>178</v>
      </c>
      <c r="AG223" s="6" t="s">
        <v>180</v>
      </c>
      <c r="AH223" s="6" t="s">
        <v>377</v>
      </c>
      <c r="AI223" s="6" t="s">
        <v>182</v>
      </c>
      <c r="AJ223" s="6" t="s">
        <v>183</v>
      </c>
      <c r="AK223" s="6" t="s">
        <v>189</v>
      </c>
      <c r="AL223" s="6" t="s">
        <v>178</v>
      </c>
      <c r="AM223" s="6" t="s">
        <v>185</v>
      </c>
      <c r="AN223" s="6" t="s">
        <v>378</v>
      </c>
      <c r="AO223" s="6" t="s">
        <v>244</v>
      </c>
      <c r="AP223" s="6" t="s">
        <v>394</v>
      </c>
      <c r="AQ223" s="6" t="s">
        <v>288</v>
      </c>
      <c r="AR223" s="6" t="s">
        <v>185</v>
      </c>
      <c r="AS223" s="6" t="s">
        <v>395</v>
      </c>
      <c r="AT223" s="6" t="s">
        <v>395</v>
      </c>
      <c r="AU223" s="6" t="s">
        <v>288</v>
      </c>
      <c r="AV223" s="6" t="s">
        <v>520</v>
      </c>
      <c r="AW223" s="6" t="s">
        <v>244</v>
      </c>
      <c r="AX223" s="6" t="s">
        <v>247</v>
      </c>
    </row>
    <row r="224" spans="1:50">
      <c r="A224" s="6">
        <v>316</v>
      </c>
      <c r="B224" s="5" t="s">
        <v>3279</v>
      </c>
      <c r="C224" s="6">
        <v>3</v>
      </c>
      <c r="D224" s="6" t="s">
        <v>98</v>
      </c>
      <c r="E224" s="6">
        <v>1</v>
      </c>
      <c r="F224" s="6" t="s">
        <v>1709</v>
      </c>
      <c r="G224" s="6">
        <v>41988.923738425925</v>
      </c>
      <c r="H224" s="6">
        <v>41988.923738425925</v>
      </c>
      <c r="I224" s="6">
        <v>41988.923738425925</v>
      </c>
      <c r="J224" s="6" t="s">
        <v>103</v>
      </c>
      <c r="K224" s="6" t="s">
        <v>105</v>
      </c>
      <c r="L224" s="6" t="s">
        <v>1710</v>
      </c>
      <c r="M224" s="6" t="s">
        <v>374</v>
      </c>
      <c r="O224" s="6" t="s">
        <v>1711</v>
      </c>
      <c r="P224" s="6" t="s">
        <v>215</v>
      </c>
      <c r="Q224" s="6">
        <v>752</v>
      </c>
      <c r="R224" s="6" t="s">
        <v>326</v>
      </c>
      <c r="S224" s="7">
        <v>752</v>
      </c>
      <c r="T224" s="7" t="s">
        <v>123</v>
      </c>
      <c r="U224" s="6" t="s">
        <v>125</v>
      </c>
      <c r="V224" s="6" t="s">
        <v>158</v>
      </c>
      <c r="W224" s="6" t="s">
        <v>160</v>
      </c>
      <c r="X224" s="6" t="s">
        <v>1710</v>
      </c>
      <c r="Y224" s="8" t="s">
        <v>3280</v>
      </c>
      <c r="Z224" s="8" t="s">
        <v>3281</v>
      </c>
      <c r="AA224" s="8" t="s">
        <v>3282</v>
      </c>
      <c r="AC224" s="6">
        <v>40603</v>
      </c>
      <c r="AE224" s="6" t="s">
        <v>244</v>
      </c>
      <c r="AF224" s="6" t="s">
        <v>178</v>
      </c>
      <c r="AG224" s="6" t="s">
        <v>180</v>
      </c>
      <c r="AH224" s="6" t="s">
        <v>244</v>
      </c>
      <c r="AI224" s="6" t="s">
        <v>182</v>
      </c>
      <c r="AJ224" s="6" t="s">
        <v>244</v>
      </c>
      <c r="AK224" s="6" t="s">
        <v>189</v>
      </c>
      <c r="AL224" s="6" t="s">
        <v>178</v>
      </c>
      <c r="AM224" s="6" t="s">
        <v>185</v>
      </c>
      <c r="AN224" s="6" t="s">
        <v>247</v>
      </c>
      <c r="AO224" s="6" t="s">
        <v>244</v>
      </c>
      <c r="AP224" s="6" t="s">
        <v>394</v>
      </c>
      <c r="AQ224" s="6" t="s">
        <v>288</v>
      </c>
      <c r="AR224" s="6" t="s">
        <v>288</v>
      </c>
      <c r="AS224" s="6" t="s">
        <v>244</v>
      </c>
      <c r="AT224" s="6" t="s">
        <v>244</v>
      </c>
      <c r="AU224" s="6" t="s">
        <v>288</v>
      </c>
      <c r="AV224" s="6" t="s">
        <v>371</v>
      </c>
      <c r="AW224" s="6" t="s">
        <v>244</v>
      </c>
      <c r="AX224" s="6" t="s">
        <v>247</v>
      </c>
    </row>
    <row r="225" spans="1:50">
      <c r="A225" s="6">
        <v>317</v>
      </c>
      <c r="B225" s="5" t="s">
        <v>3283</v>
      </c>
      <c r="C225" s="6">
        <v>4</v>
      </c>
      <c r="D225" s="6" t="s">
        <v>98</v>
      </c>
      <c r="E225" s="6">
        <v>1</v>
      </c>
      <c r="F225" s="6" t="s">
        <v>1712</v>
      </c>
      <c r="G225" s="6">
        <v>41988.923738425925</v>
      </c>
      <c r="H225" s="6">
        <v>42032.744664351849</v>
      </c>
      <c r="I225" s="6">
        <v>41988.923738425925</v>
      </c>
      <c r="J225" s="6" t="s">
        <v>103</v>
      </c>
      <c r="K225" s="6" t="s">
        <v>105</v>
      </c>
      <c r="L225" s="6" t="s">
        <v>1713</v>
      </c>
      <c r="M225" s="6" t="s">
        <v>374</v>
      </c>
      <c r="O225" s="6" t="s">
        <v>1714</v>
      </c>
      <c r="P225" s="6" t="s">
        <v>215</v>
      </c>
      <c r="Q225" s="6">
        <v>752</v>
      </c>
      <c r="R225" s="6" t="s">
        <v>326</v>
      </c>
      <c r="S225" s="7">
        <v>752</v>
      </c>
      <c r="T225" s="7" t="s">
        <v>123</v>
      </c>
      <c r="U225" s="6" t="s">
        <v>125</v>
      </c>
      <c r="V225" s="6" t="s">
        <v>158</v>
      </c>
      <c r="W225" s="6" t="s">
        <v>160</v>
      </c>
      <c r="X225" s="6" t="s">
        <v>1713</v>
      </c>
      <c r="Y225" s="8" t="s">
        <v>3284</v>
      </c>
      <c r="Z225" s="8" t="s">
        <v>3285</v>
      </c>
      <c r="AA225" s="8" t="s">
        <v>3286</v>
      </c>
      <c r="AB225" s="6">
        <v>38897</v>
      </c>
      <c r="AE225" s="6" t="s">
        <v>177</v>
      </c>
      <c r="AF225" s="6" t="s">
        <v>178</v>
      </c>
      <c r="AG225" s="6" t="s">
        <v>180</v>
      </c>
      <c r="AH225" s="6" t="s">
        <v>244</v>
      </c>
      <c r="AI225" s="6" t="s">
        <v>182</v>
      </c>
      <c r="AJ225" s="6" t="s">
        <v>244</v>
      </c>
      <c r="AK225" s="6" t="s">
        <v>244</v>
      </c>
      <c r="AL225" s="6" t="s">
        <v>178</v>
      </c>
      <c r="AM225" s="6" t="s">
        <v>185</v>
      </c>
      <c r="AN225" s="6" t="s">
        <v>378</v>
      </c>
      <c r="AO225" s="6" t="s">
        <v>244</v>
      </c>
      <c r="AP225" s="6" t="s">
        <v>247</v>
      </c>
      <c r="AQ225" s="6" t="s">
        <v>288</v>
      </c>
      <c r="AR225" s="6" t="s">
        <v>185</v>
      </c>
      <c r="AS225" s="6" t="s">
        <v>244</v>
      </c>
      <c r="AT225" s="6" t="s">
        <v>244</v>
      </c>
      <c r="AU225" s="6" t="s">
        <v>288</v>
      </c>
      <c r="AV225" s="6" t="s">
        <v>195</v>
      </c>
      <c r="AW225" s="6" t="s">
        <v>341</v>
      </c>
      <c r="AX225" s="6" t="s">
        <v>428</v>
      </c>
    </row>
    <row r="226" spans="1:50">
      <c r="A226" s="6">
        <v>318</v>
      </c>
      <c r="B226" s="5" t="s">
        <v>3287</v>
      </c>
      <c r="C226" s="6">
        <v>5</v>
      </c>
      <c r="D226" s="6" t="s">
        <v>98</v>
      </c>
      <c r="E226" s="6">
        <v>1</v>
      </c>
      <c r="F226" s="6" t="s">
        <v>1715</v>
      </c>
      <c r="G226" s="6">
        <v>41988.923750000002</v>
      </c>
      <c r="H226" s="6">
        <v>42032.752071759256</v>
      </c>
      <c r="I226" s="6">
        <v>41988.923750000002</v>
      </c>
      <c r="J226" s="6" t="s">
        <v>103</v>
      </c>
      <c r="K226" s="6" t="s">
        <v>105</v>
      </c>
      <c r="L226" s="6" t="s">
        <v>1716</v>
      </c>
      <c r="M226" s="6" t="s">
        <v>374</v>
      </c>
      <c r="N226" s="6" t="s">
        <v>1717</v>
      </c>
      <c r="O226" s="6" t="s">
        <v>1718</v>
      </c>
      <c r="P226" s="6" t="s">
        <v>215</v>
      </c>
      <c r="Q226" s="6">
        <v>752</v>
      </c>
      <c r="R226" s="6" t="s">
        <v>326</v>
      </c>
      <c r="S226" s="7">
        <v>752</v>
      </c>
      <c r="T226" s="7" t="s">
        <v>123</v>
      </c>
      <c r="U226" s="6" t="s">
        <v>125</v>
      </c>
      <c r="V226" s="6" t="s">
        <v>158</v>
      </c>
      <c r="W226" s="6" t="s">
        <v>160</v>
      </c>
      <c r="X226" s="6" t="s">
        <v>1716</v>
      </c>
      <c r="Y226" s="8" t="s">
        <v>3288</v>
      </c>
      <c r="Z226" s="8" t="s">
        <v>3289</v>
      </c>
      <c r="AA226" s="8" t="s">
        <v>3290</v>
      </c>
      <c r="AB226" s="6">
        <v>40358</v>
      </c>
      <c r="AE226" s="6" t="s">
        <v>177</v>
      </c>
      <c r="AF226" s="6" t="s">
        <v>178</v>
      </c>
      <c r="AG226" s="6" t="s">
        <v>180</v>
      </c>
      <c r="AH226" s="6" t="s">
        <v>244</v>
      </c>
      <c r="AI226" s="6" t="s">
        <v>182</v>
      </c>
      <c r="AJ226" s="6" t="s">
        <v>244</v>
      </c>
      <c r="AK226" s="6" t="s">
        <v>244</v>
      </c>
      <c r="AL226" s="6" t="s">
        <v>178</v>
      </c>
      <c r="AM226" s="6" t="s">
        <v>244</v>
      </c>
      <c r="AN226" s="6" t="s">
        <v>247</v>
      </c>
      <c r="AO226" s="6" t="s">
        <v>244</v>
      </c>
      <c r="AP226" s="6" t="s">
        <v>394</v>
      </c>
      <c r="AQ226" s="6" t="s">
        <v>288</v>
      </c>
      <c r="AR226" s="6" t="s">
        <v>244</v>
      </c>
      <c r="AS226" s="6" t="s">
        <v>244</v>
      </c>
      <c r="AT226" s="6" t="s">
        <v>244</v>
      </c>
      <c r="AU226" s="6" t="s">
        <v>288</v>
      </c>
      <c r="AV226" s="6" t="s">
        <v>195</v>
      </c>
      <c r="AW226" s="6" t="s">
        <v>244</v>
      </c>
      <c r="AX226" s="6" t="s">
        <v>247</v>
      </c>
    </row>
    <row r="227" spans="1:50">
      <c r="A227" s="6">
        <v>319</v>
      </c>
      <c r="B227" s="5" t="s">
        <v>3291</v>
      </c>
      <c r="C227" s="6">
        <v>3</v>
      </c>
      <c r="D227" s="6" t="s">
        <v>98</v>
      </c>
      <c r="E227" s="6">
        <v>1</v>
      </c>
      <c r="F227" s="6" t="s">
        <v>1719</v>
      </c>
      <c r="G227" s="6">
        <v>41988.923750000002</v>
      </c>
      <c r="H227" s="6">
        <v>41988.923750000002</v>
      </c>
      <c r="I227" s="6">
        <v>41988.923750000002</v>
      </c>
      <c r="J227" s="6" t="s">
        <v>103</v>
      </c>
      <c r="K227" s="6" t="s">
        <v>105</v>
      </c>
      <c r="L227" s="6" t="s">
        <v>1720</v>
      </c>
      <c r="M227" s="6" t="s">
        <v>374</v>
      </c>
      <c r="N227" s="6" t="s">
        <v>1721</v>
      </c>
      <c r="O227" s="6" t="s">
        <v>1722</v>
      </c>
      <c r="P227" s="6" t="s">
        <v>215</v>
      </c>
      <c r="Q227" s="6">
        <v>752</v>
      </c>
      <c r="R227" s="6" t="s">
        <v>326</v>
      </c>
      <c r="S227" s="7">
        <v>752</v>
      </c>
      <c r="T227" s="7" t="s">
        <v>123</v>
      </c>
      <c r="U227" s="6" t="s">
        <v>125</v>
      </c>
      <c r="V227" s="6" t="s">
        <v>158</v>
      </c>
      <c r="W227" s="6" t="s">
        <v>364</v>
      </c>
      <c r="X227" s="6" t="s">
        <v>1720</v>
      </c>
      <c r="Y227" s="8" t="s">
        <v>3292</v>
      </c>
      <c r="Z227" s="8" t="s">
        <v>3293</v>
      </c>
      <c r="AA227" s="8" t="s">
        <v>3292</v>
      </c>
      <c r="AE227" s="6" t="s">
        <v>177</v>
      </c>
      <c r="AF227" s="6" t="s">
        <v>178</v>
      </c>
      <c r="AG227" s="6" t="s">
        <v>180</v>
      </c>
      <c r="AH227" s="6" t="s">
        <v>244</v>
      </c>
      <c r="AI227" s="6" t="s">
        <v>182</v>
      </c>
      <c r="AJ227" s="6" t="s">
        <v>244</v>
      </c>
      <c r="AK227" s="6" t="s">
        <v>244</v>
      </c>
      <c r="AL227" s="6" t="s">
        <v>178</v>
      </c>
      <c r="AM227" s="6" t="s">
        <v>244</v>
      </c>
      <c r="AN227" s="6" t="s">
        <v>187</v>
      </c>
      <c r="AO227" s="6" t="s">
        <v>244</v>
      </c>
      <c r="AP227" s="6" t="s">
        <v>247</v>
      </c>
      <c r="AQ227" s="6" t="s">
        <v>288</v>
      </c>
      <c r="AR227" s="6" t="s">
        <v>288</v>
      </c>
      <c r="AS227" s="6" t="s">
        <v>379</v>
      </c>
      <c r="AT227" s="6" t="s">
        <v>395</v>
      </c>
      <c r="AU227" s="6" t="s">
        <v>244</v>
      </c>
      <c r="AV227" s="6" t="s">
        <v>195</v>
      </c>
      <c r="AW227" s="6" t="s">
        <v>244</v>
      </c>
      <c r="AX227" s="6" t="s">
        <v>247</v>
      </c>
    </row>
    <row r="228" spans="1:50">
      <c r="A228" s="6">
        <v>320</v>
      </c>
      <c r="B228" s="5" t="s">
        <v>3294</v>
      </c>
      <c r="C228" s="6">
        <v>4</v>
      </c>
      <c r="D228" s="6" t="s">
        <v>98</v>
      </c>
      <c r="E228" s="6">
        <v>1</v>
      </c>
      <c r="F228" s="6" t="s">
        <v>1723</v>
      </c>
      <c r="G228" s="6">
        <v>41988.923761574071</v>
      </c>
      <c r="H228" s="6">
        <v>42030.615960648145</v>
      </c>
      <c r="I228" s="6">
        <v>41988.923761574071</v>
      </c>
      <c r="J228" s="6" t="s">
        <v>103</v>
      </c>
      <c r="K228" s="6" t="s">
        <v>105</v>
      </c>
      <c r="L228" s="6" t="s">
        <v>1724</v>
      </c>
      <c r="M228" s="6" t="s">
        <v>374</v>
      </c>
      <c r="P228" s="6" t="s">
        <v>215</v>
      </c>
      <c r="Q228" s="6">
        <v>752</v>
      </c>
      <c r="R228" s="6" t="s">
        <v>326</v>
      </c>
      <c r="S228" s="7">
        <v>752</v>
      </c>
      <c r="T228" s="7" t="s">
        <v>123</v>
      </c>
      <c r="U228" s="6" t="s">
        <v>125</v>
      </c>
      <c r="V228" s="6" t="s">
        <v>158</v>
      </c>
      <c r="W228" s="6" t="s">
        <v>364</v>
      </c>
      <c r="X228" s="6" t="s">
        <v>1724</v>
      </c>
      <c r="Y228" s="8" t="s">
        <v>3295</v>
      </c>
      <c r="Z228" s="8" t="s">
        <v>3296</v>
      </c>
      <c r="AB228" s="6">
        <v>40179</v>
      </c>
      <c r="AC228" s="6">
        <v>40179</v>
      </c>
      <c r="AE228" s="6" t="s">
        <v>177</v>
      </c>
      <c r="AF228" s="6" t="s">
        <v>178</v>
      </c>
      <c r="AG228" s="6" t="s">
        <v>370</v>
      </c>
      <c r="AH228" s="6" t="s">
        <v>244</v>
      </c>
      <c r="AI228" s="6" t="s">
        <v>182</v>
      </c>
      <c r="AJ228" s="6" t="s">
        <v>244</v>
      </c>
      <c r="AK228" s="6" t="s">
        <v>185</v>
      </c>
      <c r="AL228" s="6" t="s">
        <v>178</v>
      </c>
      <c r="AM228" s="6" t="s">
        <v>185</v>
      </c>
      <c r="AN228" s="6" t="s">
        <v>378</v>
      </c>
      <c r="AO228" s="6" t="s">
        <v>244</v>
      </c>
      <c r="AP228" s="6" t="s">
        <v>394</v>
      </c>
      <c r="AQ228" s="6" t="s">
        <v>288</v>
      </c>
      <c r="AR228" s="6" t="s">
        <v>288</v>
      </c>
      <c r="AS228" s="6" t="s">
        <v>379</v>
      </c>
      <c r="AT228" s="6" t="s">
        <v>395</v>
      </c>
      <c r="AU228" s="6" t="s">
        <v>189</v>
      </c>
      <c r="AV228" s="6" t="s">
        <v>520</v>
      </c>
      <c r="AW228" s="6" t="s">
        <v>442</v>
      </c>
      <c r="AX228" s="6" t="s">
        <v>198</v>
      </c>
    </row>
    <row r="229" spans="1:50">
      <c r="A229" s="6">
        <v>321</v>
      </c>
      <c r="B229" s="5" t="s">
        <v>3297</v>
      </c>
      <c r="C229" s="6">
        <v>4</v>
      </c>
      <c r="D229" s="6" t="s">
        <v>98</v>
      </c>
      <c r="E229" s="6">
        <v>288</v>
      </c>
      <c r="F229" s="6" t="s">
        <v>1725</v>
      </c>
      <c r="G229" s="6">
        <v>41988.923761574071</v>
      </c>
      <c r="H229" s="6">
        <v>42046.98170138889</v>
      </c>
      <c r="I229" s="6">
        <v>41988.923761574071</v>
      </c>
      <c r="J229" s="6" t="s">
        <v>103</v>
      </c>
      <c r="K229" s="6" t="s">
        <v>105</v>
      </c>
      <c r="L229" s="6" t="s">
        <v>1726</v>
      </c>
      <c r="M229" s="6" t="s">
        <v>374</v>
      </c>
      <c r="N229" s="6" t="s">
        <v>1727</v>
      </c>
      <c r="P229" s="6" t="s">
        <v>215</v>
      </c>
      <c r="Q229" s="6">
        <v>752</v>
      </c>
      <c r="R229" s="6" t="s">
        <v>326</v>
      </c>
      <c r="S229" s="7">
        <v>752</v>
      </c>
      <c r="T229" s="7" t="s">
        <v>123</v>
      </c>
      <c r="U229" s="6" t="s">
        <v>125</v>
      </c>
      <c r="V229" s="6" t="s">
        <v>158</v>
      </c>
      <c r="W229" s="6" t="s">
        <v>160</v>
      </c>
      <c r="X229" s="6" t="s">
        <v>1726</v>
      </c>
      <c r="Y229" s="8" t="s">
        <v>3298</v>
      </c>
      <c r="Z229" s="8" t="s">
        <v>3299</v>
      </c>
      <c r="AA229" s="8" t="s">
        <v>3300</v>
      </c>
      <c r="AE229" s="6" t="s">
        <v>177</v>
      </c>
      <c r="AF229" s="6" t="s">
        <v>178</v>
      </c>
      <c r="AG229" s="6" t="s">
        <v>180</v>
      </c>
      <c r="AH229" s="6" t="s">
        <v>244</v>
      </c>
      <c r="AI229" s="6" t="s">
        <v>182</v>
      </c>
      <c r="AJ229" s="6" t="s">
        <v>244</v>
      </c>
      <c r="AK229" s="6" t="s">
        <v>244</v>
      </c>
      <c r="AL229" s="6" t="s">
        <v>178</v>
      </c>
      <c r="AM229" s="6" t="s">
        <v>244</v>
      </c>
      <c r="AN229" s="6" t="s">
        <v>247</v>
      </c>
      <c r="AO229" s="6" t="s">
        <v>244</v>
      </c>
      <c r="AP229" s="6" t="s">
        <v>190</v>
      </c>
      <c r="AQ229" s="6" t="s">
        <v>288</v>
      </c>
      <c r="AR229" s="6" t="s">
        <v>288</v>
      </c>
      <c r="AS229" s="6" t="s">
        <v>244</v>
      </c>
      <c r="AT229" s="6" t="s">
        <v>244</v>
      </c>
      <c r="AU229" s="6" t="s">
        <v>288</v>
      </c>
      <c r="AV229" s="6" t="s">
        <v>195</v>
      </c>
      <c r="AW229" s="6" t="s">
        <v>244</v>
      </c>
      <c r="AX229" s="6" t="s">
        <v>247</v>
      </c>
    </row>
    <row r="230" spans="1:50">
      <c r="A230" s="6">
        <v>322</v>
      </c>
      <c r="B230" s="5" t="s">
        <v>3301</v>
      </c>
      <c r="C230" s="6">
        <v>3</v>
      </c>
      <c r="D230" s="6" t="s">
        <v>98</v>
      </c>
      <c r="E230" s="6">
        <v>1</v>
      </c>
      <c r="F230" s="6" t="s">
        <v>1728</v>
      </c>
      <c r="G230" s="6">
        <v>41988.923773148148</v>
      </c>
      <c r="H230" s="6">
        <v>41988.923773148148</v>
      </c>
      <c r="I230" s="6">
        <v>41988.923773148148</v>
      </c>
      <c r="J230" s="6" t="s">
        <v>103</v>
      </c>
      <c r="K230" s="6" t="s">
        <v>105</v>
      </c>
      <c r="L230" s="6" t="s">
        <v>1729</v>
      </c>
      <c r="M230" s="6" t="s">
        <v>374</v>
      </c>
      <c r="N230" s="6" t="s">
        <v>1730</v>
      </c>
      <c r="P230" s="6" t="s">
        <v>215</v>
      </c>
      <c r="Q230" s="6">
        <v>752</v>
      </c>
      <c r="R230" s="6" t="s">
        <v>326</v>
      </c>
      <c r="S230" s="7">
        <v>752</v>
      </c>
      <c r="T230" s="7" t="s">
        <v>123</v>
      </c>
      <c r="U230" s="6" t="s">
        <v>125</v>
      </c>
      <c r="V230" s="6" t="s">
        <v>158</v>
      </c>
      <c r="W230" s="6" t="s">
        <v>160</v>
      </c>
      <c r="X230" s="6" t="s">
        <v>1729</v>
      </c>
      <c r="Y230" s="8" t="s">
        <v>3302</v>
      </c>
      <c r="Z230" s="8" t="s">
        <v>3303</v>
      </c>
      <c r="AA230" s="8" t="s">
        <v>3304</v>
      </c>
      <c r="AB230" s="6">
        <v>40575</v>
      </c>
      <c r="AE230" s="6" t="s">
        <v>177</v>
      </c>
      <c r="AF230" s="6" t="s">
        <v>178</v>
      </c>
      <c r="AG230" s="6" t="s">
        <v>180</v>
      </c>
      <c r="AH230" s="6" t="s">
        <v>244</v>
      </c>
      <c r="AI230" s="6" t="s">
        <v>182</v>
      </c>
      <c r="AJ230" s="6" t="s">
        <v>244</v>
      </c>
      <c r="AK230" s="6" t="s">
        <v>244</v>
      </c>
      <c r="AL230" s="6" t="s">
        <v>178</v>
      </c>
      <c r="AM230" s="6" t="s">
        <v>244</v>
      </c>
      <c r="AN230" s="6" t="s">
        <v>247</v>
      </c>
      <c r="AO230" s="6" t="s">
        <v>244</v>
      </c>
      <c r="AP230" s="6" t="s">
        <v>394</v>
      </c>
      <c r="AQ230" s="6" t="s">
        <v>288</v>
      </c>
      <c r="AR230" s="6" t="s">
        <v>288</v>
      </c>
      <c r="AS230" s="6" t="s">
        <v>244</v>
      </c>
      <c r="AT230" s="6" t="s">
        <v>244</v>
      </c>
      <c r="AU230" s="6" t="s">
        <v>288</v>
      </c>
      <c r="AV230" s="6" t="s">
        <v>195</v>
      </c>
      <c r="AW230" s="6" t="s">
        <v>244</v>
      </c>
      <c r="AX230" s="6" t="s">
        <v>247</v>
      </c>
    </row>
    <row r="231" spans="1:50">
      <c r="A231" s="6">
        <v>323</v>
      </c>
      <c r="B231" s="5" t="s">
        <v>3305</v>
      </c>
      <c r="C231" s="6">
        <v>5</v>
      </c>
      <c r="D231" s="6" t="s">
        <v>98</v>
      </c>
      <c r="E231" s="6">
        <v>1</v>
      </c>
      <c r="F231" s="6" t="s">
        <v>1734</v>
      </c>
      <c r="G231" s="6">
        <v>41988.923773148148</v>
      </c>
      <c r="H231" s="6">
        <v>41988.923773148148</v>
      </c>
      <c r="I231" s="6">
        <v>41988.923773148148</v>
      </c>
      <c r="J231" s="6" t="s">
        <v>103</v>
      </c>
      <c r="K231" s="6" t="s">
        <v>105</v>
      </c>
      <c r="L231" s="6" t="s">
        <v>1735</v>
      </c>
      <c r="M231" s="6" t="s">
        <v>374</v>
      </c>
      <c r="O231" s="6" t="s">
        <v>1736</v>
      </c>
      <c r="P231" s="6" t="s">
        <v>215</v>
      </c>
      <c r="Q231" s="6">
        <v>756</v>
      </c>
      <c r="R231" s="6" t="s">
        <v>327</v>
      </c>
      <c r="S231" s="7">
        <v>756</v>
      </c>
      <c r="T231" s="7" t="s">
        <v>123</v>
      </c>
      <c r="U231" s="6" t="s">
        <v>108</v>
      </c>
      <c r="V231" s="6" t="s">
        <v>158</v>
      </c>
      <c r="W231" s="6" t="s">
        <v>160</v>
      </c>
      <c r="X231" s="6" t="s">
        <v>1735</v>
      </c>
      <c r="Y231" s="8" t="s">
        <v>3306</v>
      </c>
      <c r="Z231" s="8" t="s">
        <v>3307</v>
      </c>
      <c r="AA231" s="8" t="s">
        <v>3308</v>
      </c>
      <c r="AB231" s="6">
        <v>38554</v>
      </c>
      <c r="AC231" s="6">
        <v>39630</v>
      </c>
      <c r="AE231" s="6" t="s">
        <v>177</v>
      </c>
      <c r="AF231" s="6" t="s">
        <v>178</v>
      </c>
      <c r="AG231" s="6" t="s">
        <v>180</v>
      </c>
      <c r="AH231" s="6" t="s">
        <v>244</v>
      </c>
      <c r="AI231" s="6" t="s">
        <v>182</v>
      </c>
      <c r="AJ231" s="6" t="s">
        <v>244</v>
      </c>
      <c r="AK231" s="6" t="s">
        <v>244</v>
      </c>
      <c r="AL231" s="6" t="s">
        <v>247</v>
      </c>
      <c r="AM231" s="6" t="s">
        <v>185</v>
      </c>
      <c r="AN231" s="6" t="s">
        <v>247</v>
      </c>
      <c r="AO231" s="6" t="s">
        <v>185</v>
      </c>
      <c r="AP231" s="6" t="s">
        <v>394</v>
      </c>
      <c r="AQ231" s="6" t="s">
        <v>288</v>
      </c>
      <c r="AR231" s="6" t="s">
        <v>189</v>
      </c>
      <c r="AS231" s="6" t="s">
        <v>244</v>
      </c>
      <c r="AT231" s="6" t="s">
        <v>244</v>
      </c>
      <c r="AU231" s="6" t="s">
        <v>288</v>
      </c>
      <c r="AV231" s="6" t="s">
        <v>244</v>
      </c>
      <c r="AW231" s="6" t="s">
        <v>341</v>
      </c>
      <c r="AX231" s="6" t="s">
        <v>247</v>
      </c>
    </row>
    <row r="232" spans="1:50">
      <c r="A232" s="6">
        <v>324</v>
      </c>
      <c r="B232" s="5" t="s">
        <v>3309</v>
      </c>
      <c r="C232" s="6">
        <v>3</v>
      </c>
      <c r="D232" s="6" t="s">
        <v>98</v>
      </c>
      <c r="E232" s="6">
        <v>1</v>
      </c>
      <c r="F232" s="6" t="s">
        <v>1737</v>
      </c>
      <c r="G232" s="6">
        <v>41988.923784722225</v>
      </c>
      <c r="H232" s="6">
        <v>41988.923784722225</v>
      </c>
      <c r="I232" s="6">
        <v>41988.923784722225</v>
      </c>
      <c r="J232" s="6" t="s">
        <v>103</v>
      </c>
      <c r="K232" s="6" t="s">
        <v>105</v>
      </c>
      <c r="L232" s="6" t="s">
        <v>1738</v>
      </c>
      <c r="M232" s="6" t="s">
        <v>374</v>
      </c>
      <c r="N232" s="6" t="s">
        <v>1739</v>
      </c>
      <c r="P232" s="6" t="s">
        <v>215</v>
      </c>
      <c r="Q232" s="6">
        <v>756</v>
      </c>
      <c r="R232" s="6" t="s">
        <v>327</v>
      </c>
      <c r="S232" s="7">
        <v>756</v>
      </c>
      <c r="T232" s="7" t="s">
        <v>123</v>
      </c>
      <c r="U232" s="6" t="s">
        <v>108</v>
      </c>
      <c r="V232" s="6" t="s">
        <v>158</v>
      </c>
      <c r="W232" s="6" t="s">
        <v>376</v>
      </c>
      <c r="X232" s="6" t="s">
        <v>1738</v>
      </c>
      <c r="Y232" s="8" t="s">
        <v>3310</v>
      </c>
      <c r="Z232" s="8" t="s">
        <v>3311</v>
      </c>
      <c r="AA232" s="8" t="s">
        <v>3312</v>
      </c>
      <c r="AD232" s="6">
        <v>41775</v>
      </c>
      <c r="AE232" s="6" t="s">
        <v>177</v>
      </c>
      <c r="AF232" s="6" t="s">
        <v>178</v>
      </c>
      <c r="AG232" s="6" t="s">
        <v>180</v>
      </c>
      <c r="AH232" s="6" t="s">
        <v>244</v>
      </c>
      <c r="AI232" s="6" t="s">
        <v>244</v>
      </c>
      <c r="AJ232" s="6" t="s">
        <v>244</v>
      </c>
      <c r="AK232" s="6" t="s">
        <v>244</v>
      </c>
      <c r="AL232" s="6" t="s">
        <v>178</v>
      </c>
      <c r="AM232" s="6" t="s">
        <v>185</v>
      </c>
      <c r="AN232" s="6" t="s">
        <v>378</v>
      </c>
      <c r="AO232" s="6" t="s">
        <v>185</v>
      </c>
      <c r="AP232" s="6" t="s">
        <v>247</v>
      </c>
      <c r="AQ232" s="6" t="s">
        <v>288</v>
      </c>
      <c r="AR232" s="6" t="s">
        <v>288</v>
      </c>
      <c r="AS232" s="6" t="s">
        <v>244</v>
      </c>
      <c r="AT232" s="6" t="s">
        <v>244</v>
      </c>
      <c r="AU232" s="6" t="s">
        <v>288</v>
      </c>
      <c r="AV232" s="6" t="s">
        <v>371</v>
      </c>
      <c r="AW232" s="6" t="s">
        <v>341</v>
      </c>
      <c r="AX232" s="6" t="s">
        <v>198</v>
      </c>
    </row>
    <row r="233" spans="1:50">
      <c r="A233" s="6">
        <v>325</v>
      </c>
      <c r="B233" s="5" t="s">
        <v>3313</v>
      </c>
      <c r="C233" s="6">
        <v>6</v>
      </c>
      <c r="D233" s="6" t="s">
        <v>98</v>
      </c>
      <c r="E233" s="6">
        <v>289</v>
      </c>
      <c r="F233" s="6" t="s">
        <v>1741</v>
      </c>
      <c r="G233" s="6">
        <v>41988.923784722225</v>
      </c>
      <c r="H233" s="6">
        <v>42046.98170138889</v>
      </c>
      <c r="I233" s="6">
        <v>41988.923784722225</v>
      </c>
      <c r="J233" s="6" t="s">
        <v>103</v>
      </c>
      <c r="K233" s="6" t="s">
        <v>105</v>
      </c>
      <c r="L233" s="6" t="s">
        <v>1742</v>
      </c>
      <c r="M233" s="6" t="s">
        <v>374</v>
      </c>
      <c r="O233" s="6" t="s">
        <v>1743</v>
      </c>
      <c r="P233" s="6" t="s">
        <v>215</v>
      </c>
      <c r="Q233" s="6">
        <v>756</v>
      </c>
      <c r="R233" s="6" t="s">
        <v>327</v>
      </c>
      <c r="S233" s="7">
        <v>756</v>
      </c>
      <c r="T233" s="7" t="s">
        <v>123</v>
      </c>
      <c r="U233" s="6" t="s">
        <v>108</v>
      </c>
      <c r="V233" s="6" t="s">
        <v>158</v>
      </c>
      <c r="W233" s="6" t="s">
        <v>160</v>
      </c>
      <c r="X233" s="6" t="s">
        <v>1742</v>
      </c>
      <c r="Y233" s="8" t="s">
        <v>3314</v>
      </c>
      <c r="Z233" s="8" t="s">
        <v>3315</v>
      </c>
      <c r="AA233" s="8" t="s">
        <v>3316</v>
      </c>
      <c r="AD233" s="6">
        <v>41352</v>
      </c>
      <c r="AE233" s="6" t="s">
        <v>177</v>
      </c>
      <c r="AF233" s="6" t="s">
        <v>178</v>
      </c>
      <c r="AG233" s="6" t="s">
        <v>180</v>
      </c>
      <c r="AH233" s="6" t="s">
        <v>371</v>
      </c>
      <c r="AI233" s="6" t="s">
        <v>244</v>
      </c>
      <c r="AJ233" s="6" t="s">
        <v>244</v>
      </c>
      <c r="AK233" s="6" t="s">
        <v>185</v>
      </c>
      <c r="AL233" s="6" t="s">
        <v>178</v>
      </c>
      <c r="AM233" s="6" t="s">
        <v>185</v>
      </c>
      <c r="AN233" s="6" t="s">
        <v>378</v>
      </c>
      <c r="AO233" s="6" t="s">
        <v>185</v>
      </c>
      <c r="AP233" s="6" t="s">
        <v>190</v>
      </c>
      <c r="AQ233" s="6" t="s">
        <v>288</v>
      </c>
      <c r="AR233" s="6" t="s">
        <v>244</v>
      </c>
      <c r="AS233" s="6" t="s">
        <v>244</v>
      </c>
      <c r="AT233" s="6" t="s">
        <v>244</v>
      </c>
      <c r="AU233" s="6" t="s">
        <v>288</v>
      </c>
      <c r="AV233" s="6" t="s">
        <v>371</v>
      </c>
      <c r="AW233" s="6" t="s">
        <v>244</v>
      </c>
      <c r="AX233" s="6" t="s">
        <v>247</v>
      </c>
    </row>
    <row r="234" spans="1:50">
      <c r="A234" s="6">
        <v>326</v>
      </c>
      <c r="B234" s="5" t="s">
        <v>3317</v>
      </c>
      <c r="C234" s="6">
        <v>4</v>
      </c>
      <c r="D234" s="6" t="s">
        <v>98</v>
      </c>
      <c r="E234" s="6">
        <v>290</v>
      </c>
      <c r="F234" s="6" t="s">
        <v>1744</v>
      </c>
      <c r="G234" s="6">
        <v>41988.923784722225</v>
      </c>
      <c r="H234" s="6">
        <v>42046.98170138889</v>
      </c>
      <c r="I234" s="6">
        <v>41988.923784722225</v>
      </c>
      <c r="J234" s="6" t="s">
        <v>103</v>
      </c>
      <c r="K234" s="6" t="s">
        <v>105</v>
      </c>
      <c r="L234" s="6" t="s">
        <v>1745</v>
      </c>
      <c r="M234" s="6" t="s">
        <v>352</v>
      </c>
      <c r="N234" s="6" t="s">
        <v>1746</v>
      </c>
      <c r="P234" s="6" t="s">
        <v>215</v>
      </c>
      <c r="Q234" s="6">
        <v>756</v>
      </c>
      <c r="R234" s="6" t="s">
        <v>327</v>
      </c>
      <c r="S234" s="7">
        <v>756</v>
      </c>
      <c r="T234" s="7" t="s">
        <v>123</v>
      </c>
      <c r="U234" s="6" t="s">
        <v>108</v>
      </c>
      <c r="V234" s="6" t="s">
        <v>158</v>
      </c>
      <c r="W234" s="6" t="s">
        <v>160</v>
      </c>
      <c r="X234" s="6" t="s">
        <v>1745</v>
      </c>
      <c r="Y234" s="8" t="s">
        <v>3318</v>
      </c>
      <c r="Z234" s="6" t="s">
        <v>1747</v>
      </c>
      <c r="AA234" s="8" t="s">
        <v>3319</v>
      </c>
      <c r="AD234" s="6">
        <v>41194</v>
      </c>
      <c r="AE234" s="6" t="s">
        <v>177</v>
      </c>
      <c r="AF234" s="6" t="s">
        <v>178</v>
      </c>
      <c r="AG234" s="6" t="s">
        <v>180</v>
      </c>
      <c r="AH234" s="6" t="s">
        <v>377</v>
      </c>
      <c r="AI234" s="6" t="s">
        <v>182</v>
      </c>
      <c r="AJ234" s="6" t="s">
        <v>183</v>
      </c>
      <c r="AK234" s="6" t="s">
        <v>244</v>
      </c>
      <c r="AL234" s="6" t="s">
        <v>178</v>
      </c>
      <c r="AM234" s="6" t="s">
        <v>244</v>
      </c>
      <c r="AN234" s="6" t="s">
        <v>247</v>
      </c>
      <c r="AO234" s="6" t="s">
        <v>185</v>
      </c>
      <c r="AP234" s="6" t="s">
        <v>394</v>
      </c>
      <c r="AQ234" s="6" t="s">
        <v>288</v>
      </c>
      <c r="AR234" s="6" t="s">
        <v>189</v>
      </c>
      <c r="AS234" s="6" t="s">
        <v>244</v>
      </c>
      <c r="AT234" s="6" t="s">
        <v>244</v>
      </c>
      <c r="AU234" s="6" t="s">
        <v>288</v>
      </c>
      <c r="AV234" s="6" t="s">
        <v>195</v>
      </c>
      <c r="AW234" s="6" t="s">
        <v>244</v>
      </c>
      <c r="AX234" s="6" t="s">
        <v>247</v>
      </c>
    </row>
    <row r="235" spans="1:50">
      <c r="A235" s="6">
        <v>328</v>
      </c>
      <c r="B235" s="5" t="s">
        <v>3320</v>
      </c>
      <c r="C235" s="6">
        <v>3</v>
      </c>
      <c r="D235" s="6" t="s">
        <v>98</v>
      </c>
      <c r="E235" s="6">
        <v>1</v>
      </c>
      <c r="F235" s="6" t="s">
        <v>1751</v>
      </c>
      <c r="G235" s="6">
        <v>41988.923796296294</v>
      </c>
      <c r="H235" s="6">
        <v>41988.923796296294</v>
      </c>
      <c r="I235" s="6">
        <v>41988.923796296294</v>
      </c>
      <c r="J235" s="6" t="s">
        <v>103</v>
      </c>
      <c r="K235" s="6" t="s">
        <v>105</v>
      </c>
      <c r="L235" s="6" t="s">
        <v>1752</v>
      </c>
      <c r="M235" s="6" t="s">
        <v>374</v>
      </c>
      <c r="O235" s="6" t="s">
        <v>1753</v>
      </c>
      <c r="P235" s="6" t="s">
        <v>215</v>
      </c>
      <c r="Q235" s="6">
        <v>756</v>
      </c>
      <c r="R235" s="6" t="s">
        <v>327</v>
      </c>
      <c r="S235" s="7">
        <v>756</v>
      </c>
      <c r="T235" s="7" t="s">
        <v>123</v>
      </c>
      <c r="U235" s="6" t="s">
        <v>108</v>
      </c>
      <c r="V235" s="6" t="s">
        <v>158</v>
      </c>
      <c r="W235" s="6" t="s">
        <v>160</v>
      </c>
      <c r="X235" s="6" t="s">
        <v>1752</v>
      </c>
      <c r="Y235" s="8" t="s">
        <v>3321</v>
      </c>
      <c r="Z235" s="8" t="s">
        <v>3322</v>
      </c>
      <c r="AA235" s="8" t="s">
        <v>3323</v>
      </c>
      <c r="AB235" s="6">
        <v>39398</v>
      </c>
      <c r="AD235" s="6">
        <v>39797</v>
      </c>
      <c r="AE235" s="6" t="s">
        <v>177</v>
      </c>
      <c r="AF235" s="6" t="s">
        <v>178</v>
      </c>
      <c r="AG235" s="6" t="s">
        <v>180</v>
      </c>
      <c r="AH235" s="6" t="s">
        <v>377</v>
      </c>
      <c r="AI235" s="6" t="s">
        <v>182</v>
      </c>
      <c r="AJ235" s="6" t="s">
        <v>371</v>
      </c>
      <c r="AK235" s="6" t="s">
        <v>189</v>
      </c>
      <c r="AL235" s="6" t="s">
        <v>178</v>
      </c>
      <c r="AM235" s="6" t="s">
        <v>185</v>
      </c>
      <c r="AN235" s="6" t="s">
        <v>378</v>
      </c>
      <c r="AO235" s="6" t="s">
        <v>244</v>
      </c>
      <c r="AP235" s="6" t="s">
        <v>394</v>
      </c>
      <c r="AQ235" s="6" t="s">
        <v>288</v>
      </c>
      <c r="AR235" s="6" t="s">
        <v>288</v>
      </c>
      <c r="AS235" s="6" t="s">
        <v>244</v>
      </c>
      <c r="AT235" s="6" t="s">
        <v>244</v>
      </c>
      <c r="AU235" s="6" t="s">
        <v>288</v>
      </c>
      <c r="AV235" s="6" t="s">
        <v>195</v>
      </c>
      <c r="AW235" s="6" t="s">
        <v>341</v>
      </c>
      <c r="AX235" s="6" t="s">
        <v>247</v>
      </c>
    </row>
    <row r="236" spans="1:50">
      <c r="A236" s="6">
        <v>329</v>
      </c>
      <c r="B236" s="5" t="s">
        <v>3324</v>
      </c>
      <c r="C236" s="6">
        <v>6</v>
      </c>
      <c r="D236" s="6" t="s">
        <v>98</v>
      </c>
      <c r="E236" s="6">
        <v>1</v>
      </c>
      <c r="F236" s="6" t="s">
        <v>1754</v>
      </c>
      <c r="G236" s="6">
        <v>41988.923796296294</v>
      </c>
      <c r="H236" s="6">
        <v>41988.923796296294</v>
      </c>
      <c r="I236" s="6">
        <v>41988.923796296294</v>
      </c>
      <c r="J236" s="6" t="s">
        <v>103</v>
      </c>
      <c r="K236" s="6" t="s">
        <v>105</v>
      </c>
      <c r="L236" s="6" t="s">
        <v>1755</v>
      </c>
      <c r="M236" s="6" t="s">
        <v>374</v>
      </c>
      <c r="N236" s="6" t="s">
        <v>1756</v>
      </c>
      <c r="O236" s="6" t="s">
        <v>1757</v>
      </c>
      <c r="P236" s="6" t="s">
        <v>215</v>
      </c>
      <c r="Q236" s="6">
        <v>756</v>
      </c>
      <c r="R236" s="6" t="s">
        <v>327</v>
      </c>
      <c r="S236" s="7">
        <v>756</v>
      </c>
      <c r="T236" s="7" t="s">
        <v>123</v>
      </c>
      <c r="U236" s="6" t="s">
        <v>108</v>
      </c>
      <c r="V236" s="6" t="s">
        <v>158</v>
      </c>
      <c r="W236" s="6" t="s">
        <v>160</v>
      </c>
      <c r="X236" s="6" t="s">
        <v>1755</v>
      </c>
      <c r="Y236" s="8" t="s">
        <v>3325</v>
      </c>
      <c r="Z236" s="8" t="s">
        <v>3326</v>
      </c>
      <c r="AA236" s="8" t="s">
        <v>3327</v>
      </c>
      <c r="AB236" s="6">
        <v>38554</v>
      </c>
      <c r="AC236" s="6">
        <v>38554</v>
      </c>
      <c r="AD236" s="6">
        <v>39590</v>
      </c>
      <c r="AE236" s="6" t="s">
        <v>177</v>
      </c>
      <c r="AF236" s="6" t="s">
        <v>178</v>
      </c>
      <c r="AG236" s="6" t="s">
        <v>180</v>
      </c>
      <c r="AH236" s="6" t="s">
        <v>392</v>
      </c>
      <c r="AI236" s="6" t="s">
        <v>182</v>
      </c>
      <c r="AJ236" s="6" t="s">
        <v>393</v>
      </c>
      <c r="AK236" s="6" t="s">
        <v>185</v>
      </c>
      <c r="AL236" s="6" t="s">
        <v>178</v>
      </c>
      <c r="AM236" s="6" t="s">
        <v>244</v>
      </c>
      <c r="AN236" s="6" t="s">
        <v>378</v>
      </c>
      <c r="AO236" s="6" t="s">
        <v>185</v>
      </c>
      <c r="AP236" s="6" t="s">
        <v>386</v>
      </c>
      <c r="AQ236" s="6" t="s">
        <v>288</v>
      </c>
      <c r="AR236" s="6" t="s">
        <v>288</v>
      </c>
      <c r="AS236" s="6" t="s">
        <v>244</v>
      </c>
      <c r="AT236" s="6" t="s">
        <v>244</v>
      </c>
      <c r="AU236" s="6" t="s">
        <v>288</v>
      </c>
      <c r="AV236" s="6" t="s">
        <v>371</v>
      </c>
      <c r="AW236" s="6" t="s">
        <v>341</v>
      </c>
      <c r="AX236" s="6" t="s">
        <v>198</v>
      </c>
    </row>
    <row r="237" spans="1:50">
      <c r="A237" s="6">
        <v>63</v>
      </c>
      <c r="B237" s="5" t="s">
        <v>3328</v>
      </c>
      <c r="C237" s="6">
        <v>4</v>
      </c>
      <c r="D237" s="6" t="s">
        <v>98</v>
      </c>
      <c r="E237" s="6">
        <v>1</v>
      </c>
      <c r="F237" s="6" t="s">
        <v>1763</v>
      </c>
      <c r="G237" s="6">
        <v>41988.923159722224</v>
      </c>
      <c r="H237" s="6">
        <v>41988.923171296294</v>
      </c>
      <c r="I237" s="6">
        <v>41988.923159722224</v>
      </c>
      <c r="J237" s="6" t="s">
        <v>103</v>
      </c>
      <c r="K237" s="6" t="s">
        <v>105</v>
      </c>
      <c r="L237" s="6" t="s">
        <v>1764</v>
      </c>
      <c r="M237" s="6" t="s">
        <v>532</v>
      </c>
      <c r="N237" s="6" t="s">
        <v>1765</v>
      </c>
      <c r="O237" s="6" t="s">
        <v>1766</v>
      </c>
      <c r="P237" s="6" t="s">
        <v>1761</v>
      </c>
      <c r="Q237" s="6">
        <v>792</v>
      </c>
      <c r="R237" s="6" t="s">
        <v>338</v>
      </c>
      <c r="S237" s="7">
        <v>792</v>
      </c>
      <c r="T237" s="7" t="s">
        <v>123</v>
      </c>
      <c r="U237" s="6" t="s">
        <v>76</v>
      </c>
      <c r="V237" s="6" t="s">
        <v>158</v>
      </c>
      <c r="W237" s="6" t="s">
        <v>160</v>
      </c>
      <c r="X237" s="6" t="s">
        <v>1764</v>
      </c>
      <c r="Y237" s="8" t="s">
        <v>3329</v>
      </c>
      <c r="Z237" s="8" t="s">
        <v>3330</v>
      </c>
      <c r="AA237" s="8" t="s">
        <v>3331</v>
      </c>
      <c r="AB237" s="6">
        <v>41767</v>
      </c>
      <c r="AC237" s="6">
        <v>41767</v>
      </c>
      <c r="AE237" s="6" t="s">
        <v>177</v>
      </c>
      <c r="AF237" s="6" t="s">
        <v>178</v>
      </c>
      <c r="AG237" s="6" t="s">
        <v>180</v>
      </c>
      <c r="AH237" s="6" t="s">
        <v>371</v>
      </c>
      <c r="AI237" s="6" t="s">
        <v>182</v>
      </c>
      <c r="AJ237" s="6" t="s">
        <v>371</v>
      </c>
      <c r="AK237" s="6" t="s">
        <v>189</v>
      </c>
      <c r="AL237" s="6" t="s">
        <v>178</v>
      </c>
      <c r="AM237" s="6" t="s">
        <v>189</v>
      </c>
      <c r="AN237" s="6" t="s">
        <v>378</v>
      </c>
      <c r="AO237" s="6" t="s">
        <v>189</v>
      </c>
      <c r="AP237" s="6" t="s">
        <v>394</v>
      </c>
      <c r="AQ237" s="6" t="s">
        <v>185</v>
      </c>
      <c r="AR237" s="6" t="s">
        <v>189</v>
      </c>
      <c r="AS237" s="6" t="s">
        <v>379</v>
      </c>
      <c r="AT237" s="6" t="s">
        <v>379</v>
      </c>
      <c r="AU237" s="6" t="s">
        <v>185</v>
      </c>
      <c r="AV237" s="6" t="s">
        <v>244</v>
      </c>
      <c r="AW237" s="6" t="s">
        <v>244</v>
      </c>
      <c r="AX237" s="6" t="s">
        <v>247</v>
      </c>
    </row>
    <row r="238" spans="1:50">
      <c r="A238" s="6">
        <v>51</v>
      </c>
      <c r="B238" s="5" t="s">
        <v>3332</v>
      </c>
      <c r="C238" s="6">
        <v>7</v>
      </c>
      <c r="D238" s="6" t="s">
        <v>98</v>
      </c>
      <c r="E238" s="6">
        <v>239</v>
      </c>
      <c r="F238" s="6" t="s">
        <v>1769</v>
      </c>
      <c r="G238" s="6">
        <v>41988.923148148147</v>
      </c>
      <c r="H238" s="6">
        <v>42046.98164351852</v>
      </c>
      <c r="I238" s="6">
        <v>41988.923148148147</v>
      </c>
      <c r="J238" s="6" t="s">
        <v>103</v>
      </c>
      <c r="K238" s="6" t="s">
        <v>105</v>
      </c>
      <c r="L238" s="6" t="s">
        <v>1770</v>
      </c>
      <c r="M238" s="6" t="s">
        <v>637</v>
      </c>
      <c r="N238" s="6" t="s">
        <v>1771</v>
      </c>
      <c r="O238" s="6" t="s">
        <v>1772</v>
      </c>
      <c r="P238" s="6" t="s">
        <v>1761</v>
      </c>
      <c r="Q238" s="6">
        <v>792</v>
      </c>
      <c r="R238" s="6" t="s">
        <v>338</v>
      </c>
      <c r="S238" s="7">
        <v>792</v>
      </c>
      <c r="T238" s="7" t="s">
        <v>123</v>
      </c>
      <c r="U238" s="6" t="s">
        <v>76</v>
      </c>
      <c r="V238" s="6" t="s">
        <v>158</v>
      </c>
      <c r="W238" s="6" t="s">
        <v>160</v>
      </c>
      <c r="X238" s="6" t="s">
        <v>1770</v>
      </c>
      <c r="Y238" s="8" t="s">
        <v>3333</v>
      </c>
      <c r="Z238" s="8" t="s">
        <v>3334</v>
      </c>
      <c r="AA238" s="8" t="s">
        <v>3335</v>
      </c>
      <c r="AB238" s="6">
        <v>41837</v>
      </c>
      <c r="AC238" s="6">
        <v>41844</v>
      </c>
      <c r="AD238" s="6">
        <v>41844</v>
      </c>
      <c r="AE238" s="6" t="s">
        <v>177</v>
      </c>
      <c r="AF238" s="6" t="s">
        <v>178</v>
      </c>
      <c r="AG238" s="6" t="s">
        <v>180</v>
      </c>
      <c r="AH238" s="6" t="s">
        <v>392</v>
      </c>
      <c r="AI238" s="6" t="s">
        <v>182</v>
      </c>
      <c r="AJ238" s="6" t="s">
        <v>183</v>
      </c>
      <c r="AK238" s="6" t="s">
        <v>189</v>
      </c>
      <c r="AL238" s="6" t="s">
        <v>178</v>
      </c>
      <c r="AM238" s="6" t="s">
        <v>189</v>
      </c>
      <c r="AN238" s="6" t="s">
        <v>392</v>
      </c>
      <c r="AO238" s="6" t="s">
        <v>189</v>
      </c>
      <c r="AP238" s="6" t="s">
        <v>394</v>
      </c>
      <c r="AQ238" s="6" t="s">
        <v>244</v>
      </c>
      <c r="AR238" s="6" t="s">
        <v>244</v>
      </c>
      <c r="AS238" s="6" t="s">
        <v>395</v>
      </c>
      <c r="AT238" s="6" t="s">
        <v>395</v>
      </c>
      <c r="AU238" s="6" t="s">
        <v>189</v>
      </c>
      <c r="AV238" s="6" t="s">
        <v>520</v>
      </c>
      <c r="AW238" s="6" t="s">
        <v>442</v>
      </c>
      <c r="AX238" s="6" t="s">
        <v>247</v>
      </c>
    </row>
    <row r="239" spans="1:50">
      <c r="A239" s="6">
        <v>62</v>
      </c>
      <c r="B239" s="5" t="s">
        <v>3336</v>
      </c>
      <c r="C239" s="6">
        <v>3</v>
      </c>
      <c r="D239" s="6" t="s">
        <v>98</v>
      </c>
      <c r="E239" s="6">
        <v>1</v>
      </c>
      <c r="F239" s="6" t="s">
        <v>1773</v>
      </c>
      <c r="G239" s="6">
        <v>41988.923159722224</v>
      </c>
      <c r="H239" s="6">
        <v>41988.923159722224</v>
      </c>
      <c r="I239" s="6">
        <v>41988.923159722224</v>
      </c>
      <c r="J239" s="6" t="s">
        <v>103</v>
      </c>
      <c r="K239" s="6" t="s">
        <v>105</v>
      </c>
      <c r="L239" s="6" t="s">
        <v>1774</v>
      </c>
      <c r="M239" s="6" t="s">
        <v>352</v>
      </c>
      <c r="N239" s="6" t="s">
        <v>1760</v>
      </c>
      <c r="P239" s="6" t="s">
        <v>1761</v>
      </c>
      <c r="Q239" s="6">
        <v>792</v>
      </c>
      <c r="R239" s="6" t="s">
        <v>338</v>
      </c>
      <c r="S239" s="7">
        <v>792</v>
      </c>
      <c r="T239" s="7" t="s">
        <v>123</v>
      </c>
      <c r="U239" s="6" t="s">
        <v>76</v>
      </c>
      <c r="V239" s="6" t="s">
        <v>158</v>
      </c>
      <c r="W239" s="6" t="s">
        <v>160</v>
      </c>
      <c r="X239" s="6" t="s">
        <v>1774</v>
      </c>
      <c r="Y239" s="8" t="s">
        <v>3337</v>
      </c>
      <c r="Z239" s="6" t="s">
        <v>1762</v>
      </c>
      <c r="AA239" s="6" t="s">
        <v>1762</v>
      </c>
      <c r="AD239" s="6">
        <v>41764</v>
      </c>
      <c r="AE239" s="6" t="s">
        <v>177</v>
      </c>
      <c r="AF239" s="6" t="s">
        <v>178</v>
      </c>
      <c r="AG239" s="6" t="s">
        <v>180</v>
      </c>
      <c r="AH239" s="6" t="s">
        <v>244</v>
      </c>
      <c r="AI239" s="6" t="s">
        <v>182</v>
      </c>
      <c r="AJ239" s="6" t="s">
        <v>393</v>
      </c>
      <c r="AK239" s="6" t="s">
        <v>244</v>
      </c>
      <c r="AL239" s="6" t="s">
        <v>479</v>
      </c>
      <c r="AM239" s="6" t="s">
        <v>244</v>
      </c>
      <c r="AN239" s="6" t="s">
        <v>378</v>
      </c>
      <c r="AO239" s="6" t="s">
        <v>244</v>
      </c>
      <c r="AP239" s="6" t="s">
        <v>394</v>
      </c>
      <c r="AQ239" s="6" t="s">
        <v>288</v>
      </c>
      <c r="AR239" s="6" t="s">
        <v>288</v>
      </c>
      <c r="AS239" s="6" t="s">
        <v>395</v>
      </c>
      <c r="AT239" s="6" t="s">
        <v>395</v>
      </c>
      <c r="AU239" s="6" t="s">
        <v>244</v>
      </c>
      <c r="AV239" s="6" t="s">
        <v>371</v>
      </c>
      <c r="AW239" s="6" t="s">
        <v>244</v>
      </c>
      <c r="AX239" s="6" t="s">
        <v>247</v>
      </c>
    </row>
    <row r="240" spans="1:50">
      <c r="A240" s="6">
        <v>72</v>
      </c>
      <c r="B240" s="5" t="s">
        <v>3338</v>
      </c>
      <c r="C240" s="6">
        <v>3</v>
      </c>
      <c r="D240" s="6" t="s">
        <v>98</v>
      </c>
      <c r="E240" s="6">
        <v>1</v>
      </c>
      <c r="F240" s="6" t="s">
        <v>1777</v>
      </c>
      <c r="G240" s="6">
        <v>41988.923194444447</v>
      </c>
      <c r="H240" s="6">
        <v>41988.923194444447</v>
      </c>
      <c r="I240" s="6">
        <v>41988.923194444447</v>
      </c>
      <c r="J240" s="6" t="s">
        <v>103</v>
      </c>
      <c r="K240" s="6" t="s">
        <v>105</v>
      </c>
      <c r="L240" s="6" t="s">
        <v>1778</v>
      </c>
      <c r="M240" s="6" t="s">
        <v>637</v>
      </c>
      <c r="N240" s="6" t="s">
        <v>620</v>
      </c>
      <c r="P240" s="6" t="s">
        <v>1761</v>
      </c>
      <c r="Q240" s="6">
        <v>792</v>
      </c>
      <c r="R240" s="6" t="s">
        <v>338</v>
      </c>
      <c r="S240" s="7">
        <v>792</v>
      </c>
      <c r="T240" s="7" t="s">
        <v>123</v>
      </c>
      <c r="U240" s="6" t="s">
        <v>76</v>
      </c>
      <c r="V240" s="6" t="s">
        <v>158</v>
      </c>
      <c r="W240" s="6" t="s">
        <v>160</v>
      </c>
      <c r="X240" s="6" t="s">
        <v>1778</v>
      </c>
      <c r="Y240" s="8" t="s">
        <v>3339</v>
      </c>
      <c r="Z240" s="6" t="s">
        <v>1762</v>
      </c>
      <c r="AD240" s="6">
        <v>41806</v>
      </c>
      <c r="AE240" s="6" t="s">
        <v>177</v>
      </c>
      <c r="AF240" s="6" t="s">
        <v>178</v>
      </c>
      <c r="AG240" s="6" t="s">
        <v>180</v>
      </c>
      <c r="AH240" s="6" t="s">
        <v>392</v>
      </c>
      <c r="AI240" s="6" t="s">
        <v>182</v>
      </c>
      <c r="AJ240" s="6" t="s">
        <v>393</v>
      </c>
      <c r="AK240" s="6" t="s">
        <v>189</v>
      </c>
      <c r="AL240" s="6" t="s">
        <v>178</v>
      </c>
      <c r="AM240" s="6" t="s">
        <v>185</v>
      </c>
      <c r="AN240" s="6" t="s">
        <v>378</v>
      </c>
      <c r="AO240" s="6" t="s">
        <v>189</v>
      </c>
      <c r="AP240" s="6" t="s">
        <v>190</v>
      </c>
      <c r="AQ240" s="6" t="s">
        <v>288</v>
      </c>
      <c r="AR240" s="6" t="s">
        <v>185</v>
      </c>
      <c r="AS240" s="6" t="s">
        <v>379</v>
      </c>
      <c r="AT240" s="6" t="s">
        <v>379</v>
      </c>
      <c r="AU240" s="6" t="s">
        <v>288</v>
      </c>
      <c r="AV240" s="6" t="s">
        <v>630</v>
      </c>
      <c r="AW240" s="6" t="s">
        <v>244</v>
      </c>
      <c r="AX240" s="6" t="s">
        <v>247</v>
      </c>
    </row>
    <row r="241" spans="1:50">
      <c r="A241" s="6">
        <v>67</v>
      </c>
      <c r="B241" s="5" t="s">
        <v>3340</v>
      </c>
      <c r="C241" s="6">
        <v>4</v>
      </c>
      <c r="D241" s="6" t="s">
        <v>98</v>
      </c>
      <c r="E241" s="6">
        <v>241</v>
      </c>
      <c r="F241" s="6" t="s">
        <v>1788</v>
      </c>
      <c r="G241" s="6">
        <v>41988.923182870371</v>
      </c>
      <c r="H241" s="6">
        <v>42046.98164351852</v>
      </c>
      <c r="I241" s="6">
        <v>41988.923182870371</v>
      </c>
      <c r="J241" s="6" t="s">
        <v>103</v>
      </c>
      <c r="K241" s="6" t="s">
        <v>105</v>
      </c>
      <c r="L241" s="6" t="s">
        <v>1789</v>
      </c>
      <c r="M241" s="6" t="s">
        <v>352</v>
      </c>
      <c r="N241" s="6" t="s">
        <v>1760</v>
      </c>
      <c r="P241" s="6" t="s">
        <v>1761</v>
      </c>
      <c r="Q241" s="6">
        <v>792</v>
      </c>
      <c r="R241" s="6" t="s">
        <v>338</v>
      </c>
      <c r="S241" s="7">
        <v>792</v>
      </c>
      <c r="T241" s="7" t="s">
        <v>123</v>
      </c>
      <c r="U241" s="6" t="s">
        <v>76</v>
      </c>
      <c r="V241" s="6" t="s">
        <v>158</v>
      </c>
      <c r="W241" s="6" t="s">
        <v>160</v>
      </c>
      <c r="X241" s="6" t="s">
        <v>1789</v>
      </c>
      <c r="Y241" s="8" t="s">
        <v>3341</v>
      </c>
      <c r="Z241" s="6" t="s">
        <v>1762</v>
      </c>
      <c r="AA241" s="6" t="s">
        <v>1762</v>
      </c>
      <c r="AD241" s="6">
        <v>41764</v>
      </c>
      <c r="AE241" s="6" t="s">
        <v>177</v>
      </c>
      <c r="AF241" s="6" t="s">
        <v>178</v>
      </c>
      <c r="AG241" s="6" t="s">
        <v>180</v>
      </c>
      <c r="AH241" s="6" t="s">
        <v>244</v>
      </c>
      <c r="AI241" s="6" t="s">
        <v>182</v>
      </c>
      <c r="AJ241" s="6" t="s">
        <v>183</v>
      </c>
      <c r="AK241" s="6" t="s">
        <v>185</v>
      </c>
      <c r="AL241" s="6" t="s">
        <v>178</v>
      </c>
      <c r="AM241" s="6" t="s">
        <v>244</v>
      </c>
      <c r="AN241" s="6" t="s">
        <v>378</v>
      </c>
      <c r="AO241" s="6" t="s">
        <v>244</v>
      </c>
      <c r="AP241" s="6" t="s">
        <v>190</v>
      </c>
      <c r="AQ241" s="6" t="s">
        <v>288</v>
      </c>
      <c r="AR241" s="6" t="s">
        <v>189</v>
      </c>
      <c r="AS241" s="6" t="s">
        <v>379</v>
      </c>
      <c r="AT241" s="6" t="s">
        <v>379</v>
      </c>
      <c r="AU241" s="6" t="s">
        <v>244</v>
      </c>
      <c r="AV241" s="6" t="s">
        <v>339</v>
      </c>
      <c r="AW241" s="6" t="s">
        <v>341</v>
      </c>
      <c r="AX241" s="6" t="s">
        <v>247</v>
      </c>
    </row>
    <row r="242" spans="1:50">
      <c r="A242" s="6">
        <v>771</v>
      </c>
      <c r="B242" s="5" t="s">
        <v>3342</v>
      </c>
      <c r="C242" s="6">
        <v>6</v>
      </c>
      <c r="D242" s="6" t="s">
        <v>98</v>
      </c>
      <c r="E242" s="6">
        <v>786</v>
      </c>
      <c r="F242" s="6" t="s">
        <v>1792</v>
      </c>
      <c r="G242" s="6">
        <v>42137.303599537037</v>
      </c>
      <c r="H242" s="6">
        <v>42144.553229166668</v>
      </c>
      <c r="I242" s="6">
        <v>42137.303599537037</v>
      </c>
      <c r="J242" s="6" t="s">
        <v>103</v>
      </c>
      <c r="K242" s="6" t="s">
        <v>105</v>
      </c>
      <c r="L242" s="6" t="s">
        <v>1793</v>
      </c>
      <c r="Q242" s="6">
        <v>792</v>
      </c>
      <c r="R242" s="6" t="s">
        <v>338</v>
      </c>
      <c r="S242" s="7">
        <v>792</v>
      </c>
      <c r="T242" s="7" t="s">
        <v>123</v>
      </c>
      <c r="U242" s="6" t="s">
        <v>76</v>
      </c>
      <c r="V242" s="6" t="s">
        <v>158</v>
      </c>
      <c r="W242" s="6" t="s">
        <v>160</v>
      </c>
      <c r="X242" s="6" t="s">
        <v>1793</v>
      </c>
      <c r="Y242" s="8" t="s">
        <v>3343</v>
      </c>
      <c r="Z242" s="8" t="s">
        <v>3344</v>
      </c>
      <c r="AA242" s="8" t="s">
        <v>3345</v>
      </c>
      <c r="AB242" s="6">
        <v>2014</v>
      </c>
      <c r="AC242" s="6">
        <v>2015</v>
      </c>
      <c r="AE242" s="6" t="s">
        <v>177</v>
      </c>
      <c r="AF242" s="6" t="s">
        <v>178</v>
      </c>
      <c r="AG242" s="6" t="s">
        <v>180</v>
      </c>
      <c r="AH242" s="6" t="s">
        <v>244</v>
      </c>
      <c r="AI242" s="6" t="s">
        <v>182</v>
      </c>
      <c r="AJ242" s="6" t="s">
        <v>393</v>
      </c>
      <c r="AK242" s="6" t="s">
        <v>244</v>
      </c>
      <c r="AL242" s="6" t="s">
        <v>479</v>
      </c>
      <c r="AM242" s="6" t="s">
        <v>244</v>
      </c>
      <c r="AN242" s="6" t="s">
        <v>181</v>
      </c>
      <c r="AO242" s="6" t="s">
        <v>244</v>
      </c>
      <c r="AP242" s="6" t="s">
        <v>394</v>
      </c>
      <c r="AQ242" s="6" t="s">
        <v>244</v>
      </c>
      <c r="AR242" s="6" t="s">
        <v>189</v>
      </c>
      <c r="AS242" s="6" t="s">
        <v>395</v>
      </c>
      <c r="AT242" s="6" t="s">
        <v>395</v>
      </c>
      <c r="AU242" s="6" t="s">
        <v>244</v>
      </c>
      <c r="AV242" s="6" t="s">
        <v>520</v>
      </c>
      <c r="AW242" s="6" t="s">
        <v>244</v>
      </c>
      <c r="AX242" s="6" t="s">
        <v>247</v>
      </c>
    </row>
    <row r="243" spans="1:50">
      <c r="A243" s="6">
        <v>49</v>
      </c>
      <c r="B243" s="5" t="s">
        <v>3346</v>
      </c>
      <c r="C243" s="6">
        <v>4</v>
      </c>
      <c r="D243" s="6" t="s">
        <v>98</v>
      </c>
      <c r="E243" s="6">
        <v>238</v>
      </c>
      <c r="F243" s="6" t="s">
        <v>1794</v>
      </c>
      <c r="G243" s="6">
        <v>41988.923136574071</v>
      </c>
      <c r="H243" s="6">
        <v>42046.98164351852</v>
      </c>
      <c r="I243" s="6">
        <v>41988.923136574071</v>
      </c>
      <c r="J243" s="6" t="s">
        <v>103</v>
      </c>
      <c r="K243" s="6" t="s">
        <v>105</v>
      </c>
      <c r="L243" s="6" t="s">
        <v>1795</v>
      </c>
      <c r="M243" s="6" t="s">
        <v>637</v>
      </c>
      <c r="N243" s="6" t="s">
        <v>1771</v>
      </c>
      <c r="P243" s="6" t="s">
        <v>1785</v>
      </c>
      <c r="Q243" s="6">
        <v>792</v>
      </c>
      <c r="R243" s="6" t="s">
        <v>338</v>
      </c>
      <c r="S243" s="7">
        <v>792</v>
      </c>
      <c r="T243" s="7" t="s">
        <v>123</v>
      </c>
      <c r="U243" s="6" t="s">
        <v>76</v>
      </c>
      <c r="V243" s="6" t="s">
        <v>158</v>
      </c>
      <c r="W243" s="6" t="s">
        <v>160</v>
      </c>
      <c r="X243" s="6" t="s">
        <v>1795</v>
      </c>
      <c r="Y243" s="8" t="s">
        <v>3347</v>
      </c>
      <c r="Z243" s="8" t="s">
        <v>3348</v>
      </c>
      <c r="AA243" s="8" t="s">
        <v>3349</v>
      </c>
      <c r="AB243" s="6">
        <v>41496</v>
      </c>
      <c r="AC243" s="6">
        <v>41496</v>
      </c>
      <c r="AE243" s="6" t="s">
        <v>177</v>
      </c>
      <c r="AF243" s="6" t="s">
        <v>178</v>
      </c>
      <c r="AG243" s="6" t="s">
        <v>180</v>
      </c>
      <c r="AH243" s="6" t="s">
        <v>244</v>
      </c>
      <c r="AI243" s="6" t="s">
        <v>244</v>
      </c>
      <c r="AJ243" s="6" t="s">
        <v>393</v>
      </c>
      <c r="AK243" s="6" t="s">
        <v>189</v>
      </c>
      <c r="AL243" s="6" t="s">
        <v>178</v>
      </c>
      <c r="AM243" s="6" t="s">
        <v>189</v>
      </c>
      <c r="AN243" s="6" t="s">
        <v>378</v>
      </c>
      <c r="AO243" s="6" t="s">
        <v>185</v>
      </c>
      <c r="AP243" s="6" t="s">
        <v>394</v>
      </c>
      <c r="AQ243" s="6" t="s">
        <v>288</v>
      </c>
      <c r="AR243" s="6" t="s">
        <v>189</v>
      </c>
      <c r="AS243" s="6" t="s">
        <v>379</v>
      </c>
      <c r="AT243" s="6" t="s">
        <v>379</v>
      </c>
      <c r="AU243" s="6" t="s">
        <v>288</v>
      </c>
      <c r="AV243" s="6" t="s">
        <v>371</v>
      </c>
      <c r="AW243" s="6" t="s">
        <v>244</v>
      </c>
      <c r="AX243" s="6" t="s">
        <v>247</v>
      </c>
    </row>
    <row r="244" spans="1:50">
      <c r="A244" s="6">
        <v>50</v>
      </c>
      <c r="B244" s="5" t="s">
        <v>3350</v>
      </c>
      <c r="C244" s="6">
        <v>3</v>
      </c>
      <c r="D244" s="6" t="s">
        <v>98</v>
      </c>
      <c r="E244" s="6">
        <v>1</v>
      </c>
      <c r="F244" s="6" t="s">
        <v>1800</v>
      </c>
      <c r="G244" s="6">
        <v>41988.923148148147</v>
      </c>
      <c r="H244" s="6">
        <v>41988.923148148147</v>
      </c>
      <c r="I244" s="6">
        <v>41988.923148148147</v>
      </c>
      <c r="J244" s="6" t="s">
        <v>103</v>
      </c>
      <c r="K244" s="6" t="s">
        <v>105</v>
      </c>
      <c r="L244" s="6" t="s">
        <v>1801</v>
      </c>
      <c r="M244" s="6" t="s">
        <v>352</v>
      </c>
      <c r="O244" s="6" t="s">
        <v>1802</v>
      </c>
      <c r="P244" s="6" t="s">
        <v>215</v>
      </c>
      <c r="Q244" s="6">
        <v>792</v>
      </c>
      <c r="R244" s="6" t="s">
        <v>338</v>
      </c>
      <c r="S244" s="7">
        <v>792</v>
      </c>
      <c r="T244" s="7" t="s">
        <v>123</v>
      </c>
      <c r="U244" s="6" t="s">
        <v>76</v>
      </c>
      <c r="V244" s="6" t="s">
        <v>158</v>
      </c>
      <c r="W244" s="6" t="s">
        <v>160</v>
      </c>
      <c r="X244" s="6" t="s">
        <v>1801</v>
      </c>
      <c r="Y244" s="8" t="s">
        <v>3351</v>
      </c>
      <c r="AA244" s="8" t="s">
        <v>3352</v>
      </c>
      <c r="AB244" s="6">
        <v>37712</v>
      </c>
      <c r="AC244" s="6">
        <v>37712</v>
      </c>
      <c r="AD244" s="6">
        <v>39190</v>
      </c>
      <c r="AE244" s="6" t="s">
        <v>177</v>
      </c>
      <c r="AF244" s="6" t="s">
        <v>178</v>
      </c>
      <c r="AG244" s="6" t="s">
        <v>180</v>
      </c>
      <c r="AH244" s="6" t="s">
        <v>244</v>
      </c>
      <c r="AI244" s="6" t="s">
        <v>385</v>
      </c>
      <c r="AJ244" s="6" t="s">
        <v>244</v>
      </c>
      <c r="AK244" s="6" t="s">
        <v>244</v>
      </c>
      <c r="AL244" s="6" t="s">
        <v>178</v>
      </c>
      <c r="AM244" s="6" t="s">
        <v>244</v>
      </c>
      <c r="AN244" s="6" t="s">
        <v>247</v>
      </c>
      <c r="AO244" s="6" t="s">
        <v>244</v>
      </c>
      <c r="AP244" s="6" t="s">
        <v>394</v>
      </c>
      <c r="AQ244" s="6" t="s">
        <v>288</v>
      </c>
      <c r="AR244" s="6" t="s">
        <v>288</v>
      </c>
      <c r="AS244" s="6" t="s">
        <v>244</v>
      </c>
      <c r="AT244" s="6" t="s">
        <v>244</v>
      </c>
      <c r="AU244" s="6" t="s">
        <v>288</v>
      </c>
      <c r="AV244" s="6" t="s">
        <v>371</v>
      </c>
      <c r="AW244" s="6" t="s">
        <v>244</v>
      </c>
      <c r="AX244" s="6" t="s">
        <v>247</v>
      </c>
    </row>
    <row r="245" spans="1:50">
      <c r="A245" s="6">
        <v>65</v>
      </c>
      <c r="B245" s="5" t="s">
        <v>3353</v>
      </c>
      <c r="C245" s="6">
        <v>3</v>
      </c>
      <c r="D245" s="6" t="s">
        <v>98</v>
      </c>
      <c r="E245" s="6">
        <v>1</v>
      </c>
      <c r="F245" s="6" t="s">
        <v>1805</v>
      </c>
      <c r="G245" s="6">
        <v>41988.923171296294</v>
      </c>
      <c r="H245" s="6">
        <v>41988.923171296294</v>
      </c>
      <c r="I245" s="6">
        <v>41988.923171296294</v>
      </c>
      <c r="J245" s="6" t="s">
        <v>103</v>
      </c>
      <c r="K245" s="6" t="s">
        <v>105</v>
      </c>
      <c r="L245" s="6" t="s">
        <v>1806</v>
      </c>
      <c r="M245" s="6" t="s">
        <v>532</v>
      </c>
      <c r="N245" s="6" t="s">
        <v>1807</v>
      </c>
      <c r="P245" s="6" t="s">
        <v>1761</v>
      </c>
      <c r="Q245" s="6">
        <v>792</v>
      </c>
      <c r="R245" s="6" t="s">
        <v>338</v>
      </c>
      <c r="S245" s="7">
        <v>792</v>
      </c>
      <c r="T245" s="7" t="s">
        <v>123</v>
      </c>
      <c r="U245" s="6" t="s">
        <v>76</v>
      </c>
      <c r="V245" s="6" t="s">
        <v>158</v>
      </c>
      <c r="W245" s="6" t="s">
        <v>160</v>
      </c>
      <c r="X245" s="6" t="s">
        <v>1806</v>
      </c>
      <c r="Y245" s="8" t="s">
        <v>3354</v>
      </c>
      <c r="Z245" s="6" t="s">
        <v>1762</v>
      </c>
      <c r="AA245" s="6" t="s">
        <v>1762</v>
      </c>
      <c r="AD245" s="6">
        <v>41764</v>
      </c>
      <c r="AE245" s="6" t="s">
        <v>177</v>
      </c>
      <c r="AF245" s="6" t="s">
        <v>178</v>
      </c>
      <c r="AG245" s="6" t="s">
        <v>180</v>
      </c>
      <c r="AH245" s="6" t="s">
        <v>244</v>
      </c>
      <c r="AI245" s="6" t="s">
        <v>182</v>
      </c>
      <c r="AJ245" s="6" t="s">
        <v>183</v>
      </c>
      <c r="AK245" s="6" t="s">
        <v>189</v>
      </c>
      <c r="AL245" s="6" t="s">
        <v>479</v>
      </c>
      <c r="AM245" s="6" t="s">
        <v>189</v>
      </c>
      <c r="AN245" s="6" t="s">
        <v>378</v>
      </c>
      <c r="AO245" s="6" t="s">
        <v>244</v>
      </c>
      <c r="AP245" s="6" t="s">
        <v>247</v>
      </c>
      <c r="AQ245" s="6" t="s">
        <v>288</v>
      </c>
      <c r="AR245" s="6" t="s">
        <v>189</v>
      </c>
      <c r="AS245" s="6" t="s">
        <v>395</v>
      </c>
      <c r="AT245" s="6" t="s">
        <v>395</v>
      </c>
      <c r="AU245" s="6" t="s">
        <v>288</v>
      </c>
      <c r="AV245" s="6" t="s">
        <v>520</v>
      </c>
      <c r="AW245" s="6" t="s">
        <v>341</v>
      </c>
      <c r="AX245" s="6" t="s">
        <v>247</v>
      </c>
    </row>
    <row r="246" spans="1:50">
      <c r="A246" s="6">
        <v>53</v>
      </c>
      <c r="B246" s="5" t="s">
        <v>3355</v>
      </c>
      <c r="C246" s="6">
        <v>3</v>
      </c>
      <c r="D246" s="6" t="s">
        <v>98</v>
      </c>
      <c r="E246" s="6">
        <v>1</v>
      </c>
      <c r="F246" s="6" t="s">
        <v>1811</v>
      </c>
      <c r="G246" s="6">
        <v>41988.923148148147</v>
      </c>
      <c r="H246" s="6">
        <v>41988.923148148147</v>
      </c>
      <c r="I246" s="6">
        <v>41988.923148148147</v>
      </c>
      <c r="J246" s="6" t="s">
        <v>103</v>
      </c>
      <c r="K246" s="6" t="s">
        <v>105</v>
      </c>
      <c r="L246" s="6" t="s">
        <v>1812</v>
      </c>
      <c r="M246" s="6" t="s">
        <v>637</v>
      </c>
      <c r="P246" s="6" t="s">
        <v>1761</v>
      </c>
      <c r="Q246" s="6">
        <v>792</v>
      </c>
      <c r="R246" s="6" t="s">
        <v>338</v>
      </c>
      <c r="S246" s="7">
        <v>792</v>
      </c>
      <c r="T246" s="7" t="s">
        <v>123</v>
      </c>
      <c r="U246" s="6" t="s">
        <v>76</v>
      </c>
      <c r="V246" s="6" t="s">
        <v>158</v>
      </c>
      <c r="W246" s="6" t="s">
        <v>384</v>
      </c>
      <c r="X246" s="6" t="s">
        <v>1812</v>
      </c>
      <c r="Y246" s="8" t="s">
        <v>3356</v>
      </c>
      <c r="Z246" s="8" t="s">
        <v>3357</v>
      </c>
      <c r="AA246" s="8" t="s">
        <v>3358</v>
      </c>
      <c r="AE246" s="6" t="s">
        <v>371</v>
      </c>
      <c r="AF246" s="6" t="s">
        <v>178</v>
      </c>
      <c r="AG246" s="6" t="s">
        <v>180</v>
      </c>
      <c r="AH246" s="6" t="s">
        <v>371</v>
      </c>
      <c r="AI246" s="6" t="s">
        <v>182</v>
      </c>
      <c r="AJ246" s="6" t="s">
        <v>244</v>
      </c>
      <c r="AK246" s="6" t="s">
        <v>244</v>
      </c>
      <c r="AL246" s="6" t="s">
        <v>178</v>
      </c>
      <c r="AM246" s="6" t="s">
        <v>244</v>
      </c>
      <c r="AN246" s="6" t="s">
        <v>247</v>
      </c>
      <c r="AO246" s="6" t="s">
        <v>185</v>
      </c>
      <c r="AP246" s="6" t="s">
        <v>394</v>
      </c>
      <c r="AQ246" s="6" t="s">
        <v>288</v>
      </c>
      <c r="AR246" s="6" t="s">
        <v>288</v>
      </c>
      <c r="AS246" s="6" t="s">
        <v>244</v>
      </c>
      <c r="AT246" s="6" t="s">
        <v>244</v>
      </c>
      <c r="AU246" s="6" t="s">
        <v>288</v>
      </c>
      <c r="AV246" s="6" t="s">
        <v>630</v>
      </c>
      <c r="AW246" s="6" t="s">
        <v>244</v>
      </c>
      <c r="AX246" s="6" t="s">
        <v>247</v>
      </c>
    </row>
    <row r="247" spans="1:50">
      <c r="A247" s="6">
        <v>55</v>
      </c>
      <c r="B247" s="5" t="s">
        <v>3359</v>
      </c>
      <c r="C247" s="6">
        <v>4</v>
      </c>
      <c r="D247" s="6" t="s">
        <v>98</v>
      </c>
      <c r="E247" s="6">
        <v>240</v>
      </c>
      <c r="F247" s="6" t="s">
        <v>1820</v>
      </c>
      <c r="G247" s="6">
        <v>41988.923148148147</v>
      </c>
      <c r="H247" s="6">
        <v>42046.98164351852</v>
      </c>
      <c r="I247" s="6">
        <v>41988.923148148147</v>
      </c>
      <c r="J247" s="6" t="s">
        <v>103</v>
      </c>
      <c r="K247" s="6" t="s">
        <v>105</v>
      </c>
      <c r="L247" s="6" t="s">
        <v>1821</v>
      </c>
      <c r="M247" s="6" t="s">
        <v>637</v>
      </c>
      <c r="N247" s="6" t="s">
        <v>1771</v>
      </c>
      <c r="P247" s="6" t="s">
        <v>1761</v>
      </c>
      <c r="Q247" s="6">
        <v>792</v>
      </c>
      <c r="R247" s="6" t="s">
        <v>338</v>
      </c>
      <c r="S247" s="7">
        <v>792</v>
      </c>
      <c r="T247" s="7" t="s">
        <v>123</v>
      </c>
      <c r="U247" s="6" t="s">
        <v>76</v>
      </c>
      <c r="V247" s="6" t="s">
        <v>158</v>
      </c>
      <c r="W247" s="6" t="s">
        <v>160</v>
      </c>
      <c r="X247" s="6" t="s">
        <v>1821</v>
      </c>
      <c r="Y247" s="8" t="s">
        <v>3360</v>
      </c>
      <c r="Z247" s="8" t="s">
        <v>3361</v>
      </c>
      <c r="AA247" s="8" t="s">
        <v>3362</v>
      </c>
      <c r="AD247" s="6">
        <v>41779</v>
      </c>
      <c r="AE247" s="6" t="s">
        <v>177</v>
      </c>
      <c r="AF247" s="6" t="s">
        <v>178</v>
      </c>
      <c r="AG247" s="6" t="s">
        <v>180</v>
      </c>
      <c r="AH247" s="6" t="s">
        <v>187</v>
      </c>
      <c r="AI247" s="6" t="s">
        <v>182</v>
      </c>
      <c r="AJ247" s="6" t="s">
        <v>393</v>
      </c>
      <c r="AK247" s="6" t="s">
        <v>244</v>
      </c>
      <c r="AL247" s="6" t="s">
        <v>479</v>
      </c>
      <c r="AM247" s="6" t="s">
        <v>244</v>
      </c>
      <c r="AN247" s="6" t="s">
        <v>187</v>
      </c>
      <c r="AO247" s="6" t="s">
        <v>244</v>
      </c>
      <c r="AP247" s="6" t="s">
        <v>247</v>
      </c>
      <c r="AQ247" s="6" t="s">
        <v>288</v>
      </c>
      <c r="AR247" s="6" t="s">
        <v>288</v>
      </c>
      <c r="AS247" s="6" t="s">
        <v>379</v>
      </c>
      <c r="AT247" s="6" t="s">
        <v>379</v>
      </c>
      <c r="AU247" s="6" t="s">
        <v>244</v>
      </c>
      <c r="AV247" s="6" t="s">
        <v>520</v>
      </c>
      <c r="AW247" s="6" t="s">
        <v>244</v>
      </c>
      <c r="AX247" s="6" t="s">
        <v>247</v>
      </c>
    </row>
    <row r="248" spans="1:50">
      <c r="A248" s="6">
        <v>330</v>
      </c>
      <c r="B248" s="5" t="s">
        <v>3363</v>
      </c>
      <c r="C248" s="6">
        <v>4</v>
      </c>
      <c r="D248" s="6" t="s">
        <v>98</v>
      </c>
      <c r="E248" s="6">
        <v>291</v>
      </c>
      <c r="F248" s="6" t="s">
        <v>1834</v>
      </c>
      <c r="G248" s="6">
        <v>41988.923796296294</v>
      </c>
      <c r="H248" s="6">
        <v>42046.98170138889</v>
      </c>
      <c r="I248" s="6">
        <v>41988.923796296294</v>
      </c>
      <c r="J248" s="6" t="s">
        <v>103</v>
      </c>
      <c r="K248" s="6" t="s">
        <v>105</v>
      </c>
      <c r="L248" s="6" t="s">
        <v>1835</v>
      </c>
      <c r="M248" s="6" t="s">
        <v>637</v>
      </c>
      <c r="P248" s="6" t="s">
        <v>1563</v>
      </c>
      <c r="Q248" s="6">
        <v>804</v>
      </c>
      <c r="R248" s="6" t="s">
        <v>345</v>
      </c>
      <c r="S248" s="7">
        <v>804</v>
      </c>
      <c r="T248" s="7" t="s">
        <v>123</v>
      </c>
      <c r="U248" s="6" t="s">
        <v>102</v>
      </c>
      <c r="V248" s="6" t="s">
        <v>158</v>
      </c>
      <c r="W248" s="6" t="s">
        <v>160</v>
      </c>
      <c r="X248" s="6" t="s">
        <v>1835</v>
      </c>
      <c r="Y248" s="8" t="s">
        <v>3364</v>
      </c>
      <c r="Z248" s="8" t="s">
        <v>3365</v>
      </c>
      <c r="AA248" s="8" t="s">
        <v>3366</v>
      </c>
      <c r="AB248" s="6">
        <v>40702</v>
      </c>
      <c r="AC248" s="6">
        <v>40702</v>
      </c>
      <c r="AE248" s="6" t="s">
        <v>177</v>
      </c>
      <c r="AF248" s="6" t="s">
        <v>178</v>
      </c>
      <c r="AG248" s="6" t="s">
        <v>180</v>
      </c>
      <c r="AH248" s="6" t="s">
        <v>244</v>
      </c>
      <c r="AI248" s="6" t="s">
        <v>182</v>
      </c>
      <c r="AJ248" s="6" t="s">
        <v>244</v>
      </c>
      <c r="AK248" s="6" t="s">
        <v>185</v>
      </c>
      <c r="AL248" s="6" t="s">
        <v>178</v>
      </c>
      <c r="AM248" s="6" t="s">
        <v>185</v>
      </c>
      <c r="AN248" s="6" t="s">
        <v>181</v>
      </c>
      <c r="AO248" s="6" t="s">
        <v>185</v>
      </c>
      <c r="AP248" s="6" t="s">
        <v>386</v>
      </c>
      <c r="AQ248" s="6" t="s">
        <v>288</v>
      </c>
      <c r="AR248" s="6" t="s">
        <v>185</v>
      </c>
      <c r="AS248" s="6" t="s">
        <v>244</v>
      </c>
      <c r="AT248" s="6" t="s">
        <v>244</v>
      </c>
      <c r="AU248" s="6" t="s">
        <v>288</v>
      </c>
      <c r="AV248" s="6" t="s">
        <v>339</v>
      </c>
      <c r="AW248" s="6" t="s">
        <v>244</v>
      </c>
      <c r="AX248" s="6" t="s">
        <v>247</v>
      </c>
    </row>
    <row r="249" spans="1:50">
      <c r="A249" s="6">
        <v>332</v>
      </c>
      <c r="B249" s="5" t="s">
        <v>3367</v>
      </c>
      <c r="C249" s="6">
        <v>4</v>
      </c>
      <c r="D249" s="6" t="s">
        <v>98</v>
      </c>
      <c r="E249" s="6">
        <v>292</v>
      </c>
      <c r="F249" s="6" t="s">
        <v>1838</v>
      </c>
      <c r="G249" s="6">
        <v>41988.923796296294</v>
      </c>
      <c r="H249" s="6">
        <v>42046.98170138889</v>
      </c>
      <c r="I249" s="6">
        <v>41988.923796296294</v>
      </c>
      <c r="J249" s="6" t="s">
        <v>103</v>
      </c>
      <c r="K249" s="6" t="s">
        <v>105</v>
      </c>
      <c r="L249" s="6" t="s">
        <v>1839</v>
      </c>
      <c r="M249" s="6" t="s">
        <v>637</v>
      </c>
      <c r="P249" s="6" t="s">
        <v>1563</v>
      </c>
      <c r="Q249" s="6">
        <v>804</v>
      </c>
      <c r="R249" s="6" t="s">
        <v>345</v>
      </c>
      <c r="S249" s="7">
        <v>804</v>
      </c>
      <c r="T249" s="7" t="s">
        <v>123</v>
      </c>
      <c r="U249" s="6" t="s">
        <v>102</v>
      </c>
      <c r="V249" s="6" t="s">
        <v>158</v>
      </c>
      <c r="W249" s="6" t="s">
        <v>160</v>
      </c>
      <c r="X249" s="6" t="s">
        <v>1839</v>
      </c>
      <c r="Y249" s="8" t="s">
        <v>3368</v>
      </c>
      <c r="Z249" s="8" t="s">
        <v>3369</v>
      </c>
      <c r="AA249" s="8" t="s">
        <v>3370</v>
      </c>
      <c r="AB249" s="6">
        <v>40829</v>
      </c>
      <c r="AC249" s="6">
        <v>40829</v>
      </c>
      <c r="AE249" s="6" t="s">
        <v>177</v>
      </c>
      <c r="AF249" s="6" t="s">
        <v>178</v>
      </c>
      <c r="AG249" s="6" t="s">
        <v>180</v>
      </c>
      <c r="AH249" s="6" t="s">
        <v>244</v>
      </c>
      <c r="AI249" s="6" t="s">
        <v>182</v>
      </c>
      <c r="AJ249" s="6" t="s">
        <v>244</v>
      </c>
      <c r="AK249" s="6" t="s">
        <v>185</v>
      </c>
      <c r="AL249" s="6" t="s">
        <v>178</v>
      </c>
      <c r="AM249" s="6" t="s">
        <v>185</v>
      </c>
      <c r="AN249" s="6" t="s">
        <v>181</v>
      </c>
      <c r="AO249" s="6" t="s">
        <v>185</v>
      </c>
      <c r="AP249" s="6" t="s">
        <v>386</v>
      </c>
      <c r="AQ249" s="6" t="s">
        <v>288</v>
      </c>
      <c r="AR249" s="6" t="s">
        <v>185</v>
      </c>
      <c r="AS249" s="6" t="s">
        <v>244</v>
      </c>
      <c r="AT249" s="6" t="s">
        <v>244</v>
      </c>
      <c r="AU249" s="6" t="s">
        <v>288</v>
      </c>
      <c r="AV249" s="6" t="s">
        <v>339</v>
      </c>
      <c r="AW249" s="6" t="s">
        <v>244</v>
      </c>
      <c r="AX249" s="6" t="s">
        <v>247</v>
      </c>
    </row>
    <row r="250" spans="1:50">
      <c r="A250" s="6">
        <v>664</v>
      </c>
      <c r="B250" s="5" t="s">
        <v>3371</v>
      </c>
      <c r="C250" s="6">
        <v>16</v>
      </c>
      <c r="D250" s="6" t="s">
        <v>98</v>
      </c>
      <c r="E250" s="6">
        <v>187</v>
      </c>
      <c r="F250" s="6" t="s">
        <v>1843</v>
      </c>
      <c r="G250" s="6">
        <v>42055.574166666665</v>
      </c>
      <c r="H250" s="6">
        <v>42066.946898148148</v>
      </c>
      <c r="I250" s="6">
        <v>42055.574166666665</v>
      </c>
      <c r="J250" s="6" t="s">
        <v>103</v>
      </c>
      <c r="K250" s="6" t="s">
        <v>105</v>
      </c>
      <c r="L250" s="6" t="s">
        <v>1844</v>
      </c>
      <c r="N250" s="6" t="s">
        <v>1845</v>
      </c>
      <c r="O250" s="6" t="s">
        <v>1846</v>
      </c>
      <c r="P250" s="8" t="s">
        <v>3372</v>
      </c>
      <c r="Q250" s="6">
        <v>804</v>
      </c>
      <c r="R250" s="6" t="s">
        <v>345</v>
      </c>
      <c r="S250" s="7">
        <v>804</v>
      </c>
      <c r="T250" s="7" t="s">
        <v>123</v>
      </c>
      <c r="U250" s="6" t="s">
        <v>102</v>
      </c>
      <c r="V250" s="6" t="s">
        <v>158</v>
      </c>
      <c r="W250" s="6" t="s">
        <v>160</v>
      </c>
      <c r="X250" s="6" t="s">
        <v>1844</v>
      </c>
      <c r="Y250" s="8" t="s">
        <v>3373</v>
      </c>
      <c r="Z250" s="8" t="s">
        <v>3374</v>
      </c>
      <c r="AA250" s="8" t="s">
        <v>3372</v>
      </c>
      <c r="AB250" s="6">
        <v>41390</v>
      </c>
      <c r="AC250" s="6">
        <v>41390</v>
      </c>
      <c r="AD250" s="6">
        <v>42005</v>
      </c>
      <c r="AE250" s="6" t="s">
        <v>177</v>
      </c>
      <c r="AF250" s="6" t="s">
        <v>178</v>
      </c>
      <c r="AG250" s="6" t="s">
        <v>180</v>
      </c>
      <c r="AH250" s="6" t="s">
        <v>244</v>
      </c>
      <c r="AI250" s="6" t="s">
        <v>182</v>
      </c>
      <c r="AJ250" s="6" t="s">
        <v>393</v>
      </c>
      <c r="AK250" s="6" t="s">
        <v>189</v>
      </c>
      <c r="AL250" s="6" t="s">
        <v>178</v>
      </c>
      <c r="AM250" s="6" t="s">
        <v>189</v>
      </c>
      <c r="AO250" s="6" t="s">
        <v>189</v>
      </c>
      <c r="AP250" s="6" t="s">
        <v>394</v>
      </c>
      <c r="AQ250" s="6" t="s">
        <v>189</v>
      </c>
      <c r="AR250" s="6" t="s">
        <v>185</v>
      </c>
      <c r="AS250" s="6" t="s">
        <v>379</v>
      </c>
      <c r="AT250" s="6" t="s">
        <v>379</v>
      </c>
      <c r="AU250" s="6" t="s">
        <v>189</v>
      </c>
      <c r="AV250" s="6" t="s">
        <v>630</v>
      </c>
      <c r="AW250" s="6" t="s">
        <v>442</v>
      </c>
      <c r="AX250" s="6" t="s">
        <v>428</v>
      </c>
    </row>
    <row r="251" spans="1:50">
      <c r="A251" s="6">
        <v>336</v>
      </c>
      <c r="B251" s="5" t="s">
        <v>3375</v>
      </c>
      <c r="C251" s="6">
        <v>6</v>
      </c>
      <c r="D251" s="6" t="s">
        <v>98</v>
      </c>
      <c r="E251" s="6">
        <v>295</v>
      </c>
      <c r="F251" s="6" t="s">
        <v>1853</v>
      </c>
      <c r="G251" s="6">
        <v>41988.923807870371</v>
      </c>
      <c r="H251" s="6">
        <v>42046.98170138889</v>
      </c>
      <c r="I251" s="6">
        <v>41988.923807870371</v>
      </c>
      <c r="J251" s="6" t="s">
        <v>103</v>
      </c>
      <c r="K251" s="6" t="s">
        <v>105</v>
      </c>
      <c r="L251" s="6" t="s">
        <v>1854</v>
      </c>
      <c r="M251" s="6" t="s">
        <v>374</v>
      </c>
      <c r="O251" s="6" t="s">
        <v>1855</v>
      </c>
      <c r="P251" s="6" t="s">
        <v>1563</v>
      </c>
      <c r="Q251" s="6">
        <v>804</v>
      </c>
      <c r="R251" s="6" t="s">
        <v>345</v>
      </c>
      <c r="S251" s="7">
        <v>804</v>
      </c>
      <c r="T251" s="7" t="s">
        <v>123</v>
      </c>
      <c r="U251" s="6" t="s">
        <v>102</v>
      </c>
      <c r="V251" s="6" t="s">
        <v>158</v>
      </c>
      <c r="W251" s="6" t="s">
        <v>160</v>
      </c>
      <c r="X251" s="6" t="s">
        <v>1854</v>
      </c>
      <c r="Y251" s="8" t="s">
        <v>3376</v>
      </c>
      <c r="Z251" s="8" t="s">
        <v>3377</v>
      </c>
      <c r="AA251" s="8" t="s">
        <v>3378</v>
      </c>
      <c r="AB251" s="6">
        <v>40706</v>
      </c>
      <c r="AC251" s="6">
        <v>40706</v>
      </c>
      <c r="AD251" s="6">
        <v>40706</v>
      </c>
      <c r="AE251" s="6" t="s">
        <v>177</v>
      </c>
      <c r="AF251" s="6" t="s">
        <v>178</v>
      </c>
      <c r="AG251" s="6" t="s">
        <v>180</v>
      </c>
      <c r="AH251" s="6" t="s">
        <v>244</v>
      </c>
      <c r="AI251" s="6" t="s">
        <v>182</v>
      </c>
      <c r="AJ251" s="6" t="s">
        <v>244</v>
      </c>
      <c r="AK251" s="6" t="s">
        <v>189</v>
      </c>
      <c r="AL251" s="6" t="s">
        <v>178</v>
      </c>
      <c r="AM251" s="6" t="s">
        <v>185</v>
      </c>
      <c r="AN251" s="6" t="s">
        <v>187</v>
      </c>
      <c r="AO251" s="6" t="s">
        <v>185</v>
      </c>
      <c r="AP251" s="6" t="s">
        <v>648</v>
      </c>
      <c r="AQ251" s="6" t="s">
        <v>185</v>
      </c>
      <c r="AR251" s="6" t="s">
        <v>288</v>
      </c>
      <c r="AS251" s="6" t="s">
        <v>785</v>
      </c>
      <c r="AT251" s="6" t="s">
        <v>785</v>
      </c>
      <c r="AU251" s="6" t="s">
        <v>288</v>
      </c>
      <c r="AV251" s="6" t="s">
        <v>244</v>
      </c>
      <c r="AW251" s="6" t="s">
        <v>196</v>
      </c>
      <c r="AX251" s="6" t="s">
        <v>428</v>
      </c>
    </row>
    <row r="252" spans="1:50">
      <c r="A252" s="6">
        <v>339</v>
      </c>
      <c r="B252" s="5" t="s">
        <v>3379</v>
      </c>
      <c r="C252" s="6">
        <v>3</v>
      </c>
      <c r="D252" s="6" t="s">
        <v>98</v>
      </c>
      <c r="E252" s="6">
        <v>1</v>
      </c>
      <c r="F252" s="6" t="s">
        <v>1856</v>
      </c>
      <c r="G252" s="6">
        <v>41988.923807870371</v>
      </c>
      <c r="H252" s="6">
        <v>41988.923807870371</v>
      </c>
      <c r="I252" s="6">
        <v>41988.923807870371</v>
      </c>
      <c r="J252" s="6" t="s">
        <v>103</v>
      </c>
      <c r="K252" s="6" t="s">
        <v>105</v>
      </c>
      <c r="L252" s="6" t="s">
        <v>1857</v>
      </c>
      <c r="M252" s="6" t="s">
        <v>532</v>
      </c>
      <c r="P252" s="6" t="s">
        <v>1563</v>
      </c>
      <c r="Q252" s="6">
        <v>804</v>
      </c>
      <c r="R252" s="6" t="s">
        <v>345</v>
      </c>
      <c r="S252" s="7">
        <v>804</v>
      </c>
      <c r="T252" s="7" t="s">
        <v>123</v>
      </c>
      <c r="U252" s="6" t="s">
        <v>102</v>
      </c>
      <c r="V252" s="6" t="s">
        <v>158</v>
      </c>
      <c r="W252" s="6" t="s">
        <v>160</v>
      </c>
      <c r="X252" s="6" t="s">
        <v>1857</v>
      </c>
      <c r="Y252" s="8" t="s">
        <v>3380</v>
      </c>
      <c r="Z252" s="8" t="s">
        <v>3381</v>
      </c>
      <c r="AA252" s="8" t="s">
        <v>3382</v>
      </c>
      <c r="AB252" s="6">
        <v>39904</v>
      </c>
      <c r="AC252" s="6">
        <v>39904</v>
      </c>
      <c r="AE252" s="6" t="s">
        <v>177</v>
      </c>
      <c r="AF252" s="6" t="s">
        <v>178</v>
      </c>
      <c r="AG252" s="6" t="s">
        <v>180</v>
      </c>
      <c r="AH252" s="6" t="s">
        <v>244</v>
      </c>
      <c r="AI252" s="6" t="s">
        <v>182</v>
      </c>
      <c r="AJ252" s="6" t="s">
        <v>244</v>
      </c>
      <c r="AK252" s="6" t="s">
        <v>185</v>
      </c>
      <c r="AL252" s="6" t="s">
        <v>178</v>
      </c>
      <c r="AM252" s="6" t="s">
        <v>185</v>
      </c>
      <c r="AN252" s="6" t="s">
        <v>181</v>
      </c>
      <c r="AO252" s="6" t="s">
        <v>185</v>
      </c>
      <c r="AP252" s="6" t="s">
        <v>386</v>
      </c>
      <c r="AQ252" s="6" t="s">
        <v>288</v>
      </c>
      <c r="AR252" s="6" t="s">
        <v>185</v>
      </c>
      <c r="AS252" s="6" t="s">
        <v>244</v>
      </c>
      <c r="AT252" s="6" t="s">
        <v>244</v>
      </c>
      <c r="AU252" s="6" t="s">
        <v>288</v>
      </c>
      <c r="AV252" s="6" t="s">
        <v>339</v>
      </c>
      <c r="AW252" s="6" t="s">
        <v>244</v>
      </c>
      <c r="AX252" s="6" t="s">
        <v>247</v>
      </c>
    </row>
    <row r="253" spans="1:50">
      <c r="A253" s="6">
        <v>337</v>
      </c>
      <c r="B253" s="5" t="s">
        <v>3383</v>
      </c>
      <c r="C253" s="6">
        <v>4</v>
      </c>
      <c r="D253" s="6" t="s">
        <v>98</v>
      </c>
      <c r="E253" s="6">
        <v>296</v>
      </c>
      <c r="F253" s="6" t="s">
        <v>1858</v>
      </c>
      <c r="G253" s="6">
        <v>41988.923807870371</v>
      </c>
      <c r="H253" s="6">
        <v>42046.98170138889</v>
      </c>
      <c r="I253" s="6">
        <v>41988.923807870371</v>
      </c>
      <c r="J253" s="6" t="s">
        <v>103</v>
      </c>
      <c r="K253" s="6" t="s">
        <v>105</v>
      </c>
      <c r="L253" s="6" t="s">
        <v>1859</v>
      </c>
      <c r="M253" s="6" t="s">
        <v>532</v>
      </c>
      <c r="P253" s="6" t="s">
        <v>1563</v>
      </c>
      <c r="Q253" s="6">
        <v>804</v>
      </c>
      <c r="R253" s="6" t="s">
        <v>345</v>
      </c>
      <c r="S253" s="7">
        <v>804</v>
      </c>
      <c r="T253" s="7" t="s">
        <v>123</v>
      </c>
      <c r="U253" s="6" t="s">
        <v>102</v>
      </c>
      <c r="V253" s="6" t="s">
        <v>158</v>
      </c>
      <c r="W253" s="6" t="s">
        <v>160</v>
      </c>
      <c r="X253" s="6" t="s">
        <v>1859</v>
      </c>
      <c r="Y253" s="8" t="s">
        <v>3384</v>
      </c>
      <c r="Z253" s="8" t="s">
        <v>3385</v>
      </c>
      <c r="AA253" s="8" t="s">
        <v>3386</v>
      </c>
      <c r="AB253" s="6">
        <v>41422</v>
      </c>
      <c r="AC253" s="6">
        <v>41422</v>
      </c>
      <c r="AE253" s="6" t="s">
        <v>244</v>
      </c>
      <c r="AF253" s="6" t="s">
        <v>178</v>
      </c>
      <c r="AG253" s="6" t="s">
        <v>370</v>
      </c>
      <c r="AH253" s="6" t="s">
        <v>244</v>
      </c>
      <c r="AI253" s="6" t="s">
        <v>182</v>
      </c>
      <c r="AJ253" s="6" t="s">
        <v>244</v>
      </c>
      <c r="AK253" s="6" t="s">
        <v>185</v>
      </c>
      <c r="AL253" s="6" t="s">
        <v>178</v>
      </c>
      <c r="AM253" s="6" t="s">
        <v>185</v>
      </c>
      <c r="AN253" s="6" t="s">
        <v>247</v>
      </c>
      <c r="AO253" s="6" t="s">
        <v>185</v>
      </c>
      <c r="AP253" s="6" t="s">
        <v>386</v>
      </c>
      <c r="AQ253" s="6" t="s">
        <v>288</v>
      </c>
      <c r="AR253" s="6" t="s">
        <v>185</v>
      </c>
      <c r="AS253" s="6" t="s">
        <v>244</v>
      </c>
      <c r="AT253" s="6" t="s">
        <v>244</v>
      </c>
      <c r="AU253" s="6" t="s">
        <v>288</v>
      </c>
      <c r="AV253" s="6" t="s">
        <v>339</v>
      </c>
      <c r="AW253" s="6" t="s">
        <v>244</v>
      </c>
      <c r="AX253" s="6" t="s">
        <v>247</v>
      </c>
    </row>
    <row r="254" spans="1:50">
      <c r="A254" s="6">
        <v>338</v>
      </c>
      <c r="B254" s="5" t="s">
        <v>3387</v>
      </c>
      <c r="C254" s="6">
        <v>4</v>
      </c>
      <c r="D254" s="6" t="s">
        <v>98</v>
      </c>
      <c r="E254" s="6">
        <v>297</v>
      </c>
      <c r="F254" s="6" t="s">
        <v>1860</v>
      </c>
      <c r="G254" s="6">
        <v>41988.923807870371</v>
      </c>
      <c r="H254" s="6">
        <v>42046.98170138889</v>
      </c>
      <c r="I254" s="6">
        <v>41988.923807870371</v>
      </c>
      <c r="J254" s="6" t="s">
        <v>103</v>
      </c>
      <c r="K254" s="6" t="s">
        <v>105</v>
      </c>
      <c r="L254" s="6" t="s">
        <v>1861</v>
      </c>
      <c r="M254" s="6" t="s">
        <v>532</v>
      </c>
      <c r="P254" s="6" t="s">
        <v>1563</v>
      </c>
      <c r="Q254" s="6">
        <v>804</v>
      </c>
      <c r="R254" s="6" t="s">
        <v>345</v>
      </c>
      <c r="S254" s="7">
        <v>804</v>
      </c>
      <c r="T254" s="7" t="s">
        <v>123</v>
      </c>
      <c r="U254" s="6" t="s">
        <v>102</v>
      </c>
      <c r="V254" s="6" t="s">
        <v>158</v>
      </c>
      <c r="W254" s="6" t="s">
        <v>160</v>
      </c>
      <c r="X254" s="6" t="s">
        <v>1861</v>
      </c>
      <c r="Y254" s="8" t="s">
        <v>3388</v>
      </c>
      <c r="Z254" s="8" t="s">
        <v>3389</v>
      </c>
      <c r="AA254" s="8" t="s">
        <v>3390</v>
      </c>
      <c r="AB254" s="6">
        <v>41102</v>
      </c>
      <c r="AC254" s="6">
        <v>41102</v>
      </c>
      <c r="AE254" s="6" t="s">
        <v>244</v>
      </c>
      <c r="AF254" s="6" t="s">
        <v>178</v>
      </c>
      <c r="AG254" s="6" t="s">
        <v>180</v>
      </c>
      <c r="AH254" s="6" t="s">
        <v>244</v>
      </c>
      <c r="AI254" s="6" t="s">
        <v>182</v>
      </c>
      <c r="AJ254" s="6" t="s">
        <v>244</v>
      </c>
      <c r="AK254" s="6" t="s">
        <v>185</v>
      </c>
      <c r="AL254" s="6" t="s">
        <v>178</v>
      </c>
      <c r="AM254" s="6" t="s">
        <v>185</v>
      </c>
      <c r="AN254" s="6" t="s">
        <v>247</v>
      </c>
      <c r="AO254" s="6" t="s">
        <v>185</v>
      </c>
      <c r="AP254" s="6" t="s">
        <v>386</v>
      </c>
      <c r="AQ254" s="6" t="s">
        <v>288</v>
      </c>
      <c r="AR254" s="6" t="s">
        <v>185</v>
      </c>
      <c r="AS254" s="6" t="s">
        <v>244</v>
      </c>
      <c r="AT254" s="6" t="s">
        <v>244</v>
      </c>
      <c r="AU254" s="6" t="s">
        <v>288</v>
      </c>
      <c r="AV254" s="6" t="s">
        <v>339</v>
      </c>
      <c r="AW254" s="6" t="s">
        <v>244</v>
      </c>
      <c r="AX254" s="6" t="s">
        <v>247</v>
      </c>
    </row>
    <row r="255" spans="1:50">
      <c r="A255" s="6">
        <v>340</v>
      </c>
      <c r="B255" s="5" t="s">
        <v>3391</v>
      </c>
      <c r="C255" s="6">
        <v>7</v>
      </c>
      <c r="D255" s="6" t="s">
        <v>98</v>
      </c>
      <c r="E255" s="6">
        <v>298</v>
      </c>
      <c r="F255" s="6" t="s">
        <v>1862</v>
      </c>
      <c r="G255" s="6">
        <v>41988.923807870371</v>
      </c>
      <c r="H255" s="6">
        <v>42046.98170138889</v>
      </c>
      <c r="I255" s="6">
        <v>41988.923807870371</v>
      </c>
      <c r="J255" s="6" t="s">
        <v>103</v>
      </c>
      <c r="K255" s="6" t="s">
        <v>105</v>
      </c>
      <c r="L255" s="6" t="s">
        <v>1863</v>
      </c>
      <c r="M255" s="6" t="s">
        <v>637</v>
      </c>
      <c r="O255" s="6" t="s">
        <v>1864</v>
      </c>
      <c r="P255" s="6" t="s">
        <v>215</v>
      </c>
      <c r="Q255" s="6">
        <v>826</v>
      </c>
      <c r="R255" s="6" t="s">
        <v>349</v>
      </c>
      <c r="S255" s="7">
        <v>826</v>
      </c>
      <c r="T255" s="7" t="s">
        <v>123</v>
      </c>
      <c r="U255" s="6" t="s">
        <v>125</v>
      </c>
      <c r="V255" s="6" t="s">
        <v>158</v>
      </c>
      <c r="W255" s="6" t="s">
        <v>160</v>
      </c>
      <c r="X255" s="6" t="s">
        <v>1863</v>
      </c>
      <c r="Y255" s="8" t="s">
        <v>3392</v>
      </c>
      <c r="Z255" s="8" t="s">
        <v>3393</v>
      </c>
      <c r="AA255" s="8" t="s">
        <v>3394</v>
      </c>
      <c r="AC255" s="6">
        <v>41640</v>
      </c>
      <c r="AE255" s="6" t="s">
        <v>177</v>
      </c>
      <c r="AF255" s="6" t="s">
        <v>178</v>
      </c>
      <c r="AG255" s="6" t="s">
        <v>180</v>
      </c>
      <c r="AH255" s="6" t="s">
        <v>244</v>
      </c>
      <c r="AI255" s="6" t="s">
        <v>182</v>
      </c>
      <c r="AJ255" s="6" t="s">
        <v>244</v>
      </c>
      <c r="AK255" s="6" t="s">
        <v>189</v>
      </c>
      <c r="AL255" s="6" t="s">
        <v>178</v>
      </c>
      <c r="AM255" s="6" t="s">
        <v>244</v>
      </c>
      <c r="AN255" s="6" t="s">
        <v>247</v>
      </c>
      <c r="AO255" s="6" t="s">
        <v>185</v>
      </c>
      <c r="AP255" s="6" t="s">
        <v>386</v>
      </c>
      <c r="AQ255" s="6" t="s">
        <v>288</v>
      </c>
      <c r="AR255" s="6" t="s">
        <v>288</v>
      </c>
      <c r="AS255" s="6" t="s">
        <v>244</v>
      </c>
      <c r="AT255" s="6" t="s">
        <v>244</v>
      </c>
      <c r="AU255" s="6" t="s">
        <v>288</v>
      </c>
      <c r="AV255" s="6" t="s">
        <v>339</v>
      </c>
      <c r="AW255" s="6" t="s">
        <v>442</v>
      </c>
      <c r="AX255" s="6" t="s">
        <v>371</v>
      </c>
    </row>
    <row r="256" spans="1:50">
      <c r="A256" s="6">
        <v>341</v>
      </c>
      <c r="B256" s="5" t="s">
        <v>3395</v>
      </c>
      <c r="C256" s="6">
        <v>3</v>
      </c>
      <c r="D256" s="6" t="s">
        <v>98</v>
      </c>
      <c r="E256" s="6">
        <v>1</v>
      </c>
      <c r="F256" s="6" t="s">
        <v>1865</v>
      </c>
      <c r="G256" s="6">
        <v>41988.923831018517</v>
      </c>
      <c r="H256" s="6">
        <v>41988.923831018517</v>
      </c>
      <c r="I256" s="6">
        <v>41988.923831018517</v>
      </c>
      <c r="J256" s="6" t="s">
        <v>103</v>
      </c>
      <c r="K256" s="6" t="s">
        <v>105</v>
      </c>
      <c r="L256" s="6" t="s">
        <v>1866</v>
      </c>
      <c r="M256" s="6" t="s">
        <v>374</v>
      </c>
      <c r="P256" s="6" t="s">
        <v>215</v>
      </c>
      <c r="Q256" s="6">
        <v>826</v>
      </c>
      <c r="R256" s="6" t="s">
        <v>349</v>
      </c>
      <c r="S256" s="7">
        <v>826</v>
      </c>
      <c r="T256" s="7" t="s">
        <v>123</v>
      </c>
      <c r="U256" s="6" t="s">
        <v>125</v>
      </c>
      <c r="V256" s="6" t="s">
        <v>158</v>
      </c>
      <c r="W256" s="6" t="s">
        <v>364</v>
      </c>
      <c r="X256" s="6" t="s">
        <v>1866</v>
      </c>
      <c r="Y256" s="8" t="s">
        <v>3396</v>
      </c>
      <c r="Z256" s="8" t="s">
        <v>3397</v>
      </c>
      <c r="AA256" s="8" t="s">
        <v>3398</v>
      </c>
      <c r="AC256" s="6">
        <v>39083</v>
      </c>
      <c r="AE256" s="6" t="s">
        <v>177</v>
      </c>
      <c r="AF256" s="6" t="s">
        <v>178</v>
      </c>
      <c r="AG256" s="6" t="s">
        <v>463</v>
      </c>
      <c r="AH256" s="6" t="s">
        <v>377</v>
      </c>
      <c r="AI256" s="6" t="s">
        <v>182</v>
      </c>
      <c r="AJ256" s="6" t="s">
        <v>393</v>
      </c>
      <c r="AK256" s="6" t="s">
        <v>185</v>
      </c>
      <c r="AL256" s="6" t="s">
        <v>178</v>
      </c>
      <c r="AM256" s="6" t="s">
        <v>189</v>
      </c>
      <c r="AN256" s="6" t="s">
        <v>378</v>
      </c>
      <c r="AO256" s="6" t="s">
        <v>185</v>
      </c>
      <c r="AP256" s="6" t="s">
        <v>386</v>
      </c>
      <c r="AQ256" s="6" t="s">
        <v>288</v>
      </c>
      <c r="AR256" s="6" t="s">
        <v>288</v>
      </c>
      <c r="AS256" s="6" t="s">
        <v>379</v>
      </c>
      <c r="AT256" s="6" t="s">
        <v>244</v>
      </c>
      <c r="AU256" s="6" t="s">
        <v>288</v>
      </c>
      <c r="AV256" s="6" t="s">
        <v>339</v>
      </c>
      <c r="AW256" s="6" t="s">
        <v>442</v>
      </c>
      <c r="AX256" s="6" t="s">
        <v>521</v>
      </c>
    </row>
    <row r="257" spans="1:50">
      <c r="A257" s="6">
        <v>342</v>
      </c>
      <c r="B257" s="5" t="s">
        <v>3399</v>
      </c>
      <c r="C257" s="6">
        <v>3</v>
      </c>
      <c r="D257" s="6" t="s">
        <v>98</v>
      </c>
      <c r="E257" s="6">
        <v>1</v>
      </c>
      <c r="F257" s="6" t="s">
        <v>1867</v>
      </c>
      <c r="G257" s="6">
        <v>41988.923831018517</v>
      </c>
      <c r="H257" s="6">
        <v>41988.923831018517</v>
      </c>
      <c r="I257" s="6">
        <v>41988.923831018517</v>
      </c>
      <c r="J257" s="6" t="s">
        <v>103</v>
      </c>
      <c r="K257" s="6" t="s">
        <v>105</v>
      </c>
      <c r="L257" s="6" t="s">
        <v>1868</v>
      </c>
      <c r="M257" s="6" t="s">
        <v>374</v>
      </c>
      <c r="N257" s="6" t="s">
        <v>1869</v>
      </c>
      <c r="P257" s="6" t="s">
        <v>215</v>
      </c>
      <c r="Q257" s="6">
        <v>826</v>
      </c>
      <c r="R257" s="6" t="s">
        <v>349</v>
      </c>
      <c r="S257" s="7">
        <v>826</v>
      </c>
      <c r="T257" s="7" t="s">
        <v>123</v>
      </c>
      <c r="U257" s="6" t="s">
        <v>125</v>
      </c>
      <c r="V257" s="6" t="s">
        <v>158</v>
      </c>
      <c r="W257" s="6" t="s">
        <v>376</v>
      </c>
      <c r="X257" s="6" t="s">
        <v>1868</v>
      </c>
      <c r="Y257" s="8" t="s">
        <v>3400</v>
      </c>
      <c r="Z257" s="8" t="s">
        <v>3401</v>
      </c>
      <c r="AB257" s="6">
        <v>39331</v>
      </c>
      <c r="AC257" s="6">
        <v>39331</v>
      </c>
      <c r="AD257" s="6">
        <v>41365</v>
      </c>
      <c r="AE257" s="6" t="s">
        <v>177</v>
      </c>
      <c r="AF257" s="6" t="s">
        <v>178</v>
      </c>
      <c r="AG257" s="6" t="s">
        <v>370</v>
      </c>
      <c r="AH257" s="6" t="s">
        <v>377</v>
      </c>
      <c r="AI257" s="6" t="s">
        <v>182</v>
      </c>
      <c r="AJ257" s="6" t="s">
        <v>393</v>
      </c>
      <c r="AK257" s="6" t="s">
        <v>185</v>
      </c>
      <c r="AL257" s="6" t="s">
        <v>178</v>
      </c>
      <c r="AM257" s="6" t="s">
        <v>244</v>
      </c>
      <c r="AN257" s="6" t="s">
        <v>378</v>
      </c>
      <c r="AO257" s="6" t="s">
        <v>185</v>
      </c>
      <c r="AP257" s="6" t="s">
        <v>386</v>
      </c>
      <c r="AQ257" s="6" t="s">
        <v>288</v>
      </c>
      <c r="AR257" s="6" t="s">
        <v>288</v>
      </c>
      <c r="AS257" s="6" t="s">
        <v>379</v>
      </c>
      <c r="AT257" s="6" t="s">
        <v>395</v>
      </c>
      <c r="AU257" s="6" t="s">
        <v>185</v>
      </c>
      <c r="AV257" s="6" t="s">
        <v>520</v>
      </c>
      <c r="AW257" s="6" t="s">
        <v>341</v>
      </c>
      <c r="AX257" s="6" t="s">
        <v>521</v>
      </c>
    </row>
    <row r="258" spans="1:50">
      <c r="A258" s="6">
        <v>343</v>
      </c>
      <c r="B258" s="5" t="s">
        <v>3402</v>
      </c>
      <c r="C258" s="6">
        <v>5</v>
      </c>
      <c r="D258" s="6" t="s">
        <v>98</v>
      </c>
      <c r="E258" s="6">
        <v>1</v>
      </c>
      <c r="F258" s="6" t="s">
        <v>1870</v>
      </c>
      <c r="G258" s="6">
        <v>41988.923831018517</v>
      </c>
      <c r="H258" s="6">
        <v>42086.946793981479</v>
      </c>
      <c r="I258" s="6">
        <v>41988.923831018517</v>
      </c>
      <c r="J258" s="6" t="s">
        <v>103</v>
      </c>
      <c r="K258" s="6" t="s">
        <v>105</v>
      </c>
      <c r="L258" s="6" t="s">
        <v>1871</v>
      </c>
      <c r="M258" s="6" t="s">
        <v>374</v>
      </c>
      <c r="P258" s="6" t="s">
        <v>215</v>
      </c>
      <c r="Q258" s="6">
        <v>826</v>
      </c>
      <c r="R258" s="6" t="s">
        <v>349</v>
      </c>
      <c r="S258" s="7">
        <v>826</v>
      </c>
      <c r="T258" s="7" t="s">
        <v>123</v>
      </c>
      <c r="U258" s="6" t="s">
        <v>125</v>
      </c>
      <c r="V258" s="6" t="s">
        <v>158</v>
      </c>
      <c r="W258" s="6" t="s">
        <v>160</v>
      </c>
      <c r="X258" s="6" t="s">
        <v>1871</v>
      </c>
      <c r="Y258" s="8" t="s">
        <v>3403</v>
      </c>
      <c r="Z258" s="8" t="s">
        <v>3404</v>
      </c>
      <c r="AA258" s="8" t="s">
        <v>3405</v>
      </c>
      <c r="AB258" s="6">
        <v>40008</v>
      </c>
      <c r="AD258" s="6">
        <v>41913</v>
      </c>
      <c r="AE258" s="6" t="s">
        <v>177</v>
      </c>
      <c r="AF258" s="6" t="s">
        <v>178</v>
      </c>
      <c r="AG258" s="6" t="s">
        <v>180</v>
      </c>
      <c r="AH258" s="6" t="s">
        <v>371</v>
      </c>
      <c r="AI258" s="6" t="s">
        <v>182</v>
      </c>
      <c r="AJ258" s="6" t="s">
        <v>393</v>
      </c>
      <c r="AK258" s="6" t="s">
        <v>288</v>
      </c>
      <c r="AL258" s="6" t="s">
        <v>178</v>
      </c>
      <c r="AM258" s="6" t="s">
        <v>185</v>
      </c>
      <c r="AN258" s="6" t="s">
        <v>378</v>
      </c>
      <c r="AO258" s="6" t="s">
        <v>189</v>
      </c>
      <c r="AP258" s="6" t="s">
        <v>247</v>
      </c>
      <c r="AQ258" s="6" t="s">
        <v>244</v>
      </c>
      <c r="AR258" s="6" t="s">
        <v>244</v>
      </c>
      <c r="AS258" s="6" t="s">
        <v>379</v>
      </c>
      <c r="AT258" s="6" t="s">
        <v>395</v>
      </c>
      <c r="AU258" s="6" t="s">
        <v>189</v>
      </c>
      <c r="AV258" s="6" t="s">
        <v>520</v>
      </c>
      <c r="AW258" s="6" t="s">
        <v>341</v>
      </c>
      <c r="AX258" s="6" t="s">
        <v>428</v>
      </c>
    </row>
    <row r="259" spans="1:50">
      <c r="A259" s="6">
        <v>344</v>
      </c>
      <c r="B259" s="5" t="s">
        <v>3406</v>
      </c>
      <c r="C259" s="6">
        <v>4</v>
      </c>
      <c r="D259" s="6" t="s">
        <v>98</v>
      </c>
      <c r="E259" s="6">
        <v>1</v>
      </c>
      <c r="F259" s="6" t="s">
        <v>1872</v>
      </c>
      <c r="G259" s="6">
        <v>41988.923831018517</v>
      </c>
      <c r="H259" s="6">
        <v>42066.885150462964</v>
      </c>
      <c r="I259" s="6">
        <v>41988.923831018517</v>
      </c>
      <c r="J259" s="6" t="s">
        <v>103</v>
      </c>
      <c r="K259" s="6" t="s">
        <v>105</v>
      </c>
      <c r="L259" s="6" t="s">
        <v>1873</v>
      </c>
      <c r="M259" s="6" t="s">
        <v>307</v>
      </c>
      <c r="N259" s="6" t="s">
        <v>1874</v>
      </c>
      <c r="P259" s="6" t="s">
        <v>1875</v>
      </c>
      <c r="Q259" s="6">
        <v>826</v>
      </c>
      <c r="R259" s="6" t="s">
        <v>349</v>
      </c>
      <c r="S259" s="7">
        <v>826</v>
      </c>
      <c r="T259" s="7" t="s">
        <v>123</v>
      </c>
      <c r="U259" s="6" t="s">
        <v>125</v>
      </c>
      <c r="V259" s="6" t="s">
        <v>158</v>
      </c>
      <c r="W259" s="6" t="s">
        <v>160</v>
      </c>
      <c r="X259" s="6" t="s">
        <v>1873</v>
      </c>
      <c r="Y259" s="8" t="s">
        <v>3407</v>
      </c>
      <c r="Z259" s="8" t="s">
        <v>3408</v>
      </c>
      <c r="AA259" s="8" t="s">
        <v>3409</v>
      </c>
      <c r="AE259" s="6" t="s">
        <v>244</v>
      </c>
      <c r="AF259" s="6" t="s">
        <v>178</v>
      </c>
      <c r="AG259" s="6" t="s">
        <v>180</v>
      </c>
      <c r="AH259" s="6" t="s">
        <v>244</v>
      </c>
      <c r="AI259" s="6" t="s">
        <v>182</v>
      </c>
      <c r="AJ259" s="6" t="s">
        <v>393</v>
      </c>
      <c r="AK259" s="6" t="s">
        <v>244</v>
      </c>
      <c r="AL259" s="6" t="s">
        <v>247</v>
      </c>
      <c r="AM259" s="6" t="s">
        <v>244</v>
      </c>
      <c r="AN259" s="6" t="s">
        <v>247</v>
      </c>
      <c r="AO259" s="6" t="s">
        <v>244</v>
      </c>
      <c r="AP259" s="6" t="s">
        <v>247</v>
      </c>
      <c r="AQ259" s="6" t="s">
        <v>288</v>
      </c>
      <c r="AR259" s="6" t="s">
        <v>185</v>
      </c>
      <c r="AS259" s="6" t="s">
        <v>244</v>
      </c>
      <c r="AT259" s="6" t="s">
        <v>244</v>
      </c>
      <c r="AU259" s="6" t="s">
        <v>288</v>
      </c>
      <c r="AV259" s="6" t="s">
        <v>339</v>
      </c>
      <c r="AW259" s="6" t="s">
        <v>442</v>
      </c>
      <c r="AX259" s="6" t="s">
        <v>371</v>
      </c>
    </row>
    <row r="260" spans="1:50">
      <c r="A260" s="6">
        <v>730</v>
      </c>
      <c r="B260" s="5" t="s">
        <v>3410</v>
      </c>
      <c r="C260" s="6">
        <v>4</v>
      </c>
      <c r="D260" s="6" t="s">
        <v>98</v>
      </c>
      <c r="E260" s="6">
        <v>65</v>
      </c>
      <c r="F260" s="6" t="s">
        <v>1876</v>
      </c>
      <c r="G260" s="6">
        <v>42103.633402777778</v>
      </c>
      <c r="H260" s="6">
        <v>42103.633402777778</v>
      </c>
      <c r="I260" s="6">
        <v>42103.633402777778</v>
      </c>
      <c r="J260" s="6" t="s">
        <v>103</v>
      </c>
      <c r="K260" s="6" t="s">
        <v>105</v>
      </c>
      <c r="L260" s="6" t="s">
        <v>1877</v>
      </c>
      <c r="P260" s="6" t="s">
        <v>215</v>
      </c>
      <c r="Q260" s="6">
        <v>826</v>
      </c>
      <c r="R260" s="6" t="s">
        <v>349</v>
      </c>
      <c r="S260" s="7">
        <v>826</v>
      </c>
      <c r="T260" s="7" t="s">
        <v>123</v>
      </c>
      <c r="U260" s="6" t="s">
        <v>125</v>
      </c>
      <c r="V260" s="6" t="s">
        <v>158</v>
      </c>
      <c r="W260" s="6" t="s">
        <v>160</v>
      </c>
      <c r="X260" s="6" t="s">
        <v>1877</v>
      </c>
      <c r="Y260" s="8" t="s">
        <v>3411</v>
      </c>
      <c r="Z260" s="8" t="s">
        <v>3412</v>
      </c>
      <c r="AA260" s="8" t="s">
        <v>3413</v>
      </c>
      <c r="AB260" s="6">
        <v>42005</v>
      </c>
      <c r="AC260" s="6">
        <v>42064</v>
      </c>
      <c r="AD260" s="6">
        <v>42156</v>
      </c>
      <c r="AE260" s="6" t="s">
        <v>478</v>
      </c>
      <c r="AF260" s="6" t="s">
        <v>178</v>
      </c>
      <c r="AG260" s="6" t="s">
        <v>180</v>
      </c>
      <c r="AH260" s="6" t="s">
        <v>187</v>
      </c>
      <c r="AI260" s="6" t="s">
        <v>182</v>
      </c>
      <c r="AJ260" s="6" t="s">
        <v>393</v>
      </c>
      <c r="AK260" s="6" t="s">
        <v>185</v>
      </c>
      <c r="AL260" s="6" t="s">
        <v>178</v>
      </c>
      <c r="AM260" s="6" t="s">
        <v>189</v>
      </c>
      <c r="AN260" s="6" t="s">
        <v>181</v>
      </c>
      <c r="AP260" s="6" t="s">
        <v>394</v>
      </c>
      <c r="AQ260" s="6" t="s">
        <v>244</v>
      </c>
      <c r="AR260" s="6" t="s">
        <v>189</v>
      </c>
      <c r="AS260" s="6" t="s">
        <v>244</v>
      </c>
      <c r="AT260" s="6" t="s">
        <v>244</v>
      </c>
      <c r="AU260" s="6" t="s">
        <v>244</v>
      </c>
      <c r="AV260" s="6" t="s">
        <v>244</v>
      </c>
      <c r="AW260" s="6" t="s">
        <v>244</v>
      </c>
      <c r="AX260" s="6" t="s">
        <v>247</v>
      </c>
    </row>
    <row r="261" spans="1:50">
      <c r="A261" s="6">
        <v>345</v>
      </c>
      <c r="B261" s="5" t="s">
        <v>3414</v>
      </c>
      <c r="C261" s="6">
        <v>3</v>
      </c>
      <c r="D261" s="6" t="s">
        <v>98</v>
      </c>
      <c r="E261" s="6">
        <v>1</v>
      </c>
      <c r="F261" s="6" t="s">
        <v>1878</v>
      </c>
      <c r="G261" s="6">
        <v>41988.923831018517</v>
      </c>
      <c r="H261" s="6">
        <v>41988.923831018517</v>
      </c>
      <c r="I261" s="6">
        <v>41988.923831018517</v>
      </c>
      <c r="J261" s="6" t="s">
        <v>103</v>
      </c>
      <c r="K261" s="6" t="s">
        <v>105</v>
      </c>
      <c r="L261" s="6" t="s">
        <v>1879</v>
      </c>
      <c r="M261" s="6" t="s">
        <v>374</v>
      </c>
      <c r="N261" s="6" t="s">
        <v>1869</v>
      </c>
      <c r="P261" s="6" t="s">
        <v>215</v>
      </c>
      <c r="Q261" s="6">
        <v>826</v>
      </c>
      <c r="R261" s="6" t="s">
        <v>349</v>
      </c>
      <c r="S261" s="7">
        <v>826</v>
      </c>
      <c r="T261" s="7" t="s">
        <v>123</v>
      </c>
      <c r="U261" s="6" t="s">
        <v>125</v>
      </c>
      <c r="V261" s="6" t="s">
        <v>158</v>
      </c>
      <c r="W261" s="6" t="s">
        <v>376</v>
      </c>
      <c r="X261" s="6" t="s">
        <v>1879</v>
      </c>
      <c r="Y261" s="8" t="s">
        <v>3415</v>
      </c>
      <c r="Z261" s="6" t="s">
        <v>1880</v>
      </c>
      <c r="AA261" s="8" t="s">
        <v>3398</v>
      </c>
      <c r="AC261" s="6">
        <v>38991</v>
      </c>
      <c r="AD261" s="6">
        <v>41365</v>
      </c>
      <c r="AE261" s="6" t="s">
        <v>177</v>
      </c>
      <c r="AF261" s="6" t="s">
        <v>178</v>
      </c>
      <c r="AG261" s="6" t="s">
        <v>463</v>
      </c>
      <c r="AH261" s="6" t="s">
        <v>377</v>
      </c>
      <c r="AI261" s="6" t="s">
        <v>182</v>
      </c>
      <c r="AJ261" s="6" t="s">
        <v>393</v>
      </c>
      <c r="AK261" s="6" t="s">
        <v>185</v>
      </c>
      <c r="AL261" s="6" t="s">
        <v>178</v>
      </c>
      <c r="AM261" s="6" t="s">
        <v>244</v>
      </c>
      <c r="AN261" s="6" t="s">
        <v>378</v>
      </c>
      <c r="AO261" s="6" t="s">
        <v>185</v>
      </c>
      <c r="AP261" s="6" t="s">
        <v>386</v>
      </c>
      <c r="AQ261" s="6" t="s">
        <v>288</v>
      </c>
      <c r="AR261" s="6" t="s">
        <v>288</v>
      </c>
      <c r="AS261" s="6" t="s">
        <v>379</v>
      </c>
      <c r="AT261" s="6" t="s">
        <v>395</v>
      </c>
      <c r="AU261" s="6" t="s">
        <v>185</v>
      </c>
      <c r="AV261" s="6" t="s">
        <v>520</v>
      </c>
      <c r="AW261" s="6" t="s">
        <v>341</v>
      </c>
      <c r="AX261" s="6" t="s">
        <v>521</v>
      </c>
    </row>
    <row r="262" spans="1:50">
      <c r="A262" s="6">
        <v>347</v>
      </c>
      <c r="B262" s="5" t="s">
        <v>3416</v>
      </c>
      <c r="C262" s="6">
        <v>5</v>
      </c>
      <c r="D262" s="6" t="s">
        <v>98</v>
      </c>
      <c r="E262" s="6">
        <v>1</v>
      </c>
      <c r="F262" s="6" t="s">
        <v>1881</v>
      </c>
      <c r="G262" s="6">
        <v>41988.923842592594</v>
      </c>
      <c r="H262" s="6">
        <v>42020.68546296296</v>
      </c>
      <c r="I262" s="6">
        <v>41988.923842592594</v>
      </c>
      <c r="J262" s="6" t="s">
        <v>103</v>
      </c>
      <c r="K262" s="6" t="s">
        <v>105</v>
      </c>
      <c r="L262" s="6" t="s">
        <v>1882</v>
      </c>
      <c r="M262" s="6" t="s">
        <v>532</v>
      </c>
      <c r="N262" s="6" t="s">
        <v>1883</v>
      </c>
      <c r="P262" s="6" t="s">
        <v>215</v>
      </c>
      <c r="Q262" s="6">
        <v>826</v>
      </c>
      <c r="R262" s="6" t="s">
        <v>349</v>
      </c>
      <c r="S262" s="7">
        <v>826</v>
      </c>
      <c r="T262" s="7" t="s">
        <v>123</v>
      </c>
      <c r="U262" s="6" t="s">
        <v>125</v>
      </c>
      <c r="V262" s="6" t="s">
        <v>158</v>
      </c>
      <c r="W262" s="6" t="s">
        <v>384</v>
      </c>
      <c r="X262" s="6" t="s">
        <v>1882</v>
      </c>
      <c r="Y262" s="8" t="s">
        <v>3417</v>
      </c>
      <c r="Z262" s="8" t="s">
        <v>3418</v>
      </c>
      <c r="AA262" s="8" t="s">
        <v>3419</v>
      </c>
      <c r="AB262" s="6">
        <v>40819</v>
      </c>
      <c r="AC262" s="6">
        <v>40819</v>
      </c>
      <c r="AE262" s="6" t="s">
        <v>478</v>
      </c>
      <c r="AF262" s="6" t="s">
        <v>178</v>
      </c>
      <c r="AG262" s="6" t="s">
        <v>180</v>
      </c>
      <c r="AH262" s="6" t="s">
        <v>187</v>
      </c>
      <c r="AI262" s="6" t="s">
        <v>182</v>
      </c>
      <c r="AJ262" s="6" t="s">
        <v>393</v>
      </c>
      <c r="AK262" s="6" t="s">
        <v>185</v>
      </c>
      <c r="AL262" s="6" t="s">
        <v>178</v>
      </c>
      <c r="AM262" s="6" t="s">
        <v>189</v>
      </c>
      <c r="AN262" s="6" t="s">
        <v>181</v>
      </c>
      <c r="AO262" s="6" t="s">
        <v>244</v>
      </c>
      <c r="AP262" s="6" t="s">
        <v>247</v>
      </c>
      <c r="AQ262" s="6" t="s">
        <v>244</v>
      </c>
      <c r="AR262" s="6" t="s">
        <v>189</v>
      </c>
      <c r="AS262" s="6" t="s">
        <v>244</v>
      </c>
      <c r="AT262" s="6" t="s">
        <v>244</v>
      </c>
      <c r="AU262" s="6" t="s">
        <v>244</v>
      </c>
      <c r="AV262" s="6" t="s">
        <v>244</v>
      </c>
      <c r="AW262" s="6" t="s">
        <v>244</v>
      </c>
      <c r="AX262" s="6" t="s">
        <v>247</v>
      </c>
    </row>
    <row r="263" spans="1:50">
      <c r="A263" s="6">
        <v>346</v>
      </c>
      <c r="B263" s="5" t="s">
        <v>3420</v>
      </c>
      <c r="C263" s="6">
        <v>3</v>
      </c>
      <c r="D263" s="6" t="s">
        <v>98</v>
      </c>
      <c r="E263" s="6">
        <v>1</v>
      </c>
      <c r="F263" s="6" t="s">
        <v>1884</v>
      </c>
      <c r="G263" s="6">
        <v>41988.923831018517</v>
      </c>
      <c r="H263" s="6">
        <v>41988.923831018517</v>
      </c>
      <c r="I263" s="6">
        <v>41988.923831018517</v>
      </c>
      <c r="J263" s="6" t="s">
        <v>103</v>
      </c>
      <c r="K263" s="6" t="s">
        <v>105</v>
      </c>
      <c r="L263" s="6" t="s">
        <v>1885</v>
      </c>
      <c r="M263" s="6" t="s">
        <v>532</v>
      </c>
      <c r="N263" s="6" t="s">
        <v>1886</v>
      </c>
      <c r="P263" s="6" t="s">
        <v>215</v>
      </c>
      <c r="Q263" s="6">
        <v>826</v>
      </c>
      <c r="R263" s="6" t="s">
        <v>349</v>
      </c>
      <c r="S263" s="7">
        <v>826</v>
      </c>
      <c r="T263" s="7" t="s">
        <v>123</v>
      </c>
      <c r="U263" s="6" t="s">
        <v>125</v>
      </c>
      <c r="V263" s="6" t="s">
        <v>158</v>
      </c>
      <c r="W263" s="6" t="s">
        <v>160</v>
      </c>
      <c r="X263" s="6" t="s">
        <v>1885</v>
      </c>
      <c r="Y263" s="8" t="s">
        <v>3421</v>
      </c>
      <c r="Z263" s="8" t="s">
        <v>3418</v>
      </c>
      <c r="AA263" s="8" t="s">
        <v>3419</v>
      </c>
      <c r="AB263" s="6">
        <v>40737</v>
      </c>
      <c r="AC263" s="6">
        <v>40819</v>
      </c>
      <c r="AE263" s="6" t="s">
        <v>177</v>
      </c>
      <c r="AF263" s="6" t="s">
        <v>178</v>
      </c>
      <c r="AG263" s="6" t="s">
        <v>180</v>
      </c>
      <c r="AH263" s="6" t="s">
        <v>187</v>
      </c>
      <c r="AI263" s="6" t="s">
        <v>182</v>
      </c>
      <c r="AJ263" s="6" t="s">
        <v>393</v>
      </c>
      <c r="AK263" s="6" t="s">
        <v>185</v>
      </c>
      <c r="AL263" s="6" t="s">
        <v>371</v>
      </c>
      <c r="AM263" s="6" t="s">
        <v>189</v>
      </c>
      <c r="AN263" s="6" t="s">
        <v>371</v>
      </c>
      <c r="AO263" s="6" t="s">
        <v>185</v>
      </c>
      <c r="AP263" s="6" t="s">
        <v>386</v>
      </c>
      <c r="AQ263" s="6" t="s">
        <v>288</v>
      </c>
      <c r="AR263" s="6" t="s">
        <v>189</v>
      </c>
      <c r="AS263" s="6" t="s">
        <v>244</v>
      </c>
      <c r="AT263" s="6" t="s">
        <v>244</v>
      </c>
      <c r="AU263" s="6" t="s">
        <v>288</v>
      </c>
      <c r="AV263" s="6" t="s">
        <v>339</v>
      </c>
      <c r="AW263" s="6" t="s">
        <v>244</v>
      </c>
      <c r="AX263" s="6" t="s">
        <v>247</v>
      </c>
    </row>
    <row r="264" spans="1:50">
      <c r="A264" s="6">
        <v>728</v>
      </c>
      <c r="B264" s="5" t="s">
        <v>3422</v>
      </c>
      <c r="C264" s="6">
        <v>4</v>
      </c>
      <c r="D264" s="6" t="s">
        <v>98</v>
      </c>
      <c r="E264" s="6">
        <v>65</v>
      </c>
      <c r="F264" s="6" t="s">
        <v>1887</v>
      </c>
      <c r="G264" s="6">
        <v>42103.614166666666</v>
      </c>
      <c r="H264" s="6">
        <v>42103.614166666666</v>
      </c>
      <c r="I264" s="6">
        <v>42103.614166666666</v>
      </c>
      <c r="J264" s="6" t="s">
        <v>103</v>
      </c>
      <c r="K264" s="6" t="s">
        <v>105</v>
      </c>
      <c r="L264" s="6" t="s">
        <v>1888</v>
      </c>
      <c r="P264" s="6" t="s">
        <v>215</v>
      </c>
      <c r="Q264" s="6">
        <v>826</v>
      </c>
      <c r="R264" s="6" t="s">
        <v>349</v>
      </c>
      <c r="S264" s="7">
        <v>826</v>
      </c>
      <c r="T264" s="7" t="s">
        <v>123</v>
      </c>
      <c r="U264" s="6" t="s">
        <v>125</v>
      </c>
      <c r="V264" s="6" t="s">
        <v>158</v>
      </c>
      <c r="W264" s="6" t="s">
        <v>376</v>
      </c>
      <c r="X264" s="6" t="s">
        <v>1888</v>
      </c>
      <c r="Y264" s="8" t="s">
        <v>3423</v>
      </c>
      <c r="Z264" s="8" t="s">
        <v>3424</v>
      </c>
      <c r="AA264" s="8" t="s">
        <v>3398</v>
      </c>
      <c r="AB264" s="6">
        <v>41883</v>
      </c>
      <c r="AC264" s="6">
        <v>41913</v>
      </c>
      <c r="AE264" s="6" t="s">
        <v>177</v>
      </c>
      <c r="AF264" s="6" t="s">
        <v>178</v>
      </c>
      <c r="AG264" s="6" t="s">
        <v>463</v>
      </c>
      <c r="AH264" s="6" t="s">
        <v>377</v>
      </c>
      <c r="AI264" s="6" t="s">
        <v>182</v>
      </c>
      <c r="AJ264" s="6" t="s">
        <v>393</v>
      </c>
      <c r="AK264" s="6" t="s">
        <v>185</v>
      </c>
      <c r="AL264" s="6" t="s">
        <v>178</v>
      </c>
      <c r="AM264" s="6" t="s">
        <v>185</v>
      </c>
      <c r="AN264" s="6" t="s">
        <v>378</v>
      </c>
      <c r="AO264" s="6" t="s">
        <v>244</v>
      </c>
      <c r="AP264" s="6" t="s">
        <v>247</v>
      </c>
      <c r="AQ264" s="6" t="s">
        <v>244</v>
      </c>
      <c r="AR264" s="6" t="s">
        <v>244</v>
      </c>
      <c r="AS264" s="6" t="s">
        <v>379</v>
      </c>
      <c r="AT264" s="6" t="s">
        <v>244</v>
      </c>
      <c r="AU264" s="6" t="s">
        <v>185</v>
      </c>
      <c r="AV264" s="6" t="s">
        <v>520</v>
      </c>
      <c r="AW264" s="6" t="s">
        <v>442</v>
      </c>
      <c r="AX264" s="6" t="s">
        <v>521</v>
      </c>
    </row>
    <row r="265" spans="1:50">
      <c r="A265" s="6">
        <v>348</v>
      </c>
      <c r="B265" s="5" t="s">
        <v>3425</v>
      </c>
      <c r="C265" s="6">
        <v>4</v>
      </c>
      <c r="D265" s="6" t="s">
        <v>98</v>
      </c>
      <c r="E265" s="6">
        <v>1</v>
      </c>
      <c r="F265" s="6" t="s">
        <v>1889</v>
      </c>
      <c r="G265" s="6">
        <v>41988.923842592594</v>
      </c>
      <c r="H265" s="6">
        <v>41988.923842592594</v>
      </c>
      <c r="I265" s="6">
        <v>41988.923842592594</v>
      </c>
      <c r="J265" s="6" t="s">
        <v>103</v>
      </c>
      <c r="K265" s="6" t="s">
        <v>105</v>
      </c>
      <c r="L265" s="6" t="s">
        <v>1890</v>
      </c>
      <c r="M265" s="6" t="s">
        <v>374</v>
      </c>
      <c r="O265" s="6" t="s">
        <v>1891</v>
      </c>
      <c r="P265" s="6" t="s">
        <v>215</v>
      </c>
      <c r="Q265" s="6">
        <v>826</v>
      </c>
      <c r="R265" s="6" t="s">
        <v>349</v>
      </c>
      <c r="S265" s="7">
        <v>826</v>
      </c>
      <c r="T265" s="7" t="s">
        <v>123</v>
      </c>
      <c r="U265" s="6" t="s">
        <v>125</v>
      </c>
      <c r="V265" s="6" t="s">
        <v>158</v>
      </c>
      <c r="W265" s="6" t="s">
        <v>364</v>
      </c>
      <c r="X265" s="6" t="s">
        <v>1890</v>
      </c>
      <c r="Y265" s="8" t="s">
        <v>3426</v>
      </c>
      <c r="Z265" s="8" t="s">
        <v>3427</v>
      </c>
      <c r="AA265" s="8" t="s">
        <v>3398</v>
      </c>
      <c r="AB265" s="6">
        <v>39090</v>
      </c>
      <c r="AC265" s="6">
        <v>39090</v>
      </c>
      <c r="AE265" s="6" t="s">
        <v>177</v>
      </c>
      <c r="AF265" s="6" t="s">
        <v>178</v>
      </c>
      <c r="AG265" s="6" t="s">
        <v>463</v>
      </c>
      <c r="AH265" s="6" t="s">
        <v>377</v>
      </c>
      <c r="AI265" s="6" t="s">
        <v>182</v>
      </c>
      <c r="AJ265" s="6" t="s">
        <v>393</v>
      </c>
      <c r="AK265" s="6" t="s">
        <v>185</v>
      </c>
      <c r="AL265" s="6" t="s">
        <v>178</v>
      </c>
      <c r="AM265" s="6" t="s">
        <v>244</v>
      </c>
      <c r="AN265" s="6" t="s">
        <v>378</v>
      </c>
      <c r="AO265" s="6" t="s">
        <v>185</v>
      </c>
      <c r="AP265" s="6" t="s">
        <v>386</v>
      </c>
      <c r="AQ265" s="6" t="s">
        <v>288</v>
      </c>
      <c r="AR265" s="6" t="s">
        <v>288</v>
      </c>
      <c r="AS265" s="6" t="s">
        <v>379</v>
      </c>
      <c r="AT265" s="6" t="s">
        <v>244</v>
      </c>
      <c r="AU265" s="6" t="s">
        <v>244</v>
      </c>
      <c r="AV265" s="6" t="s">
        <v>520</v>
      </c>
      <c r="AW265" s="6" t="s">
        <v>341</v>
      </c>
      <c r="AX265" s="6" t="s">
        <v>521</v>
      </c>
    </row>
    <row r="266" spans="1:50">
      <c r="A266" s="6">
        <v>349</v>
      </c>
      <c r="B266" s="5" t="s">
        <v>3428</v>
      </c>
      <c r="C266" s="6">
        <v>4</v>
      </c>
      <c r="D266" s="6" t="s">
        <v>98</v>
      </c>
      <c r="E266" s="6">
        <v>1</v>
      </c>
      <c r="F266" s="6" t="s">
        <v>1892</v>
      </c>
      <c r="G266" s="6">
        <v>41988.923842592594</v>
      </c>
      <c r="H266" s="6">
        <v>42087.398506944446</v>
      </c>
      <c r="I266" s="6">
        <v>41988.923842592594</v>
      </c>
      <c r="J266" s="6" t="s">
        <v>103</v>
      </c>
      <c r="K266" s="6" t="s">
        <v>105</v>
      </c>
      <c r="L266" s="6" t="s">
        <v>1893</v>
      </c>
      <c r="M266" s="6" t="s">
        <v>532</v>
      </c>
      <c r="P266" s="6" t="s">
        <v>215</v>
      </c>
      <c r="Q266" s="6">
        <v>826</v>
      </c>
      <c r="R266" s="6" t="s">
        <v>349</v>
      </c>
      <c r="S266" s="7">
        <v>826</v>
      </c>
      <c r="T266" s="7" t="s">
        <v>123</v>
      </c>
      <c r="U266" s="6" t="s">
        <v>125</v>
      </c>
      <c r="V266" s="6" t="s">
        <v>158</v>
      </c>
      <c r="W266" s="6" t="s">
        <v>160</v>
      </c>
      <c r="X266" s="6" t="s">
        <v>1893</v>
      </c>
      <c r="Y266" s="8" t="s">
        <v>3429</v>
      </c>
      <c r="Z266" s="8" t="s">
        <v>3430</v>
      </c>
      <c r="AA266" s="8" t="s">
        <v>3431</v>
      </c>
      <c r="AB266" s="6">
        <v>40057</v>
      </c>
      <c r="AC266" s="6">
        <v>40179</v>
      </c>
      <c r="AD266" s="6">
        <v>41883</v>
      </c>
      <c r="AE266" s="6" t="s">
        <v>177</v>
      </c>
      <c r="AF266" s="6" t="s">
        <v>178</v>
      </c>
      <c r="AG266" s="6" t="s">
        <v>180</v>
      </c>
      <c r="AH266" s="6" t="s">
        <v>392</v>
      </c>
      <c r="AI266" s="6" t="s">
        <v>182</v>
      </c>
      <c r="AJ266" s="6" t="s">
        <v>393</v>
      </c>
      <c r="AK266" s="6" t="s">
        <v>185</v>
      </c>
      <c r="AL266" s="6" t="s">
        <v>178</v>
      </c>
      <c r="AM266" s="6" t="s">
        <v>189</v>
      </c>
      <c r="AN266" s="6" t="s">
        <v>181</v>
      </c>
      <c r="AO266" s="6" t="s">
        <v>244</v>
      </c>
      <c r="AP266" s="6" t="s">
        <v>394</v>
      </c>
      <c r="AQ266" s="6" t="s">
        <v>244</v>
      </c>
      <c r="AR266" s="6" t="s">
        <v>189</v>
      </c>
      <c r="AS266" s="6" t="s">
        <v>379</v>
      </c>
      <c r="AT266" s="6" t="s">
        <v>395</v>
      </c>
      <c r="AU266" s="6" t="s">
        <v>189</v>
      </c>
      <c r="AV266" s="6" t="s">
        <v>520</v>
      </c>
      <c r="AW266" s="6" t="s">
        <v>442</v>
      </c>
      <c r="AX266" s="6" t="s">
        <v>428</v>
      </c>
    </row>
    <row r="267" spans="1:50">
      <c r="A267" s="6">
        <v>351</v>
      </c>
      <c r="B267" s="5" t="s">
        <v>3432</v>
      </c>
      <c r="C267" s="6">
        <v>3</v>
      </c>
      <c r="D267" s="6" t="s">
        <v>98</v>
      </c>
      <c r="E267" s="6">
        <v>1</v>
      </c>
      <c r="F267" s="6" t="s">
        <v>1899</v>
      </c>
      <c r="G267" s="6">
        <v>41988.923842592594</v>
      </c>
      <c r="H267" s="6">
        <v>41988.923842592594</v>
      </c>
      <c r="I267" s="6">
        <v>41988.923842592594</v>
      </c>
      <c r="J267" s="6" t="s">
        <v>103</v>
      </c>
      <c r="K267" s="6" t="s">
        <v>105</v>
      </c>
      <c r="L267" s="6" t="s">
        <v>1900</v>
      </c>
      <c r="M267" s="6" t="s">
        <v>374</v>
      </c>
      <c r="P267" s="6" t="s">
        <v>215</v>
      </c>
      <c r="Q267" s="6">
        <v>826</v>
      </c>
      <c r="R267" s="6" t="s">
        <v>349</v>
      </c>
      <c r="S267" s="7">
        <v>826</v>
      </c>
      <c r="T267" s="7" t="s">
        <v>123</v>
      </c>
      <c r="U267" s="6" t="s">
        <v>125</v>
      </c>
      <c r="V267" s="6" t="s">
        <v>158</v>
      </c>
      <c r="W267" s="6" t="s">
        <v>364</v>
      </c>
      <c r="X267" s="6" t="s">
        <v>1900</v>
      </c>
      <c r="Y267" s="8" t="s">
        <v>3433</v>
      </c>
      <c r="Z267" s="8" t="s">
        <v>3434</v>
      </c>
      <c r="AA267" s="8" t="s">
        <v>3398</v>
      </c>
      <c r="AB267" s="6">
        <v>39091</v>
      </c>
      <c r="AC267" s="6">
        <v>39234</v>
      </c>
      <c r="AE267" s="6" t="s">
        <v>177</v>
      </c>
      <c r="AF267" s="6" t="s">
        <v>178</v>
      </c>
      <c r="AG267" s="6" t="s">
        <v>463</v>
      </c>
      <c r="AH267" s="6" t="s">
        <v>377</v>
      </c>
      <c r="AI267" s="6" t="s">
        <v>182</v>
      </c>
      <c r="AJ267" s="6" t="s">
        <v>393</v>
      </c>
      <c r="AK267" s="6" t="s">
        <v>189</v>
      </c>
      <c r="AL267" s="6" t="s">
        <v>178</v>
      </c>
      <c r="AM267" s="6" t="s">
        <v>189</v>
      </c>
      <c r="AN267" s="6" t="s">
        <v>378</v>
      </c>
      <c r="AO267" s="6" t="s">
        <v>185</v>
      </c>
      <c r="AP267" s="6" t="s">
        <v>247</v>
      </c>
      <c r="AQ267" s="6" t="s">
        <v>288</v>
      </c>
      <c r="AR267" s="6" t="s">
        <v>288</v>
      </c>
      <c r="AS267" s="6" t="s">
        <v>379</v>
      </c>
      <c r="AT267" s="6" t="s">
        <v>244</v>
      </c>
      <c r="AU267" s="6" t="s">
        <v>288</v>
      </c>
      <c r="AV267" s="6" t="s">
        <v>339</v>
      </c>
      <c r="AW267" s="6" t="s">
        <v>341</v>
      </c>
      <c r="AX267" s="6" t="s">
        <v>198</v>
      </c>
    </row>
    <row r="268" spans="1:50">
      <c r="A268" s="6">
        <v>689</v>
      </c>
      <c r="B268" s="5" t="s">
        <v>3435</v>
      </c>
      <c r="C268" s="6">
        <v>5</v>
      </c>
      <c r="D268" s="6" t="s">
        <v>98</v>
      </c>
      <c r="E268" s="6">
        <v>392</v>
      </c>
      <c r="F268" s="6" t="s">
        <v>1901</v>
      </c>
      <c r="G268" s="6">
        <v>42076.570914351854</v>
      </c>
      <c r="H268" s="6">
        <v>42076.571226851855</v>
      </c>
      <c r="I268" s="6">
        <v>42076.570914351854</v>
      </c>
      <c r="J268" s="6" t="s">
        <v>103</v>
      </c>
      <c r="K268" s="6" t="s">
        <v>105</v>
      </c>
      <c r="L268" s="6" t="s">
        <v>1902</v>
      </c>
      <c r="P268" s="6" t="s">
        <v>1903</v>
      </c>
      <c r="Q268" s="6">
        <v>826</v>
      </c>
      <c r="R268" s="6" t="s">
        <v>349</v>
      </c>
      <c r="S268" s="7">
        <v>826</v>
      </c>
      <c r="T268" s="7" t="s">
        <v>123</v>
      </c>
      <c r="U268" s="6" t="s">
        <v>125</v>
      </c>
      <c r="V268" s="6" t="s">
        <v>158</v>
      </c>
      <c r="W268" s="6" t="s">
        <v>160</v>
      </c>
      <c r="X268" s="6" t="s">
        <v>1902</v>
      </c>
      <c r="Y268" s="8" t="s">
        <v>3436</v>
      </c>
      <c r="Z268" s="8" t="s">
        <v>3437</v>
      </c>
      <c r="AA268" s="8" t="s">
        <v>3438</v>
      </c>
      <c r="AE268" s="6" t="s">
        <v>177</v>
      </c>
      <c r="AF268" s="6" t="s">
        <v>178</v>
      </c>
      <c r="AG268" s="6" t="s">
        <v>180</v>
      </c>
      <c r="AH268" s="6" t="s">
        <v>392</v>
      </c>
      <c r="AI268" s="6" t="s">
        <v>182</v>
      </c>
      <c r="AJ268" s="6" t="s">
        <v>393</v>
      </c>
      <c r="AK268" s="6" t="s">
        <v>244</v>
      </c>
      <c r="AL268" s="6" t="s">
        <v>178</v>
      </c>
      <c r="AM268" s="6" t="s">
        <v>244</v>
      </c>
      <c r="AN268" s="6" t="s">
        <v>181</v>
      </c>
      <c r="AO268" s="6" t="s">
        <v>244</v>
      </c>
      <c r="AP268" s="6" t="s">
        <v>247</v>
      </c>
      <c r="AQ268" s="6" t="s">
        <v>244</v>
      </c>
      <c r="AR268" s="6" t="s">
        <v>244</v>
      </c>
      <c r="AS268" s="6" t="s">
        <v>244</v>
      </c>
      <c r="AT268" s="6" t="s">
        <v>244</v>
      </c>
      <c r="AU268" s="6" t="s">
        <v>185</v>
      </c>
      <c r="AV268" s="6" t="s">
        <v>244</v>
      </c>
      <c r="AW268" s="6" t="s">
        <v>442</v>
      </c>
      <c r="AX268" s="6" t="s">
        <v>247</v>
      </c>
    </row>
    <row r="269" spans="1:50">
      <c r="A269" s="6">
        <v>744</v>
      </c>
      <c r="B269" s="5" t="s">
        <v>3439</v>
      </c>
      <c r="C269" s="6">
        <v>5</v>
      </c>
      <c r="D269" s="6" t="s">
        <v>98</v>
      </c>
      <c r="E269" s="6">
        <v>642</v>
      </c>
      <c r="F269" s="6" t="s">
        <v>1904</v>
      </c>
      <c r="G269" s="6">
        <v>42114.556770833333</v>
      </c>
      <c r="H269" s="6">
        <v>42114.556770833333</v>
      </c>
      <c r="I269" s="6">
        <v>42114.556770833333</v>
      </c>
      <c r="J269" s="6" t="s">
        <v>103</v>
      </c>
      <c r="K269" s="6" t="s">
        <v>105</v>
      </c>
      <c r="L269" s="6" t="s">
        <v>1905</v>
      </c>
      <c r="P269" s="6" t="s">
        <v>1905</v>
      </c>
      <c r="Q269" s="6">
        <v>826</v>
      </c>
      <c r="R269" s="6" t="s">
        <v>349</v>
      </c>
      <c r="S269" s="7">
        <v>826</v>
      </c>
      <c r="T269" s="7" t="s">
        <v>123</v>
      </c>
      <c r="U269" s="6" t="s">
        <v>125</v>
      </c>
      <c r="V269" s="6" t="s">
        <v>158</v>
      </c>
      <c r="W269" s="6" t="s">
        <v>160</v>
      </c>
      <c r="X269" s="6" t="s">
        <v>1905</v>
      </c>
      <c r="Y269" s="8" t="s">
        <v>3440</v>
      </c>
      <c r="Z269" s="8" t="s">
        <v>3441</v>
      </c>
      <c r="AA269" s="8" t="s">
        <v>3442</v>
      </c>
      <c r="AB269" s="6">
        <v>41974</v>
      </c>
      <c r="AC269" s="6">
        <v>41974</v>
      </c>
      <c r="AD269" s="6">
        <v>41974</v>
      </c>
      <c r="AE269" s="6" t="s">
        <v>177</v>
      </c>
      <c r="AF269" s="6" t="s">
        <v>178</v>
      </c>
      <c r="AG269" s="6" t="s">
        <v>180</v>
      </c>
      <c r="AH269" s="6" t="s">
        <v>392</v>
      </c>
      <c r="AI269" s="6" t="s">
        <v>244</v>
      </c>
      <c r="AJ269" s="6" t="s">
        <v>393</v>
      </c>
      <c r="AK269" s="6" t="s">
        <v>244</v>
      </c>
      <c r="AL269" s="6" t="s">
        <v>479</v>
      </c>
      <c r="AM269" s="6" t="s">
        <v>244</v>
      </c>
      <c r="AN269" s="6" t="s">
        <v>181</v>
      </c>
      <c r="AO269" s="6" t="s">
        <v>244</v>
      </c>
      <c r="AP269" s="6" t="s">
        <v>247</v>
      </c>
      <c r="AQ269" s="6" t="s">
        <v>244</v>
      </c>
      <c r="AR269" s="6" t="s">
        <v>244</v>
      </c>
      <c r="AS269" s="6" t="s">
        <v>244</v>
      </c>
      <c r="AT269" s="6" t="s">
        <v>244</v>
      </c>
      <c r="AU269" s="6" t="s">
        <v>244</v>
      </c>
      <c r="AV269" s="6" t="s">
        <v>195</v>
      </c>
      <c r="AW269" s="6" t="s">
        <v>442</v>
      </c>
      <c r="AX269" s="6" t="s">
        <v>247</v>
      </c>
    </row>
    <row r="270" spans="1:50">
      <c r="A270" s="6">
        <v>352</v>
      </c>
      <c r="B270" s="5" t="s">
        <v>3443</v>
      </c>
      <c r="C270" s="6">
        <v>4</v>
      </c>
      <c r="D270" s="6" t="s">
        <v>98</v>
      </c>
      <c r="E270" s="6">
        <v>1</v>
      </c>
      <c r="F270" s="6" t="s">
        <v>1906</v>
      </c>
      <c r="G270" s="6">
        <v>41988.923854166664</v>
      </c>
      <c r="H270" s="6">
        <v>41988.923854166664</v>
      </c>
      <c r="I270" s="6">
        <v>41988.923854166664</v>
      </c>
      <c r="J270" s="6" t="s">
        <v>103</v>
      </c>
      <c r="K270" s="6" t="s">
        <v>105</v>
      </c>
      <c r="L270" s="6" t="s">
        <v>1907</v>
      </c>
      <c r="M270" s="6" t="s">
        <v>374</v>
      </c>
      <c r="O270" s="6" t="s">
        <v>1908</v>
      </c>
      <c r="P270" s="6" t="s">
        <v>215</v>
      </c>
      <c r="Q270" s="6">
        <v>826</v>
      </c>
      <c r="R270" s="6" t="s">
        <v>349</v>
      </c>
      <c r="S270" s="7">
        <v>826</v>
      </c>
      <c r="T270" s="7" t="s">
        <v>123</v>
      </c>
      <c r="U270" s="6" t="s">
        <v>125</v>
      </c>
      <c r="V270" s="6" t="s">
        <v>158</v>
      </c>
      <c r="W270" s="6" t="s">
        <v>376</v>
      </c>
      <c r="X270" s="6" t="s">
        <v>1907</v>
      </c>
      <c r="Y270" s="8" t="s">
        <v>3444</v>
      </c>
      <c r="Z270" s="8" t="s">
        <v>3445</v>
      </c>
      <c r="AA270" s="8" t="s">
        <v>3398</v>
      </c>
      <c r="AC270" s="6">
        <v>38718</v>
      </c>
      <c r="AD270" s="6">
        <v>41274</v>
      </c>
      <c r="AE270" s="6" t="s">
        <v>177</v>
      </c>
      <c r="AF270" s="6" t="s">
        <v>178</v>
      </c>
      <c r="AG270" s="6" t="s">
        <v>463</v>
      </c>
      <c r="AH270" s="6" t="s">
        <v>377</v>
      </c>
      <c r="AI270" s="6" t="s">
        <v>182</v>
      </c>
      <c r="AJ270" s="6" t="s">
        <v>393</v>
      </c>
      <c r="AK270" s="6" t="s">
        <v>185</v>
      </c>
      <c r="AL270" s="6" t="s">
        <v>178</v>
      </c>
      <c r="AM270" s="6" t="s">
        <v>185</v>
      </c>
      <c r="AN270" s="6" t="s">
        <v>378</v>
      </c>
      <c r="AO270" s="6" t="s">
        <v>185</v>
      </c>
      <c r="AP270" s="6" t="s">
        <v>386</v>
      </c>
      <c r="AQ270" s="6" t="s">
        <v>288</v>
      </c>
      <c r="AR270" s="6" t="s">
        <v>185</v>
      </c>
      <c r="AS270" s="6" t="s">
        <v>379</v>
      </c>
      <c r="AT270" s="6" t="s">
        <v>244</v>
      </c>
      <c r="AU270" s="6" t="s">
        <v>185</v>
      </c>
      <c r="AV270" s="6" t="s">
        <v>339</v>
      </c>
      <c r="AW270" s="6" t="s">
        <v>442</v>
      </c>
      <c r="AX270" s="6" t="s">
        <v>521</v>
      </c>
    </row>
    <row r="271" spans="1:50">
      <c r="A271" s="6">
        <v>353</v>
      </c>
      <c r="B271" s="5" t="s">
        <v>3446</v>
      </c>
      <c r="C271" s="6">
        <v>5</v>
      </c>
      <c r="D271" s="6" t="s">
        <v>98</v>
      </c>
      <c r="E271" s="6">
        <v>299</v>
      </c>
      <c r="F271" s="6" t="s">
        <v>1909</v>
      </c>
      <c r="G271" s="6">
        <v>41988.923854166664</v>
      </c>
      <c r="H271" s="6">
        <v>42086.921319444446</v>
      </c>
      <c r="I271" s="6">
        <v>41988.923854166664</v>
      </c>
      <c r="J271" s="6" t="s">
        <v>103</v>
      </c>
      <c r="K271" s="6" t="s">
        <v>105</v>
      </c>
      <c r="L271" s="6" t="s">
        <v>1910</v>
      </c>
      <c r="M271" s="6" t="s">
        <v>352</v>
      </c>
      <c r="N271" s="6" t="s">
        <v>1911</v>
      </c>
      <c r="P271" s="6" t="s">
        <v>215</v>
      </c>
      <c r="Q271" s="6">
        <v>826</v>
      </c>
      <c r="R271" s="6" t="s">
        <v>349</v>
      </c>
      <c r="S271" s="7">
        <v>826</v>
      </c>
      <c r="T271" s="7" t="s">
        <v>123</v>
      </c>
      <c r="U271" s="6" t="s">
        <v>125</v>
      </c>
      <c r="V271" s="6" t="s">
        <v>158</v>
      </c>
      <c r="W271" s="6" t="s">
        <v>160</v>
      </c>
      <c r="X271" s="6" t="s">
        <v>1910</v>
      </c>
      <c r="Y271" s="8" t="s">
        <v>3447</v>
      </c>
      <c r="Z271" s="8" t="s">
        <v>3448</v>
      </c>
      <c r="AA271" s="8" t="s">
        <v>3449</v>
      </c>
      <c r="AB271" s="6">
        <v>41214</v>
      </c>
      <c r="AC271" s="6">
        <v>41275</v>
      </c>
      <c r="AE271" s="6" t="s">
        <v>177</v>
      </c>
      <c r="AF271" s="6" t="s">
        <v>178</v>
      </c>
      <c r="AG271" s="6" t="s">
        <v>180</v>
      </c>
      <c r="AH271" s="6" t="s">
        <v>244</v>
      </c>
      <c r="AI271" s="6" t="s">
        <v>182</v>
      </c>
      <c r="AJ271" s="6" t="s">
        <v>244</v>
      </c>
      <c r="AK271" s="6" t="s">
        <v>185</v>
      </c>
      <c r="AL271" s="6" t="s">
        <v>178</v>
      </c>
      <c r="AM271" s="6" t="s">
        <v>189</v>
      </c>
      <c r="AN271" s="6" t="s">
        <v>181</v>
      </c>
      <c r="AO271" s="6" t="s">
        <v>185</v>
      </c>
      <c r="AP271" s="6" t="s">
        <v>386</v>
      </c>
      <c r="AQ271" s="6" t="s">
        <v>288</v>
      </c>
      <c r="AR271" s="6" t="s">
        <v>288</v>
      </c>
      <c r="AS271" s="6" t="s">
        <v>244</v>
      </c>
      <c r="AT271" s="6" t="s">
        <v>244</v>
      </c>
      <c r="AU271" s="6" t="s">
        <v>288</v>
      </c>
      <c r="AV271" s="6" t="s">
        <v>339</v>
      </c>
      <c r="AW271" s="6" t="s">
        <v>244</v>
      </c>
      <c r="AX271" s="6" t="s">
        <v>428</v>
      </c>
    </row>
    <row r="272" spans="1:50">
      <c r="A272" s="6">
        <v>354</v>
      </c>
      <c r="B272" s="5" t="s">
        <v>3450</v>
      </c>
      <c r="C272" s="6">
        <v>3</v>
      </c>
      <c r="D272" s="6" t="s">
        <v>98</v>
      </c>
      <c r="E272" s="6">
        <v>1</v>
      </c>
      <c r="F272" s="6" t="s">
        <v>1912</v>
      </c>
      <c r="G272" s="6">
        <v>41988.923854166664</v>
      </c>
      <c r="H272" s="6">
        <v>41988.923854166664</v>
      </c>
      <c r="I272" s="6">
        <v>41988.923854166664</v>
      </c>
      <c r="J272" s="6" t="s">
        <v>103</v>
      </c>
      <c r="K272" s="6" t="s">
        <v>105</v>
      </c>
      <c r="L272" s="6" t="s">
        <v>1913</v>
      </c>
      <c r="M272" s="6" t="s">
        <v>352</v>
      </c>
      <c r="P272" s="6" t="s">
        <v>215</v>
      </c>
      <c r="Q272" s="6">
        <v>826</v>
      </c>
      <c r="R272" s="6" t="s">
        <v>349</v>
      </c>
      <c r="S272" s="7">
        <v>826</v>
      </c>
      <c r="T272" s="7" t="s">
        <v>123</v>
      </c>
      <c r="U272" s="6" t="s">
        <v>125</v>
      </c>
      <c r="V272" s="6" t="s">
        <v>158</v>
      </c>
      <c r="W272" s="6" t="s">
        <v>384</v>
      </c>
      <c r="X272" s="6" t="s">
        <v>1913</v>
      </c>
      <c r="Y272" s="8" t="s">
        <v>3451</v>
      </c>
      <c r="AA272" s="8" t="s">
        <v>3452</v>
      </c>
      <c r="AB272" s="6">
        <v>40011</v>
      </c>
      <c r="AC272" s="6">
        <v>40057</v>
      </c>
      <c r="AE272" s="6" t="s">
        <v>177</v>
      </c>
      <c r="AF272" s="6" t="s">
        <v>178</v>
      </c>
      <c r="AG272" s="6" t="s">
        <v>180</v>
      </c>
      <c r="AH272" s="6" t="s">
        <v>187</v>
      </c>
      <c r="AI272" s="6" t="s">
        <v>182</v>
      </c>
      <c r="AJ272" s="6" t="s">
        <v>393</v>
      </c>
      <c r="AK272" s="6" t="s">
        <v>185</v>
      </c>
      <c r="AL272" s="6" t="s">
        <v>178</v>
      </c>
      <c r="AM272" s="6" t="s">
        <v>185</v>
      </c>
      <c r="AN272" s="6" t="s">
        <v>378</v>
      </c>
      <c r="AO272" s="6" t="s">
        <v>185</v>
      </c>
      <c r="AP272" s="6" t="s">
        <v>247</v>
      </c>
      <c r="AQ272" s="6" t="s">
        <v>288</v>
      </c>
      <c r="AR272" s="6" t="s">
        <v>288</v>
      </c>
      <c r="AS272" s="6" t="s">
        <v>244</v>
      </c>
      <c r="AT272" s="6" t="s">
        <v>459</v>
      </c>
      <c r="AU272" s="6" t="s">
        <v>244</v>
      </c>
      <c r="AV272" s="6" t="s">
        <v>339</v>
      </c>
      <c r="AW272" s="6" t="s">
        <v>244</v>
      </c>
      <c r="AX272" s="6" t="s">
        <v>247</v>
      </c>
    </row>
    <row r="273" spans="1:50">
      <c r="A273" s="6">
        <v>357</v>
      </c>
      <c r="B273" s="5" t="s">
        <v>3453</v>
      </c>
      <c r="C273" s="6">
        <v>6</v>
      </c>
      <c r="D273" s="6" t="s">
        <v>98</v>
      </c>
      <c r="E273" s="6">
        <v>300</v>
      </c>
      <c r="F273" s="6" t="s">
        <v>1916</v>
      </c>
      <c r="G273" s="6">
        <v>41988.923854166664</v>
      </c>
      <c r="H273" s="6">
        <v>42066.885648148149</v>
      </c>
      <c r="I273" s="6">
        <v>41988.923854166664</v>
      </c>
      <c r="J273" s="6" t="s">
        <v>103</v>
      </c>
      <c r="K273" s="6" t="s">
        <v>105</v>
      </c>
      <c r="L273" s="6" t="s">
        <v>1917</v>
      </c>
      <c r="M273" s="6" t="s">
        <v>374</v>
      </c>
      <c r="P273" s="6" t="s">
        <v>1875</v>
      </c>
      <c r="Q273" s="6">
        <v>826</v>
      </c>
      <c r="R273" s="6" t="s">
        <v>349</v>
      </c>
      <c r="S273" s="7">
        <v>826</v>
      </c>
      <c r="T273" s="7" t="s">
        <v>123</v>
      </c>
      <c r="U273" s="6" t="s">
        <v>125</v>
      </c>
      <c r="V273" s="6" t="s">
        <v>158</v>
      </c>
      <c r="W273" s="6" t="s">
        <v>160</v>
      </c>
      <c r="X273" s="6" t="s">
        <v>1917</v>
      </c>
      <c r="Y273" s="8" t="s">
        <v>3454</v>
      </c>
      <c r="Z273" s="8" t="s">
        <v>3455</v>
      </c>
      <c r="AA273" s="8" t="s">
        <v>3456</v>
      </c>
      <c r="AB273" s="6">
        <v>2008</v>
      </c>
      <c r="AD273" s="6">
        <v>41365</v>
      </c>
      <c r="AE273" s="6" t="s">
        <v>244</v>
      </c>
      <c r="AF273" s="6" t="s">
        <v>178</v>
      </c>
      <c r="AG273" s="6" t="s">
        <v>180</v>
      </c>
      <c r="AH273" s="6" t="s">
        <v>392</v>
      </c>
      <c r="AI273" s="6" t="s">
        <v>244</v>
      </c>
      <c r="AJ273" s="6" t="s">
        <v>244</v>
      </c>
      <c r="AK273" s="6" t="s">
        <v>244</v>
      </c>
      <c r="AL273" s="6" t="s">
        <v>247</v>
      </c>
      <c r="AM273" s="6" t="s">
        <v>244</v>
      </c>
      <c r="AN273" s="6" t="s">
        <v>247</v>
      </c>
      <c r="AO273" s="6" t="s">
        <v>244</v>
      </c>
      <c r="AP273" s="6" t="s">
        <v>247</v>
      </c>
      <c r="AQ273" s="6" t="s">
        <v>288</v>
      </c>
      <c r="AR273" s="6" t="s">
        <v>288</v>
      </c>
      <c r="AS273" s="6" t="s">
        <v>244</v>
      </c>
      <c r="AT273" s="6" t="s">
        <v>244</v>
      </c>
      <c r="AU273" s="6" t="s">
        <v>288</v>
      </c>
      <c r="AV273" s="6" t="s">
        <v>339</v>
      </c>
      <c r="AW273" s="6" t="s">
        <v>244</v>
      </c>
      <c r="AX273" s="6" t="s">
        <v>247</v>
      </c>
    </row>
    <row r="274" spans="1:50">
      <c r="A274" s="6">
        <v>356</v>
      </c>
      <c r="B274" s="5" t="s">
        <v>3457</v>
      </c>
      <c r="C274" s="6">
        <v>3</v>
      </c>
      <c r="D274" s="6" t="s">
        <v>98</v>
      </c>
      <c r="E274" s="6">
        <v>1</v>
      </c>
      <c r="F274" s="6" t="s">
        <v>1918</v>
      </c>
      <c r="G274" s="6">
        <v>41988.923854166664</v>
      </c>
      <c r="H274" s="6">
        <v>41988.923854166664</v>
      </c>
      <c r="I274" s="6">
        <v>41988.923854166664</v>
      </c>
      <c r="J274" s="6" t="s">
        <v>103</v>
      </c>
      <c r="K274" s="6" t="s">
        <v>105</v>
      </c>
      <c r="L274" s="6" t="s">
        <v>1919</v>
      </c>
      <c r="M274" s="6" t="s">
        <v>374</v>
      </c>
      <c r="N274" s="6" t="s">
        <v>1920</v>
      </c>
      <c r="P274" s="6" t="s">
        <v>215</v>
      </c>
      <c r="Q274" s="6">
        <v>826</v>
      </c>
      <c r="R274" s="6" t="s">
        <v>349</v>
      </c>
      <c r="S274" s="7">
        <v>826</v>
      </c>
      <c r="T274" s="7" t="s">
        <v>123</v>
      </c>
      <c r="U274" s="6" t="s">
        <v>125</v>
      </c>
      <c r="V274" s="6" t="s">
        <v>158</v>
      </c>
      <c r="W274" s="6" t="s">
        <v>376</v>
      </c>
      <c r="X274" s="6" t="s">
        <v>1919</v>
      </c>
      <c r="Y274" s="8" t="s">
        <v>3458</v>
      </c>
      <c r="Z274" s="6" t="s">
        <v>1921</v>
      </c>
      <c r="AA274" s="8" t="s">
        <v>3398</v>
      </c>
      <c r="AB274" s="6">
        <v>39089</v>
      </c>
      <c r="AC274" s="6">
        <v>39173</v>
      </c>
      <c r="AD274" s="6">
        <v>41730</v>
      </c>
      <c r="AE274" s="6" t="s">
        <v>177</v>
      </c>
      <c r="AF274" s="6" t="s">
        <v>178</v>
      </c>
      <c r="AG274" s="6" t="s">
        <v>463</v>
      </c>
      <c r="AH274" s="6" t="s">
        <v>392</v>
      </c>
      <c r="AI274" s="6" t="s">
        <v>182</v>
      </c>
      <c r="AJ274" s="6" t="s">
        <v>393</v>
      </c>
      <c r="AK274" s="6" t="s">
        <v>189</v>
      </c>
      <c r="AL274" s="6" t="s">
        <v>178</v>
      </c>
      <c r="AM274" s="6" t="s">
        <v>244</v>
      </c>
      <c r="AN274" s="6" t="s">
        <v>378</v>
      </c>
      <c r="AO274" s="6" t="s">
        <v>185</v>
      </c>
      <c r="AP274" s="6" t="s">
        <v>386</v>
      </c>
      <c r="AQ274" s="6" t="s">
        <v>288</v>
      </c>
      <c r="AR274" s="6" t="s">
        <v>288</v>
      </c>
      <c r="AS274" s="6" t="s">
        <v>379</v>
      </c>
      <c r="AT274" s="6" t="s">
        <v>244</v>
      </c>
      <c r="AU274" s="6" t="s">
        <v>288</v>
      </c>
      <c r="AV274" s="6" t="s">
        <v>520</v>
      </c>
      <c r="AW274" s="6" t="s">
        <v>341</v>
      </c>
      <c r="AX274" s="6" t="s">
        <v>198</v>
      </c>
    </row>
    <row r="275" spans="1:50">
      <c r="A275" s="6">
        <v>729</v>
      </c>
      <c r="B275" s="5" t="s">
        <v>3459</v>
      </c>
      <c r="C275" s="6">
        <v>5</v>
      </c>
      <c r="D275" s="6" t="s">
        <v>98</v>
      </c>
      <c r="E275" s="6">
        <v>65</v>
      </c>
      <c r="F275" s="6" t="s">
        <v>1922</v>
      </c>
      <c r="G275" s="6">
        <v>42103.62568287037</v>
      </c>
      <c r="H275" s="6">
        <v>42103.62568287037</v>
      </c>
      <c r="I275" s="6">
        <v>42103.62568287037</v>
      </c>
      <c r="J275" s="6" t="s">
        <v>103</v>
      </c>
      <c r="K275" s="6" t="s">
        <v>105</v>
      </c>
      <c r="L275" s="6" t="s">
        <v>1923</v>
      </c>
      <c r="N275" s="6" t="s">
        <v>1924</v>
      </c>
      <c r="P275" s="6" t="s">
        <v>215</v>
      </c>
      <c r="Q275" s="6">
        <v>826</v>
      </c>
      <c r="R275" s="6" t="s">
        <v>349</v>
      </c>
      <c r="S275" s="7">
        <v>826</v>
      </c>
      <c r="T275" s="7" t="s">
        <v>123</v>
      </c>
      <c r="U275" s="6" t="s">
        <v>125</v>
      </c>
      <c r="V275" s="6" t="s">
        <v>158</v>
      </c>
      <c r="W275" s="6" t="s">
        <v>376</v>
      </c>
      <c r="X275" s="6" t="s">
        <v>1923</v>
      </c>
      <c r="Y275" s="8" t="s">
        <v>3460</v>
      </c>
      <c r="Z275" s="8" t="s">
        <v>3461</v>
      </c>
      <c r="AB275" s="6">
        <v>41791</v>
      </c>
      <c r="AC275" s="6">
        <v>41791</v>
      </c>
      <c r="AD275" s="6">
        <v>41944</v>
      </c>
      <c r="AE275" s="6" t="s">
        <v>177</v>
      </c>
      <c r="AF275" s="6" t="s">
        <v>178</v>
      </c>
      <c r="AG275" s="6" t="s">
        <v>463</v>
      </c>
      <c r="AH275" s="6" t="s">
        <v>377</v>
      </c>
      <c r="AI275" s="6" t="s">
        <v>182</v>
      </c>
      <c r="AJ275" s="6" t="s">
        <v>393</v>
      </c>
      <c r="AK275" s="6" t="s">
        <v>185</v>
      </c>
      <c r="AL275" s="6" t="s">
        <v>178</v>
      </c>
      <c r="AM275" s="6" t="s">
        <v>185</v>
      </c>
      <c r="AN275" s="6" t="s">
        <v>378</v>
      </c>
      <c r="AO275" s="6" t="s">
        <v>244</v>
      </c>
      <c r="AP275" s="6" t="s">
        <v>247</v>
      </c>
      <c r="AQ275" s="6" t="s">
        <v>244</v>
      </c>
      <c r="AR275" s="6" t="s">
        <v>244</v>
      </c>
      <c r="AS275" s="6" t="s">
        <v>379</v>
      </c>
      <c r="AT275" s="6" t="s">
        <v>244</v>
      </c>
      <c r="AU275" s="6" t="s">
        <v>189</v>
      </c>
      <c r="AV275" s="6" t="s">
        <v>244</v>
      </c>
      <c r="AW275" s="6" t="s">
        <v>341</v>
      </c>
      <c r="AX275" s="6" t="s">
        <v>371</v>
      </c>
    </row>
    <row r="276" spans="1:50">
      <c r="A276" s="6">
        <v>358</v>
      </c>
      <c r="B276" s="5" t="s">
        <v>3462</v>
      </c>
      <c r="C276" s="6">
        <v>6</v>
      </c>
      <c r="D276" s="6" t="s">
        <v>98</v>
      </c>
      <c r="E276" s="6">
        <v>301</v>
      </c>
      <c r="F276" s="6" t="s">
        <v>1925</v>
      </c>
      <c r="G276" s="6">
        <v>41988.92386574074</v>
      </c>
      <c r="H276" s="6">
        <v>42046.981712962966</v>
      </c>
      <c r="I276" s="6">
        <v>41988.92386574074</v>
      </c>
      <c r="J276" s="6" t="s">
        <v>103</v>
      </c>
      <c r="K276" s="6" t="s">
        <v>105</v>
      </c>
      <c r="L276" s="6" t="s">
        <v>1926</v>
      </c>
      <c r="M276" s="6" t="s">
        <v>374</v>
      </c>
      <c r="O276" s="6" t="s">
        <v>1927</v>
      </c>
      <c r="P276" s="6" t="s">
        <v>215</v>
      </c>
      <c r="Q276" s="6">
        <v>826</v>
      </c>
      <c r="R276" s="6" t="s">
        <v>349</v>
      </c>
      <c r="S276" s="7">
        <v>826</v>
      </c>
      <c r="T276" s="7" t="s">
        <v>123</v>
      </c>
      <c r="U276" s="6" t="s">
        <v>125</v>
      </c>
      <c r="V276" s="6" t="s">
        <v>158</v>
      </c>
      <c r="W276" s="6" t="s">
        <v>160</v>
      </c>
      <c r="X276" s="6" t="s">
        <v>1926</v>
      </c>
      <c r="Y276" s="8" t="s">
        <v>3463</v>
      </c>
      <c r="Z276" s="8" t="s">
        <v>3464</v>
      </c>
      <c r="AA276" s="8" t="s">
        <v>3465</v>
      </c>
      <c r="AB276" s="6">
        <v>41338</v>
      </c>
      <c r="AC276" s="6">
        <v>41365</v>
      </c>
      <c r="AD276" s="6">
        <v>41760</v>
      </c>
      <c r="AE276" s="6" t="s">
        <v>177</v>
      </c>
      <c r="AF276" s="6" t="s">
        <v>178</v>
      </c>
      <c r="AG276" s="6" t="s">
        <v>180</v>
      </c>
      <c r="AH276" s="6" t="s">
        <v>371</v>
      </c>
      <c r="AI276" s="6" t="s">
        <v>182</v>
      </c>
      <c r="AJ276" s="6" t="s">
        <v>393</v>
      </c>
      <c r="AK276" s="6" t="s">
        <v>244</v>
      </c>
      <c r="AL276" s="6" t="s">
        <v>178</v>
      </c>
      <c r="AM276" s="6" t="s">
        <v>244</v>
      </c>
      <c r="AN276" s="6" t="s">
        <v>181</v>
      </c>
      <c r="AO276" s="6" t="s">
        <v>189</v>
      </c>
      <c r="AP276" s="6" t="s">
        <v>247</v>
      </c>
      <c r="AQ276" s="6" t="s">
        <v>244</v>
      </c>
      <c r="AR276" s="6" t="s">
        <v>244</v>
      </c>
      <c r="AS276" s="6" t="s">
        <v>379</v>
      </c>
      <c r="AT276" s="6" t="s">
        <v>379</v>
      </c>
      <c r="AU276" s="6" t="s">
        <v>189</v>
      </c>
      <c r="AV276" s="6" t="s">
        <v>371</v>
      </c>
      <c r="AW276" s="6" t="s">
        <v>442</v>
      </c>
      <c r="AX276" s="6" t="s">
        <v>521</v>
      </c>
    </row>
    <row r="277" spans="1:50">
      <c r="A277" s="6">
        <v>359</v>
      </c>
      <c r="B277" s="5" t="s">
        <v>3466</v>
      </c>
      <c r="C277" s="6">
        <v>3</v>
      </c>
      <c r="D277" s="6" t="s">
        <v>98</v>
      </c>
      <c r="E277" s="6">
        <v>1</v>
      </c>
      <c r="F277" s="6" t="s">
        <v>1928</v>
      </c>
      <c r="G277" s="6">
        <v>41988.92386574074</v>
      </c>
      <c r="H277" s="6">
        <v>41988.92386574074</v>
      </c>
      <c r="I277" s="6">
        <v>41988.92386574074</v>
      </c>
      <c r="J277" s="6" t="s">
        <v>103</v>
      </c>
      <c r="K277" s="6" t="s">
        <v>105</v>
      </c>
      <c r="L277" s="6" t="s">
        <v>1929</v>
      </c>
      <c r="M277" s="6" t="s">
        <v>374</v>
      </c>
      <c r="N277" s="6" t="s">
        <v>1869</v>
      </c>
      <c r="P277" s="6" t="s">
        <v>215</v>
      </c>
      <c r="Q277" s="6">
        <v>826</v>
      </c>
      <c r="R277" s="6" t="s">
        <v>349</v>
      </c>
      <c r="S277" s="7">
        <v>826</v>
      </c>
      <c r="T277" s="7" t="s">
        <v>123</v>
      </c>
      <c r="U277" s="6" t="s">
        <v>125</v>
      </c>
      <c r="V277" s="6" t="s">
        <v>158</v>
      </c>
      <c r="W277" s="6" t="s">
        <v>376</v>
      </c>
      <c r="X277" s="6" t="s">
        <v>1929</v>
      </c>
      <c r="Y277" s="8" t="s">
        <v>3467</v>
      </c>
      <c r="Z277" s="6" t="s">
        <v>1930</v>
      </c>
      <c r="AA277" s="8" t="s">
        <v>3468</v>
      </c>
      <c r="AB277" s="6">
        <v>38921</v>
      </c>
      <c r="AC277" s="6">
        <v>38991</v>
      </c>
      <c r="AD277" s="6">
        <v>41365</v>
      </c>
      <c r="AE277" s="6" t="s">
        <v>177</v>
      </c>
      <c r="AF277" s="6" t="s">
        <v>178</v>
      </c>
      <c r="AG277" s="6" t="s">
        <v>370</v>
      </c>
      <c r="AH277" s="6" t="s">
        <v>377</v>
      </c>
      <c r="AI277" s="6" t="s">
        <v>182</v>
      </c>
      <c r="AJ277" s="6" t="s">
        <v>393</v>
      </c>
      <c r="AK277" s="6" t="s">
        <v>185</v>
      </c>
      <c r="AL277" s="6" t="s">
        <v>178</v>
      </c>
      <c r="AM277" s="6" t="s">
        <v>244</v>
      </c>
      <c r="AN277" s="6" t="s">
        <v>378</v>
      </c>
      <c r="AO277" s="6" t="s">
        <v>185</v>
      </c>
      <c r="AP277" s="6" t="s">
        <v>386</v>
      </c>
      <c r="AQ277" s="6" t="s">
        <v>288</v>
      </c>
      <c r="AR277" s="6" t="s">
        <v>288</v>
      </c>
      <c r="AS277" s="6" t="s">
        <v>379</v>
      </c>
      <c r="AT277" s="6" t="s">
        <v>395</v>
      </c>
      <c r="AU277" s="6" t="s">
        <v>185</v>
      </c>
      <c r="AV277" s="6" t="s">
        <v>520</v>
      </c>
      <c r="AW277" s="6" t="s">
        <v>341</v>
      </c>
      <c r="AX277" s="6" t="s">
        <v>521</v>
      </c>
    </row>
    <row r="278" spans="1:50">
      <c r="A278" s="6">
        <v>360</v>
      </c>
      <c r="B278" s="5" t="s">
        <v>3469</v>
      </c>
      <c r="C278" s="6">
        <v>3</v>
      </c>
      <c r="D278" s="6" t="s">
        <v>98</v>
      </c>
      <c r="E278" s="6">
        <v>1</v>
      </c>
      <c r="F278" s="6" t="s">
        <v>1931</v>
      </c>
      <c r="G278" s="6">
        <v>41988.92386574074</v>
      </c>
      <c r="H278" s="6">
        <v>41988.92386574074</v>
      </c>
      <c r="I278" s="6">
        <v>41988.92386574074</v>
      </c>
      <c r="J278" s="6" t="s">
        <v>103</v>
      </c>
      <c r="K278" s="6" t="s">
        <v>105</v>
      </c>
      <c r="L278" s="6" t="s">
        <v>1932</v>
      </c>
      <c r="M278" s="6" t="s">
        <v>374</v>
      </c>
      <c r="N278" s="6" t="s">
        <v>1869</v>
      </c>
      <c r="P278" s="6" t="s">
        <v>215</v>
      </c>
      <c r="Q278" s="6">
        <v>826</v>
      </c>
      <c r="R278" s="6" t="s">
        <v>349</v>
      </c>
      <c r="S278" s="7">
        <v>826</v>
      </c>
      <c r="T278" s="7" t="s">
        <v>123</v>
      </c>
      <c r="U278" s="6" t="s">
        <v>125</v>
      </c>
      <c r="V278" s="6" t="s">
        <v>158</v>
      </c>
      <c r="W278" s="6" t="s">
        <v>376</v>
      </c>
      <c r="X278" s="6" t="s">
        <v>1932</v>
      </c>
      <c r="Y278" s="8" t="s">
        <v>3470</v>
      </c>
      <c r="Z278" s="6" t="s">
        <v>1933</v>
      </c>
      <c r="AB278" s="6">
        <v>40815</v>
      </c>
      <c r="AC278" s="6">
        <v>40787</v>
      </c>
      <c r="AD278" s="6">
        <v>41365</v>
      </c>
      <c r="AE278" s="6" t="s">
        <v>177</v>
      </c>
      <c r="AF278" s="6" t="s">
        <v>178</v>
      </c>
      <c r="AG278" s="6" t="s">
        <v>370</v>
      </c>
      <c r="AH278" s="6" t="s">
        <v>377</v>
      </c>
      <c r="AI278" s="6" t="s">
        <v>182</v>
      </c>
      <c r="AJ278" s="6" t="s">
        <v>393</v>
      </c>
      <c r="AK278" s="6" t="s">
        <v>185</v>
      </c>
      <c r="AL278" s="6" t="s">
        <v>178</v>
      </c>
      <c r="AM278" s="6" t="s">
        <v>244</v>
      </c>
      <c r="AN278" s="6" t="s">
        <v>378</v>
      </c>
      <c r="AO278" s="6" t="s">
        <v>185</v>
      </c>
      <c r="AP278" s="6" t="s">
        <v>386</v>
      </c>
      <c r="AQ278" s="6" t="s">
        <v>288</v>
      </c>
      <c r="AR278" s="6" t="s">
        <v>288</v>
      </c>
      <c r="AS278" s="6" t="s">
        <v>379</v>
      </c>
      <c r="AT278" s="6" t="s">
        <v>395</v>
      </c>
      <c r="AU278" s="6" t="s">
        <v>185</v>
      </c>
      <c r="AV278" s="6" t="s">
        <v>520</v>
      </c>
      <c r="AW278" s="6" t="s">
        <v>341</v>
      </c>
      <c r="AX278" s="6" t="s">
        <v>521</v>
      </c>
    </row>
    <row r="279" spans="1:50">
      <c r="A279" s="6">
        <v>361</v>
      </c>
      <c r="B279" s="5" t="s">
        <v>3471</v>
      </c>
      <c r="C279" s="6">
        <v>5</v>
      </c>
      <c r="D279" s="6" t="s">
        <v>98</v>
      </c>
      <c r="E279" s="6">
        <v>1</v>
      </c>
      <c r="F279" s="6" t="s">
        <v>1934</v>
      </c>
      <c r="G279" s="6">
        <v>41988.92386574074</v>
      </c>
      <c r="H279" s="6">
        <v>42066.886064814818</v>
      </c>
      <c r="I279" s="6">
        <v>41988.92386574074</v>
      </c>
      <c r="J279" s="6" t="s">
        <v>103</v>
      </c>
      <c r="K279" s="6" t="s">
        <v>105</v>
      </c>
      <c r="L279" s="6" t="s">
        <v>1935</v>
      </c>
      <c r="M279" s="6" t="s">
        <v>374</v>
      </c>
      <c r="N279" s="6" t="s">
        <v>1936</v>
      </c>
      <c r="O279" s="6" t="s">
        <v>1937</v>
      </c>
      <c r="P279" s="6" t="s">
        <v>1875</v>
      </c>
      <c r="Q279" s="6">
        <v>826</v>
      </c>
      <c r="R279" s="6" t="s">
        <v>349</v>
      </c>
      <c r="S279" s="7">
        <v>826</v>
      </c>
      <c r="T279" s="7" t="s">
        <v>123</v>
      </c>
      <c r="U279" s="6" t="s">
        <v>125</v>
      </c>
      <c r="V279" s="6" t="s">
        <v>158</v>
      </c>
      <c r="W279" s="6" t="s">
        <v>160</v>
      </c>
      <c r="X279" s="6" t="s">
        <v>1935</v>
      </c>
      <c r="Y279" s="8" t="s">
        <v>3472</v>
      </c>
      <c r="Z279" s="8" t="s">
        <v>3473</v>
      </c>
      <c r="AB279" s="6">
        <v>41845</v>
      </c>
      <c r="AC279" s="6">
        <v>41970</v>
      </c>
      <c r="AE279" s="6" t="s">
        <v>244</v>
      </c>
      <c r="AF279" s="6" t="s">
        <v>178</v>
      </c>
      <c r="AG279" s="6" t="s">
        <v>180</v>
      </c>
      <c r="AH279" s="6" t="s">
        <v>181</v>
      </c>
      <c r="AI279" s="6" t="s">
        <v>371</v>
      </c>
      <c r="AJ279" s="6" t="s">
        <v>371</v>
      </c>
      <c r="AK279" s="6" t="s">
        <v>189</v>
      </c>
      <c r="AL279" s="6" t="s">
        <v>479</v>
      </c>
      <c r="AM279" s="6" t="s">
        <v>189</v>
      </c>
      <c r="AN279" s="6" t="s">
        <v>378</v>
      </c>
      <c r="AO279" s="6" t="s">
        <v>244</v>
      </c>
      <c r="AP279" s="6" t="s">
        <v>247</v>
      </c>
      <c r="AQ279" s="6" t="s">
        <v>288</v>
      </c>
      <c r="AR279" s="6" t="s">
        <v>189</v>
      </c>
      <c r="AS279" s="6" t="s">
        <v>244</v>
      </c>
      <c r="AT279" s="6" t="s">
        <v>244</v>
      </c>
      <c r="AU279" s="6" t="s">
        <v>288</v>
      </c>
      <c r="AV279" s="6" t="s">
        <v>339</v>
      </c>
      <c r="AW279" s="6" t="s">
        <v>244</v>
      </c>
      <c r="AX279" s="6" t="s">
        <v>247</v>
      </c>
    </row>
    <row r="280" spans="1:50">
      <c r="A280" s="6">
        <v>362</v>
      </c>
      <c r="B280" s="5" t="s">
        <v>3474</v>
      </c>
      <c r="C280" s="6">
        <v>3</v>
      </c>
      <c r="D280" s="6" t="s">
        <v>98</v>
      </c>
      <c r="E280" s="6">
        <v>1</v>
      </c>
      <c r="F280" s="6" t="s">
        <v>1938</v>
      </c>
      <c r="G280" s="6">
        <v>41988.92386574074</v>
      </c>
      <c r="H280" s="6">
        <v>41988.92386574074</v>
      </c>
      <c r="I280" s="6">
        <v>41988.92386574074</v>
      </c>
      <c r="J280" s="6" t="s">
        <v>103</v>
      </c>
      <c r="K280" s="6" t="s">
        <v>105</v>
      </c>
      <c r="L280" s="6" t="s">
        <v>1939</v>
      </c>
      <c r="M280" s="6" t="s">
        <v>374</v>
      </c>
      <c r="P280" s="6" t="s">
        <v>215</v>
      </c>
      <c r="Q280" s="6">
        <v>826</v>
      </c>
      <c r="R280" s="6" t="s">
        <v>349</v>
      </c>
      <c r="S280" s="7">
        <v>826</v>
      </c>
      <c r="T280" s="7" t="s">
        <v>123</v>
      </c>
      <c r="U280" s="6" t="s">
        <v>125</v>
      </c>
      <c r="V280" s="6" t="s">
        <v>158</v>
      </c>
      <c r="W280" s="6" t="s">
        <v>376</v>
      </c>
      <c r="X280" s="6" t="s">
        <v>1939</v>
      </c>
      <c r="Y280" s="8" t="s">
        <v>3475</v>
      </c>
      <c r="Z280" s="8" t="s">
        <v>3476</v>
      </c>
      <c r="AB280" s="6">
        <v>41726</v>
      </c>
      <c r="AC280" s="6">
        <v>42461</v>
      </c>
      <c r="AE280" s="6" t="s">
        <v>177</v>
      </c>
      <c r="AF280" s="6" t="s">
        <v>178</v>
      </c>
      <c r="AG280" s="6" t="s">
        <v>370</v>
      </c>
      <c r="AH280" s="6" t="s">
        <v>187</v>
      </c>
      <c r="AI280" s="6" t="s">
        <v>182</v>
      </c>
      <c r="AJ280" s="6" t="s">
        <v>393</v>
      </c>
      <c r="AK280" s="6" t="s">
        <v>185</v>
      </c>
      <c r="AL280" s="6" t="s">
        <v>178</v>
      </c>
      <c r="AM280" s="6" t="s">
        <v>189</v>
      </c>
      <c r="AN280" s="6" t="s">
        <v>378</v>
      </c>
      <c r="AO280" s="6" t="s">
        <v>189</v>
      </c>
      <c r="AP280" s="6" t="s">
        <v>386</v>
      </c>
      <c r="AQ280" s="6" t="s">
        <v>288</v>
      </c>
      <c r="AR280" s="6" t="s">
        <v>288</v>
      </c>
      <c r="AS280" s="6" t="s">
        <v>395</v>
      </c>
      <c r="AT280" s="6" t="s">
        <v>459</v>
      </c>
      <c r="AU280" s="6" t="s">
        <v>288</v>
      </c>
      <c r="AV280" s="6" t="s">
        <v>339</v>
      </c>
      <c r="AW280" s="6" t="s">
        <v>244</v>
      </c>
      <c r="AX280" s="6" t="s">
        <v>247</v>
      </c>
    </row>
    <row r="281" spans="1:50">
      <c r="A281" s="6">
        <v>363</v>
      </c>
      <c r="B281" s="5" t="s">
        <v>3477</v>
      </c>
      <c r="C281" s="6">
        <v>3</v>
      </c>
      <c r="D281" s="6" t="s">
        <v>98</v>
      </c>
      <c r="E281" s="6">
        <v>1</v>
      </c>
      <c r="F281" s="6" t="s">
        <v>1940</v>
      </c>
      <c r="G281" s="6">
        <v>41988.92386574074</v>
      </c>
      <c r="H281" s="6">
        <v>41988.92386574074</v>
      </c>
      <c r="I281" s="6">
        <v>41988.92386574074</v>
      </c>
      <c r="J281" s="6" t="s">
        <v>103</v>
      </c>
      <c r="K281" s="6" t="s">
        <v>105</v>
      </c>
      <c r="L281" s="6" t="s">
        <v>1941</v>
      </c>
      <c r="M281" s="6" t="s">
        <v>637</v>
      </c>
      <c r="P281" s="6" t="s">
        <v>215</v>
      </c>
      <c r="Q281" s="6">
        <v>826</v>
      </c>
      <c r="R281" s="6" t="s">
        <v>349</v>
      </c>
      <c r="S281" s="7">
        <v>826</v>
      </c>
      <c r="T281" s="7" t="s">
        <v>123</v>
      </c>
      <c r="U281" s="6" t="s">
        <v>125</v>
      </c>
      <c r="V281" s="6" t="s">
        <v>158</v>
      </c>
      <c r="W281" s="6" t="s">
        <v>160</v>
      </c>
      <c r="X281" s="6" t="s">
        <v>1941</v>
      </c>
      <c r="Y281" s="8" t="s">
        <v>3478</v>
      </c>
      <c r="Z281" s="8" t="s">
        <v>3479</v>
      </c>
      <c r="AA281" s="8" t="s">
        <v>3480</v>
      </c>
      <c r="AC281" s="6">
        <v>40909</v>
      </c>
      <c r="AE281" s="6" t="s">
        <v>177</v>
      </c>
      <c r="AF281" s="6" t="s">
        <v>178</v>
      </c>
      <c r="AG281" s="6" t="s">
        <v>180</v>
      </c>
      <c r="AH281" s="6" t="s">
        <v>244</v>
      </c>
      <c r="AI281" s="6" t="s">
        <v>182</v>
      </c>
      <c r="AJ281" s="6" t="s">
        <v>393</v>
      </c>
      <c r="AK281" s="6" t="s">
        <v>244</v>
      </c>
      <c r="AL281" s="6" t="s">
        <v>178</v>
      </c>
      <c r="AM281" s="6" t="s">
        <v>244</v>
      </c>
      <c r="AN281" s="6" t="s">
        <v>181</v>
      </c>
      <c r="AO281" s="6" t="s">
        <v>185</v>
      </c>
      <c r="AP281" s="6" t="s">
        <v>386</v>
      </c>
      <c r="AQ281" s="6" t="s">
        <v>288</v>
      </c>
      <c r="AR281" s="6" t="s">
        <v>288</v>
      </c>
      <c r="AS281" s="6" t="s">
        <v>244</v>
      </c>
      <c r="AT281" s="6" t="s">
        <v>244</v>
      </c>
      <c r="AU281" s="6" t="s">
        <v>288</v>
      </c>
      <c r="AV281" s="6" t="s">
        <v>339</v>
      </c>
      <c r="AW281" s="6" t="s">
        <v>442</v>
      </c>
      <c r="AX281" s="6" t="s">
        <v>428</v>
      </c>
    </row>
    <row r="282" spans="1:50">
      <c r="A282" s="6">
        <v>690</v>
      </c>
      <c r="B282" s="5" t="s">
        <v>3481</v>
      </c>
      <c r="C282" s="6">
        <v>4</v>
      </c>
      <c r="D282" s="6" t="s">
        <v>98</v>
      </c>
      <c r="E282" s="6">
        <v>392</v>
      </c>
      <c r="F282" s="6" t="s">
        <v>1944</v>
      </c>
      <c r="G282" s="6">
        <v>42076.571099537039</v>
      </c>
      <c r="H282" s="6">
        <v>42076.571099537039</v>
      </c>
      <c r="I282" s="6">
        <v>42076.571099537039</v>
      </c>
      <c r="J282" s="6" t="s">
        <v>103</v>
      </c>
      <c r="K282" s="6" t="s">
        <v>105</v>
      </c>
      <c r="L282" s="6" t="s">
        <v>1945</v>
      </c>
      <c r="P282" s="6" t="s">
        <v>1903</v>
      </c>
      <c r="Q282" s="6">
        <v>826</v>
      </c>
      <c r="R282" s="6" t="s">
        <v>349</v>
      </c>
      <c r="S282" s="7">
        <v>826</v>
      </c>
      <c r="T282" s="7" t="s">
        <v>123</v>
      </c>
      <c r="U282" s="6" t="s">
        <v>125</v>
      </c>
      <c r="V282" s="6" t="s">
        <v>158</v>
      </c>
      <c r="W282" s="6" t="s">
        <v>160</v>
      </c>
      <c r="X282" s="6" t="s">
        <v>1945</v>
      </c>
      <c r="Y282" s="8" t="s">
        <v>3482</v>
      </c>
      <c r="Z282" s="8" t="s">
        <v>3483</v>
      </c>
      <c r="AA282" s="8" t="s">
        <v>3484</v>
      </c>
      <c r="AB282" s="6">
        <v>41106</v>
      </c>
      <c r="AE282" s="6" t="s">
        <v>177</v>
      </c>
      <c r="AF282" s="6" t="s">
        <v>178</v>
      </c>
      <c r="AG282" s="6" t="s">
        <v>180</v>
      </c>
      <c r="AH282" s="6" t="s">
        <v>181</v>
      </c>
      <c r="AI282" s="6" t="s">
        <v>182</v>
      </c>
      <c r="AJ282" s="6" t="s">
        <v>244</v>
      </c>
      <c r="AK282" s="6" t="s">
        <v>244</v>
      </c>
      <c r="AL282" s="6" t="s">
        <v>178</v>
      </c>
      <c r="AM282" s="6" t="s">
        <v>244</v>
      </c>
      <c r="AN282" s="6" t="s">
        <v>181</v>
      </c>
      <c r="AO282" s="6" t="s">
        <v>189</v>
      </c>
      <c r="AP282" s="6" t="s">
        <v>247</v>
      </c>
      <c r="AQ282" s="6" t="s">
        <v>244</v>
      </c>
      <c r="AR282" s="6" t="s">
        <v>244</v>
      </c>
      <c r="AS282" s="6" t="s">
        <v>379</v>
      </c>
      <c r="AT282" s="6" t="s">
        <v>395</v>
      </c>
      <c r="AU282" s="6" t="s">
        <v>189</v>
      </c>
      <c r="AV282" s="6" t="s">
        <v>371</v>
      </c>
      <c r="AW282" s="6" t="s">
        <v>442</v>
      </c>
      <c r="AX282" s="6" t="s">
        <v>521</v>
      </c>
    </row>
    <row r="283" spans="1:50">
      <c r="A283" s="6">
        <v>365</v>
      </c>
      <c r="B283" s="5" t="s">
        <v>3485</v>
      </c>
      <c r="C283" s="6">
        <v>7</v>
      </c>
      <c r="D283" s="6" t="s">
        <v>98</v>
      </c>
      <c r="E283" s="6">
        <v>1</v>
      </c>
      <c r="F283" s="6" t="s">
        <v>1946</v>
      </c>
      <c r="G283" s="6">
        <v>41988.92386574074</v>
      </c>
      <c r="H283" s="6">
        <v>42066.886319444442</v>
      </c>
      <c r="I283" s="6">
        <v>41988.92386574074</v>
      </c>
      <c r="J283" s="6" t="s">
        <v>103</v>
      </c>
      <c r="K283" s="6" t="s">
        <v>105</v>
      </c>
      <c r="L283" s="6" t="s">
        <v>1947</v>
      </c>
      <c r="M283" s="6" t="s">
        <v>374</v>
      </c>
      <c r="N283" s="6" t="s">
        <v>1948</v>
      </c>
      <c r="P283" s="6" t="s">
        <v>1875</v>
      </c>
      <c r="Q283" s="6">
        <v>826</v>
      </c>
      <c r="R283" s="6" t="s">
        <v>349</v>
      </c>
      <c r="S283" s="7">
        <v>826</v>
      </c>
      <c r="T283" s="7" t="s">
        <v>123</v>
      </c>
      <c r="U283" s="6" t="s">
        <v>125</v>
      </c>
      <c r="V283" s="6" t="s">
        <v>158</v>
      </c>
      <c r="W283" s="6" t="s">
        <v>160</v>
      </c>
      <c r="X283" s="6" t="s">
        <v>1947</v>
      </c>
      <c r="Y283" s="8" t="s">
        <v>3486</v>
      </c>
      <c r="Z283" s="8" t="s">
        <v>3487</v>
      </c>
      <c r="AA283" s="8" t="s">
        <v>3488</v>
      </c>
      <c r="AB283" s="6">
        <v>41275</v>
      </c>
      <c r="AE283" s="6" t="s">
        <v>177</v>
      </c>
      <c r="AF283" s="6" t="s">
        <v>178</v>
      </c>
      <c r="AG283" s="6" t="s">
        <v>180</v>
      </c>
      <c r="AH283" s="6" t="s">
        <v>377</v>
      </c>
      <c r="AI283" s="6" t="s">
        <v>182</v>
      </c>
      <c r="AJ283" s="6" t="s">
        <v>393</v>
      </c>
      <c r="AK283" s="6" t="s">
        <v>244</v>
      </c>
      <c r="AL283" s="6" t="s">
        <v>178</v>
      </c>
      <c r="AM283" s="6" t="s">
        <v>244</v>
      </c>
      <c r="AN283" s="6" t="s">
        <v>378</v>
      </c>
      <c r="AO283" s="6" t="s">
        <v>189</v>
      </c>
      <c r="AP283" s="6" t="s">
        <v>247</v>
      </c>
      <c r="AQ283" s="6" t="s">
        <v>288</v>
      </c>
      <c r="AR283" s="6" t="s">
        <v>185</v>
      </c>
      <c r="AS283" s="6" t="s">
        <v>379</v>
      </c>
      <c r="AT283" s="6" t="s">
        <v>395</v>
      </c>
      <c r="AU283" s="6" t="s">
        <v>288</v>
      </c>
      <c r="AV283" s="6" t="s">
        <v>244</v>
      </c>
      <c r="AW283" s="6" t="s">
        <v>442</v>
      </c>
      <c r="AX283" s="6" t="s">
        <v>428</v>
      </c>
    </row>
    <row r="284" spans="1:50">
      <c r="A284" s="6">
        <v>727</v>
      </c>
      <c r="B284" s="5" t="s">
        <v>3489</v>
      </c>
      <c r="C284" s="6">
        <v>4</v>
      </c>
      <c r="D284" s="6" t="s">
        <v>98</v>
      </c>
      <c r="E284" s="6">
        <v>65</v>
      </c>
      <c r="F284" s="6" t="s">
        <v>1949</v>
      </c>
      <c r="G284" s="6">
        <v>42103.606828703705</v>
      </c>
      <c r="H284" s="6">
        <v>42103.606828703705</v>
      </c>
      <c r="I284" s="6">
        <v>42103.606828703705</v>
      </c>
      <c r="J284" s="6" t="s">
        <v>103</v>
      </c>
      <c r="K284" s="6" t="s">
        <v>105</v>
      </c>
      <c r="L284" s="6" t="s">
        <v>1950</v>
      </c>
      <c r="P284" s="6" t="s">
        <v>215</v>
      </c>
      <c r="Q284" s="6">
        <v>826</v>
      </c>
      <c r="R284" s="6" t="s">
        <v>349</v>
      </c>
      <c r="S284" s="7">
        <v>826</v>
      </c>
      <c r="T284" s="7" t="s">
        <v>123</v>
      </c>
      <c r="U284" s="6" t="s">
        <v>125</v>
      </c>
      <c r="V284" s="6" t="s">
        <v>158</v>
      </c>
      <c r="W284" s="6" t="s">
        <v>376</v>
      </c>
      <c r="X284" s="6" t="s">
        <v>1950</v>
      </c>
      <c r="Y284" s="8" t="s">
        <v>3490</v>
      </c>
      <c r="Z284" s="8" t="s">
        <v>3491</v>
      </c>
      <c r="AA284" s="8" t="s">
        <v>3398</v>
      </c>
      <c r="AB284" s="6">
        <v>41913</v>
      </c>
      <c r="AC284" s="6">
        <v>41913</v>
      </c>
      <c r="AE284" s="6" t="s">
        <v>177</v>
      </c>
      <c r="AF284" s="6" t="s">
        <v>178</v>
      </c>
      <c r="AG284" s="6" t="s">
        <v>463</v>
      </c>
      <c r="AH284" s="6" t="s">
        <v>377</v>
      </c>
      <c r="AI284" s="6" t="s">
        <v>182</v>
      </c>
      <c r="AJ284" s="6" t="s">
        <v>183</v>
      </c>
      <c r="AK284" s="6" t="s">
        <v>185</v>
      </c>
      <c r="AL284" s="6" t="s">
        <v>178</v>
      </c>
      <c r="AM284" s="6" t="s">
        <v>185</v>
      </c>
      <c r="AN284" s="6" t="s">
        <v>378</v>
      </c>
      <c r="AO284" s="6" t="s">
        <v>244</v>
      </c>
      <c r="AP284" s="6" t="s">
        <v>247</v>
      </c>
      <c r="AR284" s="6" t="s">
        <v>244</v>
      </c>
      <c r="AS284" s="6" t="s">
        <v>379</v>
      </c>
      <c r="AT284" s="6" t="s">
        <v>244</v>
      </c>
      <c r="AU284" s="6" t="s">
        <v>185</v>
      </c>
      <c r="AV284" s="6" t="s">
        <v>520</v>
      </c>
      <c r="AW284" s="6" t="s">
        <v>442</v>
      </c>
      <c r="AX284" s="6" t="s">
        <v>521</v>
      </c>
    </row>
    <row r="285" spans="1:50">
      <c r="A285" s="6">
        <v>366</v>
      </c>
      <c r="B285" s="5" t="s">
        <v>3492</v>
      </c>
      <c r="C285" s="6">
        <v>6</v>
      </c>
      <c r="D285" s="6" t="s">
        <v>98</v>
      </c>
      <c r="E285" s="6">
        <v>1</v>
      </c>
      <c r="F285" s="6" t="s">
        <v>1951</v>
      </c>
      <c r="G285" s="6">
        <v>41988.92386574074</v>
      </c>
      <c r="H285" s="6">
        <v>42066.798900462964</v>
      </c>
      <c r="I285" s="6">
        <v>41988.92386574074</v>
      </c>
      <c r="J285" s="6" t="s">
        <v>103</v>
      </c>
      <c r="K285" s="6" t="s">
        <v>105</v>
      </c>
      <c r="L285" s="6" t="s">
        <v>1952</v>
      </c>
      <c r="M285" s="6" t="s">
        <v>374</v>
      </c>
      <c r="N285" s="6" t="s">
        <v>1953</v>
      </c>
      <c r="P285" s="6" t="s">
        <v>215</v>
      </c>
      <c r="Q285" s="6">
        <v>826</v>
      </c>
      <c r="R285" s="6" t="s">
        <v>349</v>
      </c>
      <c r="S285" s="7">
        <v>826</v>
      </c>
      <c r="T285" s="7" t="s">
        <v>123</v>
      </c>
      <c r="U285" s="6" t="s">
        <v>125</v>
      </c>
      <c r="V285" s="6" t="s">
        <v>158</v>
      </c>
      <c r="W285" s="6" t="s">
        <v>160</v>
      </c>
      <c r="X285" s="6" t="s">
        <v>1952</v>
      </c>
      <c r="Y285" s="8" t="s">
        <v>3493</v>
      </c>
      <c r="Z285" s="8" t="s">
        <v>3494</v>
      </c>
      <c r="AA285" s="8" t="s">
        <v>3495</v>
      </c>
      <c r="AB285" s="6">
        <v>2006</v>
      </c>
      <c r="AD285" s="6">
        <v>2014</v>
      </c>
      <c r="AE285" s="6" t="s">
        <v>177</v>
      </c>
      <c r="AF285" s="6" t="s">
        <v>178</v>
      </c>
      <c r="AG285" s="6" t="s">
        <v>180</v>
      </c>
      <c r="AH285" s="6" t="s">
        <v>371</v>
      </c>
      <c r="AI285" s="6" t="s">
        <v>182</v>
      </c>
      <c r="AJ285" s="6" t="s">
        <v>393</v>
      </c>
      <c r="AK285" s="6" t="s">
        <v>244</v>
      </c>
      <c r="AL285" s="6" t="s">
        <v>247</v>
      </c>
      <c r="AM285" s="6" t="s">
        <v>244</v>
      </c>
      <c r="AN285" s="6" t="s">
        <v>181</v>
      </c>
      <c r="AO285" s="6" t="s">
        <v>244</v>
      </c>
      <c r="AP285" s="6" t="s">
        <v>386</v>
      </c>
      <c r="AQ285" s="6" t="s">
        <v>288</v>
      </c>
      <c r="AR285" s="6" t="s">
        <v>288</v>
      </c>
      <c r="AS285" s="6" t="s">
        <v>244</v>
      </c>
      <c r="AT285" s="6" t="s">
        <v>244</v>
      </c>
      <c r="AU285" s="6" t="s">
        <v>288</v>
      </c>
      <c r="AV285" s="6" t="s">
        <v>244</v>
      </c>
      <c r="AW285" s="6" t="s">
        <v>341</v>
      </c>
      <c r="AX285" s="6" t="s">
        <v>428</v>
      </c>
    </row>
    <row r="286" spans="1:50">
      <c r="A286" s="6">
        <v>692</v>
      </c>
      <c r="B286" s="5" t="s">
        <v>3496</v>
      </c>
      <c r="C286" s="6">
        <v>4</v>
      </c>
      <c r="D286" s="6" t="s">
        <v>98</v>
      </c>
      <c r="E286" s="6">
        <v>392</v>
      </c>
      <c r="F286" s="6" t="s">
        <v>1954</v>
      </c>
      <c r="G286" s="6">
        <v>42076.571840277778</v>
      </c>
      <c r="H286" s="6">
        <v>42076.571840277778</v>
      </c>
      <c r="I286" s="6">
        <v>42076.571840277778</v>
      </c>
      <c r="J286" s="6" t="s">
        <v>103</v>
      </c>
      <c r="K286" s="6" t="s">
        <v>105</v>
      </c>
      <c r="L286" s="6" t="s">
        <v>1955</v>
      </c>
      <c r="P286" s="6" t="s">
        <v>1903</v>
      </c>
      <c r="Q286" s="6">
        <v>826</v>
      </c>
      <c r="R286" s="6" t="s">
        <v>349</v>
      </c>
      <c r="S286" s="7">
        <v>826</v>
      </c>
      <c r="T286" s="7" t="s">
        <v>123</v>
      </c>
      <c r="U286" s="6" t="s">
        <v>125</v>
      </c>
      <c r="V286" s="6" t="s">
        <v>158</v>
      </c>
      <c r="W286" s="6" t="s">
        <v>160</v>
      </c>
      <c r="X286" s="6" t="s">
        <v>1955</v>
      </c>
      <c r="Y286" s="8" t="s">
        <v>3497</v>
      </c>
      <c r="Z286" s="8" t="s">
        <v>3498</v>
      </c>
      <c r="AA286" s="8" t="s">
        <v>3499</v>
      </c>
      <c r="AB286" s="6">
        <v>41548</v>
      </c>
      <c r="AE286" s="6" t="s">
        <v>177</v>
      </c>
      <c r="AF286" s="6" t="s">
        <v>178</v>
      </c>
      <c r="AG286" s="6" t="s">
        <v>180</v>
      </c>
      <c r="AH286" s="6" t="s">
        <v>392</v>
      </c>
      <c r="AI286" s="6" t="s">
        <v>182</v>
      </c>
      <c r="AJ286" s="6" t="s">
        <v>393</v>
      </c>
      <c r="AK286" s="6" t="s">
        <v>244</v>
      </c>
      <c r="AL286" s="6" t="s">
        <v>178</v>
      </c>
      <c r="AM286" s="6" t="s">
        <v>189</v>
      </c>
      <c r="AN286" s="6" t="s">
        <v>181</v>
      </c>
      <c r="AO286" s="6" t="s">
        <v>244</v>
      </c>
      <c r="AP286" s="6" t="s">
        <v>247</v>
      </c>
      <c r="AQ286" s="6" t="s">
        <v>244</v>
      </c>
      <c r="AR286" s="6" t="s">
        <v>244</v>
      </c>
      <c r="AS286" s="6" t="s">
        <v>244</v>
      </c>
      <c r="AT286" s="6" t="s">
        <v>244</v>
      </c>
      <c r="AU286" s="6" t="s">
        <v>244</v>
      </c>
      <c r="AV286" s="6" t="s">
        <v>244</v>
      </c>
      <c r="AW286" s="6" t="s">
        <v>442</v>
      </c>
      <c r="AX286" s="6" t="s">
        <v>428</v>
      </c>
    </row>
    <row r="287" spans="1:50">
      <c r="A287" s="6">
        <v>367</v>
      </c>
      <c r="B287" s="5" t="s">
        <v>3500</v>
      </c>
      <c r="C287" s="6">
        <v>3</v>
      </c>
      <c r="D287" s="6" t="s">
        <v>98</v>
      </c>
      <c r="E287" s="6">
        <v>1</v>
      </c>
      <c r="F287" s="6" t="s">
        <v>1956</v>
      </c>
      <c r="G287" s="6">
        <v>41988.923877314817</v>
      </c>
      <c r="H287" s="6">
        <v>41988.923877314817</v>
      </c>
      <c r="I287" s="6">
        <v>41988.923877314817</v>
      </c>
      <c r="J287" s="6" t="s">
        <v>103</v>
      </c>
      <c r="K287" s="6" t="s">
        <v>105</v>
      </c>
      <c r="L287" s="6" t="s">
        <v>1957</v>
      </c>
      <c r="M287" s="6" t="s">
        <v>374</v>
      </c>
      <c r="N287" s="6" t="s">
        <v>1958</v>
      </c>
      <c r="P287" s="6" t="s">
        <v>1875</v>
      </c>
      <c r="Q287" s="6">
        <v>826</v>
      </c>
      <c r="R287" s="6" t="s">
        <v>349</v>
      </c>
      <c r="S287" s="7">
        <v>826</v>
      </c>
      <c r="T287" s="7" t="s">
        <v>123</v>
      </c>
      <c r="U287" s="6" t="s">
        <v>125</v>
      </c>
      <c r="V287" s="6" t="s">
        <v>158</v>
      </c>
      <c r="W287" s="6" t="s">
        <v>364</v>
      </c>
      <c r="X287" s="6" t="s">
        <v>1957</v>
      </c>
      <c r="Y287" s="8" t="s">
        <v>3501</v>
      </c>
      <c r="Z287" s="8" t="s">
        <v>3502</v>
      </c>
      <c r="AB287" s="6">
        <v>41122</v>
      </c>
      <c r="AD287" s="6">
        <v>41699</v>
      </c>
      <c r="AE287" s="6" t="s">
        <v>177</v>
      </c>
      <c r="AF287" s="6" t="s">
        <v>178</v>
      </c>
      <c r="AG287" s="6" t="s">
        <v>463</v>
      </c>
      <c r="AH287" s="6" t="s">
        <v>371</v>
      </c>
      <c r="AI287" s="6" t="s">
        <v>182</v>
      </c>
      <c r="AJ287" s="6" t="s">
        <v>244</v>
      </c>
      <c r="AK287" s="6" t="s">
        <v>244</v>
      </c>
      <c r="AL287" s="6" t="s">
        <v>178</v>
      </c>
      <c r="AM287" s="6" t="s">
        <v>244</v>
      </c>
      <c r="AN287" s="6" t="s">
        <v>371</v>
      </c>
      <c r="AO287" s="6" t="s">
        <v>244</v>
      </c>
      <c r="AP287" s="6" t="s">
        <v>247</v>
      </c>
      <c r="AQ287" s="6" t="s">
        <v>288</v>
      </c>
      <c r="AR287" s="6" t="s">
        <v>185</v>
      </c>
      <c r="AS287" s="6" t="s">
        <v>379</v>
      </c>
      <c r="AT287" s="6" t="s">
        <v>244</v>
      </c>
      <c r="AU287" s="6" t="s">
        <v>244</v>
      </c>
      <c r="AV287" s="6" t="s">
        <v>339</v>
      </c>
      <c r="AW287" s="6" t="s">
        <v>371</v>
      </c>
      <c r="AX287" s="6" t="s">
        <v>198</v>
      </c>
    </row>
    <row r="288" spans="1:50">
      <c r="A288" s="6">
        <v>368</v>
      </c>
      <c r="B288" s="5" t="s">
        <v>3503</v>
      </c>
      <c r="C288" s="6">
        <v>4</v>
      </c>
      <c r="D288" s="6" t="s">
        <v>98</v>
      </c>
      <c r="E288" s="6">
        <v>1</v>
      </c>
      <c r="F288" s="6" t="s">
        <v>1959</v>
      </c>
      <c r="G288" s="6">
        <v>41988.923877314817</v>
      </c>
      <c r="H288" s="6">
        <v>42020.536620370367</v>
      </c>
      <c r="I288" s="6">
        <v>41988.923877314817</v>
      </c>
      <c r="J288" s="6" t="s">
        <v>103</v>
      </c>
      <c r="K288" s="6" t="s">
        <v>105</v>
      </c>
      <c r="L288" s="6" t="s">
        <v>1960</v>
      </c>
      <c r="M288" s="6" t="s">
        <v>374</v>
      </c>
      <c r="N288" s="6" t="s">
        <v>1869</v>
      </c>
      <c r="P288" s="6" t="s">
        <v>215</v>
      </c>
      <c r="Q288" s="6">
        <v>826</v>
      </c>
      <c r="R288" s="6" t="s">
        <v>349</v>
      </c>
      <c r="S288" s="7">
        <v>826</v>
      </c>
      <c r="T288" s="7" t="s">
        <v>123</v>
      </c>
      <c r="U288" s="6" t="s">
        <v>125</v>
      </c>
      <c r="V288" s="6" t="s">
        <v>158</v>
      </c>
      <c r="W288" s="6" t="s">
        <v>376</v>
      </c>
      <c r="X288" s="6" t="s">
        <v>1960</v>
      </c>
      <c r="Y288" s="8" t="s">
        <v>3504</v>
      </c>
      <c r="Z288" s="8" t="s">
        <v>3401</v>
      </c>
      <c r="AA288" s="8" t="s">
        <v>3398</v>
      </c>
      <c r="AB288" s="6">
        <v>38921</v>
      </c>
      <c r="AC288" s="6">
        <v>38991</v>
      </c>
      <c r="AD288" s="6">
        <v>41365</v>
      </c>
      <c r="AE288" s="6" t="s">
        <v>177</v>
      </c>
      <c r="AF288" s="6" t="s">
        <v>178</v>
      </c>
      <c r="AG288" s="6" t="s">
        <v>463</v>
      </c>
      <c r="AH288" s="6" t="s">
        <v>377</v>
      </c>
      <c r="AI288" s="6" t="s">
        <v>182</v>
      </c>
      <c r="AJ288" s="6" t="s">
        <v>393</v>
      </c>
      <c r="AK288" s="6" t="s">
        <v>185</v>
      </c>
      <c r="AL288" s="6" t="s">
        <v>178</v>
      </c>
      <c r="AM288" s="6" t="s">
        <v>244</v>
      </c>
      <c r="AN288" s="6" t="s">
        <v>378</v>
      </c>
      <c r="AO288" s="6" t="s">
        <v>185</v>
      </c>
      <c r="AP288" s="6" t="s">
        <v>386</v>
      </c>
      <c r="AQ288" s="6" t="s">
        <v>288</v>
      </c>
      <c r="AR288" s="6" t="s">
        <v>288</v>
      </c>
      <c r="AS288" s="6" t="s">
        <v>379</v>
      </c>
      <c r="AT288" s="6" t="s">
        <v>395</v>
      </c>
      <c r="AU288" s="6" t="s">
        <v>185</v>
      </c>
      <c r="AV288" s="6" t="s">
        <v>520</v>
      </c>
      <c r="AW288" s="6" t="s">
        <v>341</v>
      </c>
      <c r="AX288" s="6" t="s">
        <v>521</v>
      </c>
    </row>
    <row r="289" spans="1:50">
      <c r="A289" s="6">
        <v>369</v>
      </c>
      <c r="B289" s="5" t="s">
        <v>3505</v>
      </c>
      <c r="C289" s="6">
        <v>5</v>
      </c>
      <c r="D289" s="6" t="s">
        <v>98</v>
      </c>
      <c r="E289" s="6">
        <v>1</v>
      </c>
      <c r="F289" s="6" t="s">
        <v>1961</v>
      </c>
      <c r="G289" s="6">
        <v>41988.923877314817</v>
      </c>
      <c r="H289" s="6">
        <v>42066.887256944443</v>
      </c>
      <c r="I289" s="6">
        <v>41988.923877314817</v>
      </c>
      <c r="J289" s="6" t="s">
        <v>103</v>
      </c>
      <c r="K289" s="6" t="s">
        <v>105</v>
      </c>
      <c r="L289" s="6" t="s">
        <v>1962</v>
      </c>
      <c r="M289" s="6" t="s">
        <v>532</v>
      </c>
      <c r="N289" s="6" t="s">
        <v>1963</v>
      </c>
      <c r="P289" s="6" t="s">
        <v>1875</v>
      </c>
      <c r="Q289" s="6">
        <v>826</v>
      </c>
      <c r="R289" s="6" t="s">
        <v>349</v>
      </c>
      <c r="S289" s="7">
        <v>826</v>
      </c>
      <c r="T289" s="7" t="s">
        <v>123</v>
      </c>
      <c r="U289" s="6" t="s">
        <v>125</v>
      </c>
      <c r="V289" s="6" t="s">
        <v>158</v>
      </c>
      <c r="W289" s="6" t="s">
        <v>160</v>
      </c>
      <c r="X289" s="6" t="s">
        <v>1962</v>
      </c>
      <c r="Y289" s="8" t="s">
        <v>3506</v>
      </c>
      <c r="Z289" s="8" t="s">
        <v>3507</v>
      </c>
      <c r="AA289" s="8" t="s">
        <v>3508</v>
      </c>
      <c r="AB289" s="6">
        <v>40817</v>
      </c>
      <c r="AE289" s="6" t="s">
        <v>371</v>
      </c>
      <c r="AF289" s="6" t="s">
        <v>178</v>
      </c>
      <c r="AG289" s="6" t="s">
        <v>180</v>
      </c>
      <c r="AH289" s="6" t="s">
        <v>187</v>
      </c>
      <c r="AI289" s="6" t="s">
        <v>371</v>
      </c>
      <c r="AJ289" s="6" t="s">
        <v>371</v>
      </c>
      <c r="AK289" s="6" t="s">
        <v>189</v>
      </c>
      <c r="AL289" s="6" t="s">
        <v>479</v>
      </c>
      <c r="AM289" s="6" t="s">
        <v>189</v>
      </c>
      <c r="AN289" s="6" t="s">
        <v>187</v>
      </c>
      <c r="AO289" s="6" t="s">
        <v>244</v>
      </c>
      <c r="AP289" s="6" t="s">
        <v>394</v>
      </c>
      <c r="AQ289" s="6" t="s">
        <v>288</v>
      </c>
      <c r="AR289" s="6" t="s">
        <v>189</v>
      </c>
      <c r="AS289" s="6" t="s">
        <v>244</v>
      </c>
      <c r="AT289" s="6" t="s">
        <v>244</v>
      </c>
      <c r="AU289" s="6" t="s">
        <v>288</v>
      </c>
      <c r="AV289" s="6" t="s">
        <v>339</v>
      </c>
      <c r="AW289" s="6" t="s">
        <v>244</v>
      </c>
      <c r="AX289" s="6" t="s">
        <v>247</v>
      </c>
    </row>
    <row r="290" spans="1:50">
      <c r="A290" s="6">
        <v>725</v>
      </c>
      <c r="B290" s="5" t="s">
        <v>3509</v>
      </c>
      <c r="C290" s="6">
        <v>4</v>
      </c>
      <c r="D290" s="6" t="s">
        <v>98</v>
      </c>
      <c r="E290" s="6">
        <v>65</v>
      </c>
      <c r="F290" s="6" t="s">
        <v>1964</v>
      </c>
      <c r="G290" s="6">
        <v>42103.586643518516</v>
      </c>
      <c r="H290" s="6">
        <v>42103.586643518516</v>
      </c>
      <c r="I290" s="6">
        <v>42103.586643518516</v>
      </c>
      <c r="J290" s="6" t="s">
        <v>103</v>
      </c>
      <c r="K290" s="6" t="s">
        <v>105</v>
      </c>
      <c r="L290" s="6" t="s">
        <v>1965</v>
      </c>
      <c r="P290" s="6" t="s">
        <v>215</v>
      </c>
      <c r="Q290" s="6">
        <v>826</v>
      </c>
      <c r="R290" s="6" t="s">
        <v>349</v>
      </c>
      <c r="S290" s="7">
        <v>826</v>
      </c>
      <c r="T290" s="7" t="s">
        <v>123</v>
      </c>
      <c r="U290" s="6" t="s">
        <v>125</v>
      </c>
      <c r="V290" s="6" t="s">
        <v>158</v>
      </c>
      <c r="W290" s="6" t="s">
        <v>376</v>
      </c>
      <c r="X290" s="6" t="s">
        <v>1965</v>
      </c>
      <c r="Y290" s="8" t="s">
        <v>3510</v>
      </c>
      <c r="Z290" s="8" t="s">
        <v>3511</v>
      </c>
      <c r="AA290" s="8" t="s">
        <v>3398</v>
      </c>
      <c r="AB290" s="6">
        <v>41212</v>
      </c>
      <c r="AC290" s="6">
        <v>40634</v>
      </c>
      <c r="AD290" s="6">
        <v>41877</v>
      </c>
      <c r="AE290" s="6" t="s">
        <v>177</v>
      </c>
      <c r="AF290" s="6" t="s">
        <v>178</v>
      </c>
      <c r="AG290" s="6" t="s">
        <v>463</v>
      </c>
      <c r="AH290" s="6" t="s">
        <v>377</v>
      </c>
      <c r="AI290" s="6" t="s">
        <v>182</v>
      </c>
      <c r="AJ290" s="6" t="s">
        <v>393</v>
      </c>
      <c r="AK290" s="6" t="s">
        <v>244</v>
      </c>
      <c r="AL290" s="6" t="s">
        <v>247</v>
      </c>
      <c r="AM290" s="6" t="s">
        <v>244</v>
      </c>
      <c r="AN290" s="6" t="s">
        <v>378</v>
      </c>
      <c r="AO290" s="6" t="s">
        <v>244</v>
      </c>
      <c r="AP290" s="6" t="s">
        <v>247</v>
      </c>
      <c r="AQ290" s="6" t="s">
        <v>244</v>
      </c>
      <c r="AR290" s="6" t="s">
        <v>244</v>
      </c>
      <c r="AS290" s="6" t="s">
        <v>379</v>
      </c>
      <c r="AT290" s="6" t="s">
        <v>244</v>
      </c>
      <c r="AU290" s="6" t="s">
        <v>185</v>
      </c>
      <c r="AV290" s="6" t="s">
        <v>371</v>
      </c>
      <c r="AW290" s="6" t="s">
        <v>442</v>
      </c>
      <c r="AX290" s="6" t="s">
        <v>521</v>
      </c>
    </row>
    <row r="291" spans="1:50">
      <c r="A291" s="6">
        <v>370</v>
      </c>
      <c r="B291" s="5" t="s">
        <v>3512</v>
      </c>
      <c r="C291" s="6">
        <v>3</v>
      </c>
      <c r="D291" s="6" t="s">
        <v>98</v>
      </c>
      <c r="E291" s="6">
        <v>1</v>
      </c>
      <c r="F291" s="6" t="s">
        <v>1966</v>
      </c>
      <c r="G291" s="6">
        <v>41988.923877314817</v>
      </c>
      <c r="H291" s="6">
        <v>41988.923877314817</v>
      </c>
      <c r="I291" s="6">
        <v>41988.923877314817</v>
      </c>
      <c r="J291" s="6" t="s">
        <v>103</v>
      </c>
      <c r="K291" s="6" t="s">
        <v>105</v>
      </c>
      <c r="L291" s="6" t="s">
        <v>1967</v>
      </c>
      <c r="M291" s="6" t="s">
        <v>374</v>
      </c>
      <c r="P291" s="6" t="s">
        <v>215</v>
      </c>
      <c r="Q291" s="6">
        <v>826</v>
      </c>
      <c r="R291" s="6" t="s">
        <v>349</v>
      </c>
      <c r="S291" s="7">
        <v>826</v>
      </c>
      <c r="T291" s="7" t="s">
        <v>123</v>
      </c>
      <c r="U291" s="6" t="s">
        <v>125</v>
      </c>
      <c r="V291" s="6" t="s">
        <v>158</v>
      </c>
      <c r="W291" s="6" t="s">
        <v>376</v>
      </c>
      <c r="X291" s="6" t="s">
        <v>1967</v>
      </c>
      <c r="Y291" s="8" t="s">
        <v>3513</v>
      </c>
      <c r="Z291" s="8" t="s">
        <v>3514</v>
      </c>
      <c r="AA291" s="8" t="s">
        <v>3398</v>
      </c>
      <c r="AB291" s="6">
        <v>41305</v>
      </c>
      <c r="AC291" s="6">
        <v>41305</v>
      </c>
      <c r="AE291" s="6" t="s">
        <v>177</v>
      </c>
      <c r="AF291" s="6" t="s">
        <v>178</v>
      </c>
      <c r="AG291" s="6" t="s">
        <v>463</v>
      </c>
      <c r="AH291" s="6" t="s">
        <v>377</v>
      </c>
      <c r="AI291" s="6" t="s">
        <v>182</v>
      </c>
      <c r="AJ291" s="6" t="s">
        <v>393</v>
      </c>
      <c r="AK291" s="6" t="s">
        <v>189</v>
      </c>
      <c r="AL291" s="6" t="s">
        <v>178</v>
      </c>
      <c r="AM291" s="6" t="s">
        <v>244</v>
      </c>
      <c r="AN291" s="6" t="s">
        <v>378</v>
      </c>
      <c r="AO291" s="6" t="s">
        <v>185</v>
      </c>
      <c r="AP291" s="6" t="s">
        <v>386</v>
      </c>
      <c r="AQ291" s="6" t="s">
        <v>288</v>
      </c>
      <c r="AR291" s="6" t="s">
        <v>288</v>
      </c>
      <c r="AS291" s="6" t="s">
        <v>379</v>
      </c>
      <c r="AT291" s="6" t="s">
        <v>244</v>
      </c>
      <c r="AU291" s="6" t="s">
        <v>288</v>
      </c>
      <c r="AV291" s="6" t="s">
        <v>339</v>
      </c>
      <c r="AW291" s="6" t="s">
        <v>244</v>
      </c>
      <c r="AX291" s="6" t="s">
        <v>247</v>
      </c>
    </row>
    <row r="292" spans="1:50">
      <c r="A292" s="6">
        <v>723</v>
      </c>
      <c r="B292" s="5" t="s">
        <v>3515</v>
      </c>
      <c r="C292" s="6">
        <v>6</v>
      </c>
      <c r="D292" s="6" t="s">
        <v>98</v>
      </c>
      <c r="E292" s="6">
        <v>65</v>
      </c>
      <c r="F292" s="6" t="s">
        <v>1968</v>
      </c>
      <c r="G292" s="6">
        <v>42102.351817129631</v>
      </c>
      <c r="H292" s="6">
        <v>42121.434189814812</v>
      </c>
      <c r="I292" s="6">
        <v>42102.351817129631</v>
      </c>
      <c r="J292" s="6" t="s">
        <v>103</v>
      </c>
      <c r="K292" s="6" t="s">
        <v>105</v>
      </c>
      <c r="L292" s="6" t="s">
        <v>1969</v>
      </c>
      <c r="P292" s="6" t="s">
        <v>215</v>
      </c>
      <c r="Q292" s="6">
        <v>826</v>
      </c>
      <c r="R292" s="6" t="s">
        <v>349</v>
      </c>
      <c r="S292" s="7">
        <v>826</v>
      </c>
      <c r="T292" s="7" t="s">
        <v>123</v>
      </c>
      <c r="U292" s="6" t="s">
        <v>125</v>
      </c>
      <c r="V292" s="6" t="s">
        <v>158</v>
      </c>
      <c r="W292" s="6" t="s">
        <v>376</v>
      </c>
      <c r="X292" s="6" t="s">
        <v>1969</v>
      </c>
      <c r="Y292" s="8" t="s">
        <v>3516</v>
      </c>
      <c r="Z292" s="8" t="s">
        <v>3517</v>
      </c>
      <c r="AA292" s="8" t="s">
        <v>3398</v>
      </c>
      <c r="AB292" s="6">
        <v>40969</v>
      </c>
      <c r="AC292" s="6">
        <v>40756</v>
      </c>
      <c r="AE292" s="6" t="s">
        <v>177</v>
      </c>
      <c r="AF292" s="6" t="s">
        <v>178</v>
      </c>
      <c r="AG292" s="6" t="s">
        <v>463</v>
      </c>
      <c r="AH292" s="6" t="s">
        <v>377</v>
      </c>
      <c r="AI292" s="6" t="s">
        <v>182</v>
      </c>
      <c r="AJ292" s="6" t="s">
        <v>393</v>
      </c>
      <c r="AK292" s="6" t="s">
        <v>185</v>
      </c>
      <c r="AL292" s="6" t="s">
        <v>178</v>
      </c>
      <c r="AM292" s="6" t="s">
        <v>244</v>
      </c>
      <c r="AN292" s="6" t="s">
        <v>378</v>
      </c>
      <c r="AO292" s="6" t="s">
        <v>244</v>
      </c>
      <c r="AP292" s="6" t="s">
        <v>247</v>
      </c>
      <c r="AQ292" s="6" t="s">
        <v>244</v>
      </c>
      <c r="AR292" s="6" t="s">
        <v>244</v>
      </c>
      <c r="AS292" s="6" t="s">
        <v>379</v>
      </c>
      <c r="AT292" s="6" t="s">
        <v>244</v>
      </c>
      <c r="AU292" s="6" t="s">
        <v>185</v>
      </c>
      <c r="AV292" s="6" t="s">
        <v>195</v>
      </c>
      <c r="AW292" s="6" t="s">
        <v>442</v>
      </c>
      <c r="AX292" s="6" t="s">
        <v>521</v>
      </c>
    </row>
    <row r="293" spans="1:50">
      <c r="A293" s="6">
        <v>371</v>
      </c>
      <c r="B293" s="5" t="s">
        <v>3518</v>
      </c>
      <c r="C293" s="6">
        <v>3</v>
      </c>
      <c r="D293" s="6" t="s">
        <v>98</v>
      </c>
      <c r="E293" s="6">
        <v>1</v>
      </c>
      <c r="F293" s="6" t="s">
        <v>1970</v>
      </c>
      <c r="G293" s="6">
        <v>41988.923877314817</v>
      </c>
      <c r="H293" s="6">
        <v>41988.923877314817</v>
      </c>
      <c r="I293" s="6">
        <v>41988.923877314817</v>
      </c>
      <c r="J293" s="6" t="s">
        <v>103</v>
      </c>
      <c r="K293" s="6" t="s">
        <v>105</v>
      </c>
      <c r="L293" s="6" t="s">
        <v>1971</v>
      </c>
      <c r="M293" s="6" t="s">
        <v>374</v>
      </c>
      <c r="N293" s="6" t="s">
        <v>1972</v>
      </c>
      <c r="P293" s="6" t="s">
        <v>215</v>
      </c>
      <c r="Q293" s="6">
        <v>826</v>
      </c>
      <c r="R293" s="6" t="s">
        <v>349</v>
      </c>
      <c r="S293" s="7">
        <v>826</v>
      </c>
      <c r="T293" s="7" t="s">
        <v>123</v>
      </c>
      <c r="U293" s="6" t="s">
        <v>125</v>
      </c>
      <c r="V293" s="6" t="s">
        <v>158</v>
      </c>
      <c r="W293" s="6" t="s">
        <v>160</v>
      </c>
      <c r="X293" s="6" t="s">
        <v>1971</v>
      </c>
      <c r="Y293" s="8" t="s">
        <v>3519</v>
      </c>
      <c r="Z293" s="8" t="s">
        <v>3520</v>
      </c>
      <c r="AA293" s="8" t="s">
        <v>3521</v>
      </c>
      <c r="AB293" s="6">
        <v>39563</v>
      </c>
      <c r="AC293" s="6">
        <v>39563</v>
      </c>
      <c r="AE293" s="6" t="s">
        <v>177</v>
      </c>
      <c r="AF293" s="6" t="s">
        <v>178</v>
      </c>
      <c r="AG293" s="6" t="s">
        <v>180</v>
      </c>
      <c r="AH293" s="6" t="s">
        <v>181</v>
      </c>
      <c r="AI293" s="6" t="s">
        <v>182</v>
      </c>
      <c r="AJ293" s="6" t="s">
        <v>393</v>
      </c>
      <c r="AK293" s="6" t="s">
        <v>185</v>
      </c>
      <c r="AL293" s="6" t="s">
        <v>178</v>
      </c>
      <c r="AM293" s="6" t="s">
        <v>244</v>
      </c>
      <c r="AN293" s="6" t="s">
        <v>181</v>
      </c>
      <c r="AO293" s="6" t="s">
        <v>185</v>
      </c>
      <c r="AP293" s="6" t="s">
        <v>247</v>
      </c>
      <c r="AQ293" s="6" t="s">
        <v>288</v>
      </c>
      <c r="AR293" s="6" t="s">
        <v>185</v>
      </c>
      <c r="AS293" s="6" t="s">
        <v>244</v>
      </c>
      <c r="AT293" s="6" t="s">
        <v>244</v>
      </c>
      <c r="AU293" s="6" t="s">
        <v>288</v>
      </c>
      <c r="AV293" s="6" t="s">
        <v>339</v>
      </c>
      <c r="AW293" s="6" t="s">
        <v>244</v>
      </c>
      <c r="AX293" s="6" t="s">
        <v>247</v>
      </c>
    </row>
    <row r="294" spans="1:50">
      <c r="A294" s="6">
        <v>372</v>
      </c>
      <c r="B294" s="5" t="s">
        <v>3522</v>
      </c>
      <c r="C294" s="6">
        <v>3</v>
      </c>
      <c r="D294" s="6" t="s">
        <v>98</v>
      </c>
      <c r="E294" s="6">
        <v>1</v>
      </c>
      <c r="F294" s="6" t="s">
        <v>1973</v>
      </c>
      <c r="G294" s="6">
        <v>41988.923877314817</v>
      </c>
      <c r="H294" s="6">
        <v>41988.923877314817</v>
      </c>
      <c r="I294" s="6">
        <v>41988.923877314817</v>
      </c>
      <c r="J294" s="6" t="s">
        <v>103</v>
      </c>
      <c r="K294" s="6" t="s">
        <v>105</v>
      </c>
      <c r="L294" s="6" t="s">
        <v>1974</v>
      </c>
      <c r="M294" s="6" t="s">
        <v>374</v>
      </c>
      <c r="N294" s="6" t="s">
        <v>1975</v>
      </c>
      <c r="P294" s="6" t="s">
        <v>215</v>
      </c>
      <c r="Q294" s="6">
        <v>826</v>
      </c>
      <c r="R294" s="6" t="s">
        <v>349</v>
      </c>
      <c r="S294" s="7">
        <v>826</v>
      </c>
      <c r="T294" s="7" t="s">
        <v>123</v>
      </c>
      <c r="U294" s="6" t="s">
        <v>125</v>
      </c>
      <c r="V294" s="6" t="s">
        <v>158</v>
      </c>
      <c r="W294" s="6" t="s">
        <v>376</v>
      </c>
      <c r="X294" s="6" t="s">
        <v>1974</v>
      </c>
      <c r="Y294" s="8" t="s">
        <v>3523</v>
      </c>
      <c r="Z294" s="8" t="s">
        <v>3401</v>
      </c>
      <c r="AA294" s="8" t="s">
        <v>3524</v>
      </c>
      <c r="AB294" s="6">
        <v>38945</v>
      </c>
      <c r="AC294" s="6">
        <v>38991</v>
      </c>
      <c r="AD294" s="6">
        <v>41365</v>
      </c>
      <c r="AE294" s="6" t="s">
        <v>177</v>
      </c>
      <c r="AF294" s="6" t="s">
        <v>178</v>
      </c>
      <c r="AG294" s="6" t="s">
        <v>370</v>
      </c>
      <c r="AH294" s="6" t="s">
        <v>377</v>
      </c>
      <c r="AI294" s="6" t="s">
        <v>182</v>
      </c>
      <c r="AJ294" s="6" t="s">
        <v>393</v>
      </c>
      <c r="AK294" s="6" t="s">
        <v>185</v>
      </c>
      <c r="AL294" s="6" t="s">
        <v>178</v>
      </c>
      <c r="AM294" s="6" t="s">
        <v>244</v>
      </c>
      <c r="AN294" s="6" t="s">
        <v>378</v>
      </c>
      <c r="AO294" s="6" t="s">
        <v>185</v>
      </c>
      <c r="AP294" s="6" t="s">
        <v>386</v>
      </c>
      <c r="AQ294" s="6" t="s">
        <v>288</v>
      </c>
      <c r="AR294" s="6" t="s">
        <v>288</v>
      </c>
      <c r="AS294" s="6" t="s">
        <v>379</v>
      </c>
      <c r="AT294" s="6" t="s">
        <v>395</v>
      </c>
      <c r="AU294" s="6" t="s">
        <v>185</v>
      </c>
      <c r="AV294" s="6" t="s">
        <v>520</v>
      </c>
      <c r="AW294" s="6" t="s">
        <v>341</v>
      </c>
      <c r="AX294" s="6" t="s">
        <v>521</v>
      </c>
    </row>
    <row r="295" spans="1:50">
      <c r="A295" s="6">
        <v>374</v>
      </c>
      <c r="B295" s="5" t="s">
        <v>3525</v>
      </c>
      <c r="C295" s="6">
        <v>6</v>
      </c>
      <c r="D295" s="6" t="s">
        <v>98</v>
      </c>
      <c r="E295" s="6">
        <v>1</v>
      </c>
      <c r="F295" s="6" t="s">
        <v>1979</v>
      </c>
      <c r="G295" s="6">
        <v>41988.923877314817</v>
      </c>
      <c r="H295" s="6">
        <v>42066.88753472222</v>
      </c>
      <c r="I295" s="6">
        <v>41988.923877314817</v>
      </c>
      <c r="J295" s="6" t="s">
        <v>103</v>
      </c>
      <c r="K295" s="6" t="s">
        <v>105</v>
      </c>
      <c r="L295" s="6" t="s">
        <v>1980</v>
      </c>
      <c r="M295" s="6" t="s">
        <v>532</v>
      </c>
      <c r="N295" s="6" t="s">
        <v>1981</v>
      </c>
      <c r="P295" s="6" t="s">
        <v>1875</v>
      </c>
      <c r="Q295" s="6">
        <v>826</v>
      </c>
      <c r="R295" s="6" t="s">
        <v>349</v>
      </c>
      <c r="S295" s="7">
        <v>826</v>
      </c>
      <c r="T295" s="7" t="s">
        <v>123</v>
      </c>
      <c r="U295" s="6" t="s">
        <v>125</v>
      </c>
      <c r="V295" s="6" t="s">
        <v>158</v>
      </c>
      <c r="W295" s="6" t="s">
        <v>160</v>
      </c>
      <c r="X295" s="6" t="s">
        <v>1980</v>
      </c>
      <c r="Y295" s="8" t="s">
        <v>3526</v>
      </c>
      <c r="Z295" s="8" t="s">
        <v>3527</v>
      </c>
      <c r="AA295" s="8" t="s">
        <v>3528</v>
      </c>
      <c r="AB295" s="6">
        <v>41640</v>
      </c>
      <c r="AE295" s="6" t="s">
        <v>244</v>
      </c>
      <c r="AF295" s="6" t="s">
        <v>178</v>
      </c>
      <c r="AG295" s="6" t="s">
        <v>180</v>
      </c>
      <c r="AH295" s="6" t="s">
        <v>392</v>
      </c>
      <c r="AI295" s="6" t="s">
        <v>182</v>
      </c>
      <c r="AJ295" s="6" t="s">
        <v>371</v>
      </c>
      <c r="AK295" s="6" t="s">
        <v>185</v>
      </c>
      <c r="AL295" s="6" t="s">
        <v>178</v>
      </c>
      <c r="AM295" s="6" t="s">
        <v>189</v>
      </c>
      <c r="AN295" s="6" t="s">
        <v>392</v>
      </c>
      <c r="AO295" s="6" t="s">
        <v>244</v>
      </c>
      <c r="AP295" s="6" t="s">
        <v>247</v>
      </c>
      <c r="AQ295" s="6" t="s">
        <v>288</v>
      </c>
      <c r="AR295" s="6" t="s">
        <v>189</v>
      </c>
      <c r="AS295" s="6" t="s">
        <v>244</v>
      </c>
      <c r="AT295" s="6" t="s">
        <v>244</v>
      </c>
      <c r="AU295" s="6" t="s">
        <v>288</v>
      </c>
      <c r="AV295" s="6" t="s">
        <v>339</v>
      </c>
      <c r="AW295" s="6" t="s">
        <v>442</v>
      </c>
      <c r="AX295" s="6" t="s">
        <v>247</v>
      </c>
    </row>
    <row r="296" spans="1:50">
      <c r="A296" s="6">
        <v>376</v>
      </c>
      <c r="B296" s="5" t="s">
        <v>3529</v>
      </c>
      <c r="C296" s="6">
        <v>3</v>
      </c>
      <c r="D296" s="6" t="s">
        <v>98</v>
      </c>
      <c r="E296" s="6">
        <v>1</v>
      </c>
      <c r="F296" s="6" t="s">
        <v>1982</v>
      </c>
      <c r="G296" s="6">
        <v>41988.923888888887</v>
      </c>
      <c r="H296" s="6">
        <v>41988.923888888887</v>
      </c>
      <c r="I296" s="6">
        <v>41988.923888888887</v>
      </c>
      <c r="J296" s="6" t="s">
        <v>103</v>
      </c>
      <c r="K296" s="6" t="s">
        <v>105</v>
      </c>
      <c r="L296" s="6" t="s">
        <v>1983</v>
      </c>
      <c r="M296" s="6" t="s">
        <v>532</v>
      </c>
      <c r="P296" s="6" t="s">
        <v>215</v>
      </c>
      <c r="Q296" s="6">
        <v>826</v>
      </c>
      <c r="R296" s="6" t="s">
        <v>349</v>
      </c>
      <c r="S296" s="7">
        <v>826</v>
      </c>
      <c r="T296" s="7" t="s">
        <v>123</v>
      </c>
      <c r="U296" s="6" t="s">
        <v>125</v>
      </c>
      <c r="V296" s="6" t="s">
        <v>158</v>
      </c>
      <c r="W296" s="6" t="s">
        <v>160</v>
      </c>
      <c r="X296" s="6" t="s">
        <v>1983</v>
      </c>
      <c r="Y296" s="8" t="s">
        <v>3530</v>
      </c>
      <c r="Z296" s="8" t="s">
        <v>3531</v>
      </c>
      <c r="AA296" s="8" t="s">
        <v>3532</v>
      </c>
      <c r="AB296" s="6">
        <v>39567</v>
      </c>
      <c r="AE296" s="6" t="s">
        <v>177</v>
      </c>
      <c r="AF296" s="6" t="s">
        <v>178</v>
      </c>
      <c r="AG296" s="6" t="s">
        <v>180</v>
      </c>
      <c r="AH296" s="6" t="s">
        <v>244</v>
      </c>
      <c r="AI296" s="6" t="s">
        <v>182</v>
      </c>
      <c r="AJ296" s="6" t="s">
        <v>371</v>
      </c>
      <c r="AK296" s="6" t="s">
        <v>244</v>
      </c>
      <c r="AL296" s="6" t="s">
        <v>247</v>
      </c>
      <c r="AM296" s="6" t="s">
        <v>244</v>
      </c>
      <c r="AN296" s="6" t="s">
        <v>181</v>
      </c>
      <c r="AO296" s="6" t="s">
        <v>185</v>
      </c>
      <c r="AP296" s="6" t="s">
        <v>386</v>
      </c>
      <c r="AQ296" s="6" t="s">
        <v>288</v>
      </c>
      <c r="AR296" s="6" t="s">
        <v>288</v>
      </c>
      <c r="AS296" s="6" t="s">
        <v>244</v>
      </c>
      <c r="AT296" s="6" t="s">
        <v>244</v>
      </c>
      <c r="AU296" s="6" t="s">
        <v>288</v>
      </c>
      <c r="AV296" s="6" t="s">
        <v>339</v>
      </c>
      <c r="AW296" s="6" t="s">
        <v>244</v>
      </c>
      <c r="AX296" s="6" t="s">
        <v>247</v>
      </c>
    </row>
    <row r="297" spans="1:50">
      <c r="A297" s="6">
        <v>693</v>
      </c>
      <c r="B297" s="5" t="s">
        <v>3533</v>
      </c>
      <c r="C297" s="6">
        <v>4</v>
      </c>
      <c r="D297" s="6" t="s">
        <v>98</v>
      </c>
      <c r="E297" s="6">
        <v>392</v>
      </c>
      <c r="F297" s="6" t="s">
        <v>1984</v>
      </c>
      <c r="G297" s="6">
        <v>42076.572060185186</v>
      </c>
      <c r="H297" s="6">
        <v>42076.572060185186</v>
      </c>
      <c r="I297" s="6">
        <v>42076.572060185186</v>
      </c>
      <c r="J297" s="6" t="s">
        <v>103</v>
      </c>
      <c r="K297" s="6" t="s">
        <v>105</v>
      </c>
      <c r="L297" s="6" t="s">
        <v>1985</v>
      </c>
      <c r="P297" s="6" t="s">
        <v>1903</v>
      </c>
      <c r="Q297" s="6">
        <v>826</v>
      </c>
      <c r="R297" s="6" t="s">
        <v>349</v>
      </c>
      <c r="S297" s="7">
        <v>826</v>
      </c>
      <c r="T297" s="7" t="s">
        <v>123</v>
      </c>
      <c r="U297" s="6" t="s">
        <v>125</v>
      </c>
      <c r="V297" s="6" t="s">
        <v>158</v>
      </c>
      <c r="W297" s="6" t="s">
        <v>160</v>
      </c>
      <c r="X297" s="6" t="s">
        <v>1985</v>
      </c>
      <c r="Y297" s="8" t="s">
        <v>3534</v>
      </c>
      <c r="Z297" s="8" t="s">
        <v>3535</v>
      </c>
      <c r="AA297" s="8" t="s">
        <v>3536</v>
      </c>
      <c r="AB297" s="6">
        <v>41932</v>
      </c>
      <c r="AC297" s="6">
        <v>41944</v>
      </c>
      <c r="AE297" s="6" t="s">
        <v>177</v>
      </c>
      <c r="AF297" s="6" t="s">
        <v>178</v>
      </c>
      <c r="AG297" s="6" t="s">
        <v>180</v>
      </c>
      <c r="AH297" s="6" t="s">
        <v>371</v>
      </c>
      <c r="AI297" s="6" t="s">
        <v>182</v>
      </c>
      <c r="AJ297" s="6" t="s">
        <v>393</v>
      </c>
      <c r="AK297" s="6" t="s">
        <v>244</v>
      </c>
      <c r="AL297" s="6" t="s">
        <v>178</v>
      </c>
      <c r="AM297" s="6" t="s">
        <v>244</v>
      </c>
      <c r="AN297" s="6" t="s">
        <v>181</v>
      </c>
      <c r="AO297" s="6" t="s">
        <v>244</v>
      </c>
      <c r="AP297" s="6" t="s">
        <v>247</v>
      </c>
      <c r="AQ297" s="6" t="s">
        <v>244</v>
      </c>
      <c r="AR297" s="6" t="s">
        <v>244</v>
      </c>
      <c r="AS297" s="6" t="s">
        <v>244</v>
      </c>
      <c r="AT297" s="6" t="s">
        <v>244</v>
      </c>
      <c r="AU297" s="6" t="s">
        <v>244</v>
      </c>
      <c r="AV297" s="6" t="s">
        <v>244</v>
      </c>
      <c r="AW297" s="6" t="s">
        <v>442</v>
      </c>
      <c r="AX297" s="6" t="s">
        <v>521</v>
      </c>
    </row>
    <row r="298" spans="1:50">
      <c r="A298" s="6">
        <v>375</v>
      </c>
      <c r="B298" s="5" t="s">
        <v>3537</v>
      </c>
      <c r="C298" s="6">
        <v>3</v>
      </c>
      <c r="D298" s="6" t="s">
        <v>98</v>
      </c>
      <c r="E298" s="6">
        <v>1</v>
      </c>
      <c r="F298" s="6" t="s">
        <v>1986</v>
      </c>
      <c r="G298" s="6">
        <v>41988.923888888887</v>
      </c>
      <c r="H298" s="6">
        <v>41988.923888888887</v>
      </c>
      <c r="I298" s="6">
        <v>41988.923888888887</v>
      </c>
      <c r="J298" s="6" t="s">
        <v>103</v>
      </c>
      <c r="K298" s="6" t="s">
        <v>105</v>
      </c>
      <c r="L298" s="6" t="s">
        <v>1987</v>
      </c>
      <c r="M298" s="6" t="s">
        <v>374</v>
      </c>
      <c r="N298" s="6" t="s">
        <v>1869</v>
      </c>
      <c r="P298" s="6" t="s">
        <v>215</v>
      </c>
      <c r="Q298" s="6">
        <v>826</v>
      </c>
      <c r="R298" s="6" t="s">
        <v>349</v>
      </c>
      <c r="S298" s="7">
        <v>826</v>
      </c>
      <c r="T298" s="7" t="s">
        <v>123</v>
      </c>
      <c r="U298" s="6" t="s">
        <v>125</v>
      </c>
      <c r="V298" s="6" t="s">
        <v>158</v>
      </c>
      <c r="W298" s="6" t="s">
        <v>376</v>
      </c>
      <c r="X298" s="6" t="s">
        <v>1987</v>
      </c>
      <c r="Y298" s="8" t="s">
        <v>3538</v>
      </c>
      <c r="Z298" s="8" t="s">
        <v>3401</v>
      </c>
      <c r="AB298" s="6">
        <v>41107</v>
      </c>
      <c r="AC298" s="6">
        <v>41365</v>
      </c>
      <c r="AE298" s="6" t="s">
        <v>177</v>
      </c>
      <c r="AF298" s="6" t="s">
        <v>178</v>
      </c>
      <c r="AG298" s="6" t="s">
        <v>370</v>
      </c>
      <c r="AH298" s="6" t="s">
        <v>377</v>
      </c>
      <c r="AI298" s="6" t="s">
        <v>182</v>
      </c>
      <c r="AJ298" s="6" t="s">
        <v>393</v>
      </c>
      <c r="AK298" s="6" t="s">
        <v>185</v>
      </c>
      <c r="AL298" s="6" t="s">
        <v>178</v>
      </c>
      <c r="AM298" s="6" t="s">
        <v>244</v>
      </c>
      <c r="AN298" s="6" t="s">
        <v>378</v>
      </c>
      <c r="AO298" s="6" t="s">
        <v>185</v>
      </c>
      <c r="AP298" s="6" t="s">
        <v>386</v>
      </c>
      <c r="AQ298" s="6" t="s">
        <v>288</v>
      </c>
      <c r="AR298" s="6" t="s">
        <v>288</v>
      </c>
      <c r="AS298" s="6" t="s">
        <v>379</v>
      </c>
      <c r="AT298" s="6" t="s">
        <v>395</v>
      </c>
      <c r="AU298" s="6" t="s">
        <v>185</v>
      </c>
      <c r="AV298" s="6" t="s">
        <v>520</v>
      </c>
      <c r="AW298" s="6" t="s">
        <v>341</v>
      </c>
      <c r="AX298" s="6" t="s">
        <v>521</v>
      </c>
    </row>
    <row r="299" spans="1:50">
      <c r="A299" s="6">
        <v>377</v>
      </c>
      <c r="B299" s="5" t="s">
        <v>3539</v>
      </c>
      <c r="C299" s="6">
        <v>4</v>
      </c>
      <c r="D299" s="6" t="s">
        <v>98</v>
      </c>
      <c r="E299" s="6">
        <v>1</v>
      </c>
      <c r="F299" s="6" t="s">
        <v>1988</v>
      </c>
      <c r="G299" s="6">
        <v>41988.923888888887</v>
      </c>
      <c r="H299" s="6">
        <v>42024.65315972222</v>
      </c>
      <c r="I299" s="6">
        <v>41988.923888888887</v>
      </c>
      <c r="J299" s="6" t="s">
        <v>103</v>
      </c>
      <c r="K299" s="6" t="s">
        <v>105</v>
      </c>
      <c r="L299" s="6" t="s">
        <v>1989</v>
      </c>
      <c r="M299" s="6" t="s">
        <v>307</v>
      </c>
      <c r="N299" s="6" t="s">
        <v>1990</v>
      </c>
      <c r="P299" s="6" t="s">
        <v>215</v>
      </c>
      <c r="Q299" s="6">
        <v>826</v>
      </c>
      <c r="R299" s="6" t="s">
        <v>349</v>
      </c>
      <c r="S299" s="7">
        <v>826</v>
      </c>
      <c r="T299" s="7" t="s">
        <v>123</v>
      </c>
      <c r="U299" s="6" t="s">
        <v>125</v>
      </c>
      <c r="V299" s="6" t="s">
        <v>158</v>
      </c>
      <c r="W299" s="6" t="s">
        <v>160</v>
      </c>
      <c r="X299" s="6" t="s">
        <v>1989</v>
      </c>
      <c r="Y299" s="8" t="s">
        <v>3540</v>
      </c>
      <c r="AA299" s="8" t="s">
        <v>3541</v>
      </c>
      <c r="AE299" s="6" t="s">
        <v>177</v>
      </c>
      <c r="AF299" s="6" t="s">
        <v>178</v>
      </c>
      <c r="AG299" s="6" t="s">
        <v>180</v>
      </c>
      <c r="AH299" s="6" t="s">
        <v>244</v>
      </c>
      <c r="AI299" s="6" t="s">
        <v>182</v>
      </c>
      <c r="AJ299" s="6" t="s">
        <v>244</v>
      </c>
      <c r="AK299" s="6" t="s">
        <v>244</v>
      </c>
      <c r="AL299" s="6" t="s">
        <v>247</v>
      </c>
      <c r="AM299" s="6" t="s">
        <v>244</v>
      </c>
      <c r="AN299" s="6" t="s">
        <v>247</v>
      </c>
      <c r="AO299" s="6" t="s">
        <v>244</v>
      </c>
      <c r="AP299" s="6" t="s">
        <v>247</v>
      </c>
      <c r="AQ299" s="6" t="s">
        <v>288</v>
      </c>
      <c r="AR299" s="6" t="s">
        <v>244</v>
      </c>
      <c r="AS299" s="6" t="s">
        <v>244</v>
      </c>
      <c r="AT299" s="6" t="s">
        <v>244</v>
      </c>
      <c r="AU299" s="6" t="s">
        <v>288</v>
      </c>
      <c r="AV299" s="6" t="s">
        <v>244</v>
      </c>
      <c r="AW299" s="6" t="s">
        <v>244</v>
      </c>
      <c r="AX299" s="6" t="s">
        <v>247</v>
      </c>
    </row>
    <row r="300" spans="1:50">
      <c r="A300" s="6">
        <v>378</v>
      </c>
      <c r="B300" s="5" t="s">
        <v>3542</v>
      </c>
      <c r="C300" s="6">
        <v>3</v>
      </c>
      <c r="D300" s="6" t="s">
        <v>98</v>
      </c>
      <c r="E300" s="6">
        <v>1</v>
      </c>
      <c r="F300" s="6" t="s">
        <v>1991</v>
      </c>
      <c r="G300" s="6">
        <v>41988.923888888887</v>
      </c>
      <c r="H300" s="6">
        <v>41988.923888888887</v>
      </c>
      <c r="I300" s="6">
        <v>41988.923888888887</v>
      </c>
      <c r="J300" s="6" t="s">
        <v>103</v>
      </c>
      <c r="K300" s="6" t="s">
        <v>105</v>
      </c>
      <c r="L300" s="6" t="s">
        <v>1992</v>
      </c>
      <c r="M300" s="6" t="s">
        <v>374</v>
      </c>
      <c r="N300" s="6" t="s">
        <v>1993</v>
      </c>
      <c r="P300" s="6" t="s">
        <v>215</v>
      </c>
      <c r="Q300" s="6">
        <v>826</v>
      </c>
      <c r="R300" s="6" t="s">
        <v>349</v>
      </c>
      <c r="S300" s="7">
        <v>826</v>
      </c>
      <c r="T300" s="7" t="s">
        <v>123</v>
      </c>
      <c r="U300" s="6" t="s">
        <v>125</v>
      </c>
      <c r="V300" s="6" t="s">
        <v>158</v>
      </c>
      <c r="W300" s="6" t="s">
        <v>160</v>
      </c>
      <c r="X300" s="6" t="s">
        <v>1992</v>
      </c>
      <c r="Y300" s="8" t="s">
        <v>3543</v>
      </c>
      <c r="Z300" s="8" t="s">
        <v>3544</v>
      </c>
      <c r="AA300" s="8" t="s">
        <v>3545</v>
      </c>
      <c r="AB300" s="6">
        <v>40148</v>
      </c>
      <c r="AC300" s="6">
        <v>40422</v>
      </c>
      <c r="AD300" s="6">
        <v>41579</v>
      </c>
      <c r="AE300" s="6" t="s">
        <v>177</v>
      </c>
      <c r="AF300" s="6" t="s">
        <v>178</v>
      </c>
      <c r="AG300" s="6" t="s">
        <v>180</v>
      </c>
      <c r="AH300" s="6" t="s">
        <v>187</v>
      </c>
      <c r="AI300" s="6" t="s">
        <v>182</v>
      </c>
      <c r="AJ300" s="6" t="s">
        <v>393</v>
      </c>
      <c r="AK300" s="6" t="s">
        <v>185</v>
      </c>
      <c r="AL300" s="6" t="s">
        <v>178</v>
      </c>
      <c r="AM300" s="6" t="s">
        <v>244</v>
      </c>
      <c r="AN300" s="6" t="s">
        <v>181</v>
      </c>
      <c r="AO300" s="6" t="s">
        <v>185</v>
      </c>
      <c r="AP300" s="6" t="s">
        <v>386</v>
      </c>
      <c r="AQ300" s="6" t="s">
        <v>288</v>
      </c>
      <c r="AR300" s="6" t="s">
        <v>288</v>
      </c>
      <c r="AS300" s="6" t="s">
        <v>244</v>
      </c>
      <c r="AT300" s="6" t="s">
        <v>244</v>
      </c>
      <c r="AU300" s="6" t="s">
        <v>288</v>
      </c>
      <c r="AV300" s="6" t="s">
        <v>339</v>
      </c>
      <c r="AW300" s="6" t="s">
        <v>442</v>
      </c>
      <c r="AX300" s="6" t="s">
        <v>428</v>
      </c>
    </row>
    <row r="301" spans="1:50">
      <c r="A301" s="6">
        <v>379</v>
      </c>
      <c r="B301" s="5" t="s">
        <v>3546</v>
      </c>
      <c r="C301" s="6">
        <v>4</v>
      </c>
      <c r="D301" s="6" t="s">
        <v>98</v>
      </c>
      <c r="E301" s="6">
        <v>1</v>
      </c>
      <c r="F301" s="6" t="s">
        <v>1994</v>
      </c>
      <c r="G301" s="6">
        <v>41988.923888888887</v>
      </c>
      <c r="H301" s="6">
        <v>42046.487349537034</v>
      </c>
      <c r="I301" s="6">
        <v>41988.923888888887</v>
      </c>
      <c r="J301" s="6" t="s">
        <v>103</v>
      </c>
      <c r="K301" s="6" t="s">
        <v>105</v>
      </c>
      <c r="L301" s="6" t="s">
        <v>1995</v>
      </c>
      <c r="M301" s="6" t="s">
        <v>374</v>
      </c>
      <c r="N301" s="6" t="s">
        <v>1869</v>
      </c>
      <c r="P301" s="6" t="s">
        <v>215</v>
      </c>
      <c r="Q301" s="6">
        <v>826</v>
      </c>
      <c r="R301" s="6" t="s">
        <v>349</v>
      </c>
      <c r="S301" s="7">
        <v>826</v>
      </c>
      <c r="T301" s="7" t="s">
        <v>123</v>
      </c>
      <c r="U301" s="6" t="s">
        <v>125</v>
      </c>
      <c r="V301" s="6" t="s">
        <v>158</v>
      </c>
      <c r="W301" s="6" t="s">
        <v>376</v>
      </c>
      <c r="X301" s="6" t="s">
        <v>1995</v>
      </c>
      <c r="Y301" s="8" t="s">
        <v>3547</v>
      </c>
      <c r="Z301" s="8" t="s">
        <v>3401</v>
      </c>
      <c r="AB301" s="6">
        <v>39010</v>
      </c>
      <c r="AC301" s="6">
        <v>39052</v>
      </c>
      <c r="AD301" s="6">
        <v>41365</v>
      </c>
      <c r="AE301" s="6" t="s">
        <v>177</v>
      </c>
      <c r="AF301" s="6" t="s">
        <v>178</v>
      </c>
      <c r="AG301" s="6" t="s">
        <v>370</v>
      </c>
      <c r="AH301" s="6" t="s">
        <v>377</v>
      </c>
      <c r="AI301" s="6" t="s">
        <v>182</v>
      </c>
      <c r="AJ301" s="6" t="s">
        <v>393</v>
      </c>
      <c r="AK301" s="6" t="s">
        <v>185</v>
      </c>
      <c r="AL301" s="6" t="s">
        <v>178</v>
      </c>
      <c r="AM301" s="6" t="s">
        <v>244</v>
      </c>
      <c r="AN301" s="6" t="s">
        <v>378</v>
      </c>
      <c r="AO301" s="6" t="s">
        <v>185</v>
      </c>
      <c r="AP301" s="6" t="s">
        <v>386</v>
      </c>
      <c r="AQ301" s="6" t="s">
        <v>288</v>
      </c>
      <c r="AR301" s="6" t="s">
        <v>288</v>
      </c>
      <c r="AS301" s="6" t="s">
        <v>379</v>
      </c>
      <c r="AT301" s="6" t="s">
        <v>395</v>
      </c>
      <c r="AU301" s="6" t="s">
        <v>185</v>
      </c>
      <c r="AV301" s="6" t="s">
        <v>520</v>
      </c>
      <c r="AW301" s="6" t="s">
        <v>341</v>
      </c>
      <c r="AX301" s="6" t="s">
        <v>521</v>
      </c>
    </row>
    <row r="302" spans="1:50">
      <c r="A302" s="6">
        <v>380</v>
      </c>
      <c r="B302" s="5" t="s">
        <v>3548</v>
      </c>
      <c r="C302" s="6">
        <v>4</v>
      </c>
      <c r="D302" s="6" t="s">
        <v>98</v>
      </c>
      <c r="E302" s="6">
        <v>303</v>
      </c>
      <c r="F302" s="6" t="s">
        <v>1996</v>
      </c>
      <c r="G302" s="6">
        <v>41988.923888888887</v>
      </c>
      <c r="H302" s="6">
        <v>42046.981712962966</v>
      </c>
      <c r="I302" s="6">
        <v>41988.923888888887</v>
      </c>
      <c r="J302" s="6" t="s">
        <v>103</v>
      </c>
      <c r="K302" s="6" t="s">
        <v>105</v>
      </c>
      <c r="L302" s="6" t="s">
        <v>1997</v>
      </c>
      <c r="M302" s="6" t="s">
        <v>374</v>
      </c>
      <c r="N302" s="6" t="s">
        <v>1998</v>
      </c>
      <c r="P302" s="6" t="s">
        <v>215</v>
      </c>
      <c r="Q302" s="6">
        <v>826</v>
      </c>
      <c r="R302" s="6" t="s">
        <v>349</v>
      </c>
      <c r="S302" s="7">
        <v>826</v>
      </c>
      <c r="T302" s="7" t="s">
        <v>123</v>
      </c>
      <c r="U302" s="6" t="s">
        <v>125</v>
      </c>
      <c r="V302" s="6" t="s">
        <v>158</v>
      </c>
      <c r="W302" s="6" t="s">
        <v>160</v>
      </c>
      <c r="X302" s="6" t="s">
        <v>1997</v>
      </c>
      <c r="Y302" s="8" t="s">
        <v>3549</v>
      </c>
      <c r="Z302" s="8" t="s">
        <v>3550</v>
      </c>
      <c r="AA302" s="8" t="s">
        <v>3551</v>
      </c>
      <c r="AB302" s="6">
        <v>41492</v>
      </c>
      <c r="AC302" s="6">
        <v>41492</v>
      </c>
      <c r="AD302" s="6">
        <v>41684</v>
      </c>
      <c r="AE302" s="6" t="s">
        <v>177</v>
      </c>
      <c r="AF302" s="6" t="s">
        <v>178</v>
      </c>
      <c r="AG302" s="6" t="s">
        <v>180</v>
      </c>
      <c r="AH302" s="6" t="s">
        <v>244</v>
      </c>
      <c r="AI302" s="6" t="s">
        <v>182</v>
      </c>
      <c r="AJ302" s="6" t="s">
        <v>393</v>
      </c>
      <c r="AK302" s="6" t="s">
        <v>189</v>
      </c>
      <c r="AL302" s="6" t="s">
        <v>371</v>
      </c>
      <c r="AM302" s="6" t="s">
        <v>189</v>
      </c>
      <c r="AN302" s="6" t="s">
        <v>247</v>
      </c>
      <c r="AO302" s="6" t="s">
        <v>185</v>
      </c>
      <c r="AP302" s="6" t="s">
        <v>386</v>
      </c>
      <c r="AQ302" s="6" t="s">
        <v>288</v>
      </c>
      <c r="AR302" s="6" t="s">
        <v>288</v>
      </c>
      <c r="AS302" s="6" t="s">
        <v>244</v>
      </c>
      <c r="AT302" s="6" t="s">
        <v>244</v>
      </c>
      <c r="AU302" s="6" t="s">
        <v>288</v>
      </c>
      <c r="AV302" s="6" t="s">
        <v>339</v>
      </c>
      <c r="AW302" s="6" t="s">
        <v>244</v>
      </c>
      <c r="AX302" s="6" t="s">
        <v>428</v>
      </c>
    </row>
    <row r="303" spans="1:50">
      <c r="A303" s="6">
        <v>381</v>
      </c>
      <c r="B303" s="5" t="s">
        <v>3552</v>
      </c>
      <c r="C303" s="6">
        <v>3</v>
      </c>
      <c r="D303" s="6" t="s">
        <v>98</v>
      </c>
      <c r="E303" s="6">
        <v>1</v>
      </c>
      <c r="F303" s="6" t="s">
        <v>1999</v>
      </c>
      <c r="G303" s="6">
        <v>41988.923888888887</v>
      </c>
      <c r="H303" s="6">
        <v>41988.923900462964</v>
      </c>
      <c r="I303" s="6">
        <v>41988.923888888887</v>
      </c>
      <c r="J303" s="6" t="s">
        <v>103</v>
      </c>
      <c r="K303" s="6" t="s">
        <v>105</v>
      </c>
      <c r="L303" s="6" t="s">
        <v>2000</v>
      </c>
      <c r="M303" s="6" t="s">
        <v>374</v>
      </c>
      <c r="N303" s="6" t="s">
        <v>2001</v>
      </c>
      <c r="P303" s="6" t="s">
        <v>215</v>
      </c>
      <c r="Q303" s="6">
        <v>826</v>
      </c>
      <c r="R303" s="6" t="s">
        <v>349</v>
      </c>
      <c r="S303" s="7">
        <v>826</v>
      </c>
      <c r="T303" s="7" t="s">
        <v>123</v>
      </c>
      <c r="U303" s="6" t="s">
        <v>125</v>
      </c>
      <c r="V303" s="6" t="s">
        <v>158</v>
      </c>
      <c r="W303" s="6" t="s">
        <v>160</v>
      </c>
      <c r="X303" s="6" t="s">
        <v>2000</v>
      </c>
      <c r="Y303" s="8" t="s">
        <v>3553</v>
      </c>
      <c r="Z303" s="8" t="s">
        <v>3554</v>
      </c>
      <c r="AA303" s="8" t="s">
        <v>3555</v>
      </c>
      <c r="AB303" s="6">
        <v>40360</v>
      </c>
      <c r="AD303" s="6">
        <v>40452</v>
      </c>
      <c r="AE303" s="6" t="s">
        <v>177</v>
      </c>
      <c r="AF303" s="6" t="s">
        <v>178</v>
      </c>
      <c r="AG303" s="6" t="s">
        <v>180</v>
      </c>
      <c r="AH303" s="6" t="s">
        <v>181</v>
      </c>
      <c r="AI303" s="6" t="s">
        <v>182</v>
      </c>
      <c r="AJ303" s="6" t="s">
        <v>393</v>
      </c>
      <c r="AK303" s="6" t="s">
        <v>189</v>
      </c>
      <c r="AL303" s="6" t="s">
        <v>479</v>
      </c>
      <c r="AM303" s="6" t="s">
        <v>244</v>
      </c>
      <c r="AN303" s="6" t="s">
        <v>181</v>
      </c>
      <c r="AO303" s="6" t="s">
        <v>185</v>
      </c>
      <c r="AP303" s="6" t="s">
        <v>386</v>
      </c>
      <c r="AQ303" s="6" t="s">
        <v>288</v>
      </c>
      <c r="AR303" s="6" t="s">
        <v>288</v>
      </c>
      <c r="AS303" s="6" t="s">
        <v>244</v>
      </c>
      <c r="AT303" s="6" t="s">
        <v>244</v>
      </c>
      <c r="AU303" s="6" t="s">
        <v>288</v>
      </c>
      <c r="AV303" s="6" t="s">
        <v>339</v>
      </c>
      <c r="AW303" s="6" t="s">
        <v>244</v>
      </c>
      <c r="AX303" s="6" t="s">
        <v>247</v>
      </c>
    </row>
    <row r="304" spans="1:50">
      <c r="A304" s="6">
        <v>382</v>
      </c>
      <c r="B304" s="5" t="s">
        <v>3556</v>
      </c>
      <c r="C304" s="6">
        <v>4</v>
      </c>
      <c r="D304" s="6" t="s">
        <v>98</v>
      </c>
      <c r="E304" s="6">
        <v>1</v>
      </c>
      <c r="F304" s="6" t="s">
        <v>2002</v>
      </c>
      <c r="G304" s="6">
        <v>41988.923900462964</v>
      </c>
      <c r="H304" s="6">
        <v>41988.923900462964</v>
      </c>
      <c r="I304" s="6">
        <v>41988.923900462964</v>
      </c>
      <c r="J304" s="6" t="s">
        <v>103</v>
      </c>
      <c r="K304" s="6" t="s">
        <v>105</v>
      </c>
      <c r="L304" s="6" t="s">
        <v>2003</v>
      </c>
      <c r="M304" s="6" t="s">
        <v>374</v>
      </c>
      <c r="N304" s="6" t="s">
        <v>2004</v>
      </c>
      <c r="O304" s="6" t="s">
        <v>2005</v>
      </c>
      <c r="P304" s="6" t="s">
        <v>215</v>
      </c>
      <c r="Q304" s="6">
        <v>826</v>
      </c>
      <c r="R304" s="6" t="s">
        <v>349</v>
      </c>
      <c r="S304" s="7">
        <v>826</v>
      </c>
      <c r="T304" s="7" t="s">
        <v>123</v>
      </c>
      <c r="U304" s="6" t="s">
        <v>125</v>
      </c>
      <c r="V304" s="6" t="s">
        <v>158</v>
      </c>
      <c r="W304" s="6" t="s">
        <v>376</v>
      </c>
      <c r="X304" s="6" t="s">
        <v>2003</v>
      </c>
      <c r="Y304" s="8" t="s">
        <v>3557</v>
      </c>
      <c r="Z304" s="8" t="s">
        <v>3558</v>
      </c>
      <c r="AA304" s="8" t="s">
        <v>3398</v>
      </c>
      <c r="AE304" s="6" t="s">
        <v>177</v>
      </c>
      <c r="AF304" s="6" t="s">
        <v>178</v>
      </c>
      <c r="AG304" s="6" t="s">
        <v>463</v>
      </c>
      <c r="AH304" s="6" t="s">
        <v>377</v>
      </c>
      <c r="AI304" s="6" t="s">
        <v>182</v>
      </c>
      <c r="AJ304" s="6" t="s">
        <v>393</v>
      </c>
      <c r="AK304" s="6" t="s">
        <v>185</v>
      </c>
      <c r="AL304" s="6" t="s">
        <v>178</v>
      </c>
      <c r="AM304" s="6" t="s">
        <v>244</v>
      </c>
      <c r="AN304" s="6" t="s">
        <v>378</v>
      </c>
      <c r="AO304" s="6" t="s">
        <v>185</v>
      </c>
      <c r="AP304" s="6" t="s">
        <v>386</v>
      </c>
      <c r="AQ304" s="6" t="s">
        <v>288</v>
      </c>
      <c r="AR304" s="6" t="s">
        <v>288</v>
      </c>
      <c r="AS304" s="6" t="s">
        <v>379</v>
      </c>
      <c r="AT304" s="6" t="s">
        <v>244</v>
      </c>
      <c r="AU304" s="6" t="s">
        <v>244</v>
      </c>
      <c r="AV304" s="6" t="s">
        <v>339</v>
      </c>
      <c r="AW304" s="6" t="s">
        <v>341</v>
      </c>
      <c r="AX304" s="6" t="s">
        <v>521</v>
      </c>
    </row>
    <row r="305" spans="1:50">
      <c r="A305" s="6">
        <v>385</v>
      </c>
      <c r="B305" s="5" t="s">
        <v>3559</v>
      </c>
      <c r="C305" s="6">
        <v>3</v>
      </c>
      <c r="D305" s="6" t="s">
        <v>98</v>
      </c>
      <c r="E305" s="6">
        <v>1</v>
      </c>
      <c r="F305" s="6" t="s">
        <v>2011</v>
      </c>
      <c r="G305" s="6">
        <v>41988.923900462964</v>
      </c>
      <c r="H305" s="6">
        <v>41988.923900462964</v>
      </c>
      <c r="I305" s="6">
        <v>41988.923900462964</v>
      </c>
      <c r="J305" s="6" t="s">
        <v>103</v>
      </c>
      <c r="K305" s="6" t="s">
        <v>105</v>
      </c>
      <c r="L305" s="6" t="s">
        <v>2012</v>
      </c>
      <c r="M305" s="6" t="s">
        <v>374</v>
      </c>
      <c r="N305" s="6" t="s">
        <v>2013</v>
      </c>
      <c r="P305" s="6" t="s">
        <v>215</v>
      </c>
      <c r="Q305" s="6">
        <v>826</v>
      </c>
      <c r="R305" s="6" t="s">
        <v>349</v>
      </c>
      <c r="S305" s="7">
        <v>826</v>
      </c>
      <c r="T305" s="7" t="s">
        <v>123</v>
      </c>
      <c r="U305" s="6" t="s">
        <v>125</v>
      </c>
      <c r="V305" s="6" t="s">
        <v>158</v>
      </c>
      <c r="W305" s="6" t="s">
        <v>160</v>
      </c>
      <c r="X305" s="6" t="s">
        <v>2012</v>
      </c>
      <c r="Y305" s="8" t="s">
        <v>3560</v>
      </c>
      <c r="Z305" s="8" t="s">
        <v>3561</v>
      </c>
      <c r="AA305" s="8" t="s">
        <v>3562</v>
      </c>
      <c r="AB305" s="6">
        <v>40093</v>
      </c>
      <c r="AC305" s="6">
        <v>40179</v>
      </c>
      <c r="AE305" s="6" t="s">
        <v>177</v>
      </c>
      <c r="AF305" s="6" t="s">
        <v>178</v>
      </c>
      <c r="AG305" s="6" t="s">
        <v>180</v>
      </c>
      <c r="AH305" s="6" t="s">
        <v>371</v>
      </c>
      <c r="AI305" s="6" t="s">
        <v>182</v>
      </c>
      <c r="AJ305" s="6" t="s">
        <v>393</v>
      </c>
      <c r="AK305" s="6" t="s">
        <v>189</v>
      </c>
      <c r="AL305" s="6" t="s">
        <v>479</v>
      </c>
      <c r="AM305" s="6" t="s">
        <v>189</v>
      </c>
      <c r="AN305" s="6" t="s">
        <v>181</v>
      </c>
      <c r="AO305" s="6" t="s">
        <v>185</v>
      </c>
      <c r="AP305" s="6" t="s">
        <v>386</v>
      </c>
      <c r="AQ305" s="6" t="s">
        <v>288</v>
      </c>
      <c r="AR305" s="6" t="s">
        <v>288</v>
      </c>
      <c r="AS305" s="6" t="s">
        <v>244</v>
      </c>
      <c r="AT305" s="6" t="s">
        <v>244</v>
      </c>
      <c r="AU305" s="6" t="s">
        <v>288</v>
      </c>
      <c r="AV305" s="6" t="s">
        <v>339</v>
      </c>
      <c r="AW305" s="6" t="s">
        <v>244</v>
      </c>
      <c r="AX305" s="6" t="s">
        <v>247</v>
      </c>
    </row>
    <row r="306" spans="1:50">
      <c r="A306" s="6">
        <v>386</v>
      </c>
      <c r="B306" s="5" t="s">
        <v>3563</v>
      </c>
      <c r="C306" s="6">
        <v>4</v>
      </c>
      <c r="D306" s="6" t="s">
        <v>98</v>
      </c>
      <c r="E306" s="6">
        <v>304</v>
      </c>
      <c r="F306" s="6" t="s">
        <v>2014</v>
      </c>
      <c r="G306" s="6">
        <v>41988.923900462964</v>
      </c>
      <c r="H306" s="6">
        <v>42046.981712962966</v>
      </c>
      <c r="I306" s="6">
        <v>41988.923900462964</v>
      </c>
      <c r="J306" s="6" t="s">
        <v>103</v>
      </c>
      <c r="K306" s="6" t="s">
        <v>105</v>
      </c>
      <c r="L306" s="6" t="s">
        <v>2015</v>
      </c>
      <c r="M306" s="6" t="s">
        <v>374</v>
      </c>
      <c r="N306" s="6" t="s">
        <v>2016</v>
      </c>
      <c r="P306" s="6" t="s">
        <v>215</v>
      </c>
      <c r="Q306" s="6">
        <v>826</v>
      </c>
      <c r="R306" s="6" t="s">
        <v>349</v>
      </c>
      <c r="S306" s="7">
        <v>826</v>
      </c>
      <c r="T306" s="7" t="s">
        <v>123</v>
      </c>
      <c r="U306" s="6" t="s">
        <v>125</v>
      </c>
      <c r="V306" s="6" t="s">
        <v>158</v>
      </c>
      <c r="W306" s="6" t="s">
        <v>160</v>
      </c>
      <c r="X306" s="6" t="s">
        <v>2015</v>
      </c>
      <c r="Y306" s="8" t="s">
        <v>3564</v>
      </c>
      <c r="Z306" s="8" t="s">
        <v>3565</v>
      </c>
      <c r="AA306" s="8" t="s">
        <v>3566</v>
      </c>
      <c r="AB306" s="6">
        <v>40575</v>
      </c>
      <c r="AC306" s="6">
        <v>40695</v>
      </c>
      <c r="AE306" s="6" t="s">
        <v>177</v>
      </c>
      <c r="AF306" s="6" t="s">
        <v>178</v>
      </c>
      <c r="AG306" s="6" t="s">
        <v>180</v>
      </c>
      <c r="AH306" s="6" t="s">
        <v>392</v>
      </c>
      <c r="AI306" s="6" t="s">
        <v>182</v>
      </c>
      <c r="AJ306" s="6" t="s">
        <v>393</v>
      </c>
      <c r="AK306" s="6" t="s">
        <v>244</v>
      </c>
      <c r="AL306" s="6" t="s">
        <v>247</v>
      </c>
      <c r="AM306" s="6" t="s">
        <v>244</v>
      </c>
      <c r="AN306" s="6" t="s">
        <v>181</v>
      </c>
      <c r="AO306" s="6" t="s">
        <v>185</v>
      </c>
      <c r="AP306" s="6" t="s">
        <v>386</v>
      </c>
      <c r="AQ306" s="6" t="s">
        <v>288</v>
      </c>
      <c r="AR306" s="6" t="s">
        <v>288</v>
      </c>
      <c r="AS306" s="6" t="s">
        <v>244</v>
      </c>
      <c r="AT306" s="6" t="s">
        <v>244</v>
      </c>
      <c r="AU306" s="6" t="s">
        <v>288</v>
      </c>
      <c r="AV306" s="6" t="s">
        <v>339</v>
      </c>
      <c r="AW306" s="6" t="s">
        <v>244</v>
      </c>
      <c r="AX306" s="6" t="s">
        <v>247</v>
      </c>
    </row>
    <row r="307" spans="1:50">
      <c r="A307" s="6">
        <v>387</v>
      </c>
      <c r="B307" s="5" t="s">
        <v>3567</v>
      </c>
      <c r="C307" s="6">
        <v>7</v>
      </c>
      <c r="D307" s="6" t="s">
        <v>98</v>
      </c>
      <c r="E307" s="6">
        <v>1</v>
      </c>
      <c r="F307" s="6" t="s">
        <v>2017</v>
      </c>
      <c r="G307" s="6">
        <v>41988.923900462964</v>
      </c>
      <c r="H307" s="6">
        <v>41988.923900462964</v>
      </c>
      <c r="I307" s="6">
        <v>41988.923900462964</v>
      </c>
      <c r="J307" s="6" t="s">
        <v>103</v>
      </c>
      <c r="K307" s="6" t="s">
        <v>105</v>
      </c>
      <c r="L307" s="6" t="s">
        <v>2018</v>
      </c>
      <c r="M307" s="6" t="s">
        <v>637</v>
      </c>
      <c r="N307" s="6" t="s">
        <v>2019</v>
      </c>
      <c r="O307" s="6" t="s">
        <v>2020</v>
      </c>
      <c r="P307" s="6" t="s">
        <v>215</v>
      </c>
      <c r="Q307" s="6">
        <v>826</v>
      </c>
      <c r="R307" s="6" t="s">
        <v>349</v>
      </c>
      <c r="S307" s="7">
        <v>826</v>
      </c>
      <c r="T307" s="7" t="s">
        <v>123</v>
      </c>
      <c r="U307" s="6" t="s">
        <v>125</v>
      </c>
      <c r="V307" s="6" t="s">
        <v>158</v>
      </c>
      <c r="W307" s="6" t="s">
        <v>160</v>
      </c>
      <c r="X307" s="6" t="s">
        <v>2018</v>
      </c>
      <c r="Y307" s="8" t="s">
        <v>3568</v>
      </c>
      <c r="Z307" s="8" t="s">
        <v>3569</v>
      </c>
      <c r="AA307" s="8" t="s">
        <v>3570</v>
      </c>
      <c r="AB307" s="6">
        <v>39814</v>
      </c>
      <c r="AC307" s="6">
        <v>40026</v>
      </c>
      <c r="AE307" s="6" t="s">
        <v>371</v>
      </c>
      <c r="AF307" s="6" t="s">
        <v>178</v>
      </c>
      <c r="AG307" s="6" t="s">
        <v>180</v>
      </c>
      <c r="AH307" s="6" t="s">
        <v>187</v>
      </c>
      <c r="AI307" s="6" t="s">
        <v>385</v>
      </c>
      <c r="AJ307" s="6" t="s">
        <v>244</v>
      </c>
      <c r="AK307" s="6" t="s">
        <v>185</v>
      </c>
      <c r="AL307" s="6" t="s">
        <v>479</v>
      </c>
      <c r="AM307" s="6" t="s">
        <v>189</v>
      </c>
      <c r="AN307" s="6" t="s">
        <v>371</v>
      </c>
      <c r="AO307" s="6" t="s">
        <v>185</v>
      </c>
      <c r="AP307" s="6" t="s">
        <v>247</v>
      </c>
      <c r="AQ307" s="6" t="s">
        <v>244</v>
      </c>
      <c r="AR307" s="6" t="s">
        <v>244</v>
      </c>
      <c r="AS307" s="6" t="s">
        <v>244</v>
      </c>
      <c r="AT307" s="6" t="s">
        <v>244</v>
      </c>
      <c r="AU307" s="6" t="s">
        <v>244</v>
      </c>
      <c r="AV307" s="6" t="s">
        <v>244</v>
      </c>
      <c r="AW307" s="6" t="s">
        <v>442</v>
      </c>
      <c r="AX307" s="6" t="s">
        <v>521</v>
      </c>
    </row>
    <row r="308" spans="1:50">
      <c r="A308" s="6">
        <v>389</v>
      </c>
      <c r="B308" s="5" t="s">
        <v>3571</v>
      </c>
      <c r="C308" s="6">
        <v>4</v>
      </c>
      <c r="D308" s="6" t="s">
        <v>98</v>
      </c>
      <c r="E308" s="6">
        <v>1</v>
      </c>
      <c r="F308" s="6" t="s">
        <v>2026</v>
      </c>
      <c r="G308" s="6">
        <v>41988.923900462964</v>
      </c>
      <c r="H308" s="6">
        <v>42066.888645833336</v>
      </c>
      <c r="I308" s="6">
        <v>41988.923900462964</v>
      </c>
      <c r="J308" s="6" t="s">
        <v>103</v>
      </c>
      <c r="K308" s="6" t="s">
        <v>105</v>
      </c>
      <c r="L308" s="6" t="s">
        <v>2027</v>
      </c>
      <c r="M308" s="6" t="s">
        <v>352</v>
      </c>
      <c r="N308" s="6" t="s">
        <v>2028</v>
      </c>
      <c r="P308" s="6" t="s">
        <v>1875</v>
      </c>
      <c r="Q308" s="6">
        <v>826</v>
      </c>
      <c r="R308" s="6" t="s">
        <v>349</v>
      </c>
      <c r="S308" s="7">
        <v>826</v>
      </c>
      <c r="T308" s="7" t="s">
        <v>123</v>
      </c>
      <c r="U308" s="6" t="s">
        <v>125</v>
      </c>
      <c r="V308" s="6" t="s">
        <v>158</v>
      </c>
      <c r="W308" s="6" t="s">
        <v>160</v>
      </c>
      <c r="X308" s="6" t="s">
        <v>2027</v>
      </c>
      <c r="Y308" s="8" t="s">
        <v>3572</v>
      </c>
      <c r="Z308" s="8" t="s">
        <v>3573</v>
      </c>
      <c r="AA308" s="8" t="s">
        <v>3574</v>
      </c>
      <c r="AC308" s="6">
        <v>42461</v>
      </c>
      <c r="AE308" s="6" t="s">
        <v>244</v>
      </c>
      <c r="AF308" s="6" t="s">
        <v>178</v>
      </c>
      <c r="AG308" s="6" t="s">
        <v>180</v>
      </c>
      <c r="AH308" s="6" t="s">
        <v>371</v>
      </c>
      <c r="AI308" s="6" t="s">
        <v>182</v>
      </c>
      <c r="AJ308" s="6" t="s">
        <v>371</v>
      </c>
      <c r="AK308" s="6" t="s">
        <v>244</v>
      </c>
      <c r="AL308" s="6" t="s">
        <v>247</v>
      </c>
      <c r="AM308" s="6" t="s">
        <v>244</v>
      </c>
      <c r="AN308" s="6" t="s">
        <v>247</v>
      </c>
      <c r="AO308" s="6" t="s">
        <v>244</v>
      </c>
      <c r="AP308" s="6" t="s">
        <v>247</v>
      </c>
      <c r="AQ308" s="6" t="s">
        <v>288</v>
      </c>
      <c r="AR308" s="6" t="s">
        <v>288</v>
      </c>
      <c r="AS308" s="6" t="s">
        <v>244</v>
      </c>
      <c r="AT308" s="6" t="s">
        <v>244</v>
      </c>
      <c r="AU308" s="6" t="s">
        <v>288</v>
      </c>
      <c r="AV308" s="6" t="s">
        <v>339</v>
      </c>
      <c r="AW308" s="6" t="s">
        <v>244</v>
      </c>
      <c r="AX308" s="6" t="s">
        <v>247</v>
      </c>
    </row>
    <row r="309" spans="1:50">
      <c r="A309" s="6">
        <v>390</v>
      </c>
      <c r="B309" s="5" t="s">
        <v>3575</v>
      </c>
      <c r="C309" s="6">
        <v>5</v>
      </c>
      <c r="D309" s="6" t="s">
        <v>98</v>
      </c>
      <c r="E309" s="6">
        <v>305</v>
      </c>
      <c r="F309" s="6" t="s">
        <v>2029</v>
      </c>
      <c r="G309" s="6">
        <v>41988.923900462964</v>
      </c>
      <c r="H309" s="6">
        <v>42066.888923611114</v>
      </c>
      <c r="I309" s="6">
        <v>41988.923900462964</v>
      </c>
      <c r="J309" s="6" t="s">
        <v>103</v>
      </c>
      <c r="K309" s="6" t="s">
        <v>105</v>
      </c>
      <c r="L309" s="6" t="s">
        <v>2030</v>
      </c>
      <c r="M309" s="6" t="s">
        <v>374</v>
      </c>
      <c r="N309" s="6" t="s">
        <v>2031</v>
      </c>
      <c r="P309" s="6" t="s">
        <v>1875</v>
      </c>
      <c r="Q309" s="6">
        <v>826</v>
      </c>
      <c r="R309" s="6" t="s">
        <v>349</v>
      </c>
      <c r="S309" s="7">
        <v>826</v>
      </c>
      <c r="T309" s="7" t="s">
        <v>123</v>
      </c>
      <c r="U309" s="6" t="s">
        <v>125</v>
      </c>
      <c r="V309" s="6" t="s">
        <v>158</v>
      </c>
      <c r="W309" s="6" t="s">
        <v>160</v>
      </c>
      <c r="X309" s="6" t="s">
        <v>2030</v>
      </c>
      <c r="Y309" s="8" t="s">
        <v>3576</v>
      </c>
      <c r="Z309" s="8" t="s">
        <v>3577</v>
      </c>
      <c r="AA309" s="8" t="s">
        <v>3578</v>
      </c>
      <c r="AE309" s="6" t="s">
        <v>177</v>
      </c>
      <c r="AF309" s="6" t="s">
        <v>178</v>
      </c>
      <c r="AG309" s="6" t="s">
        <v>180</v>
      </c>
      <c r="AH309" s="6" t="s">
        <v>244</v>
      </c>
      <c r="AI309" s="6" t="s">
        <v>244</v>
      </c>
      <c r="AJ309" s="6" t="s">
        <v>371</v>
      </c>
      <c r="AK309" s="6" t="s">
        <v>244</v>
      </c>
      <c r="AL309" s="6" t="s">
        <v>479</v>
      </c>
      <c r="AM309" s="6" t="s">
        <v>244</v>
      </c>
      <c r="AN309" s="6" t="s">
        <v>247</v>
      </c>
      <c r="AO309" s="6" t="s">
        <v>244</v>
      </c>
      <c r="AP309" s="6" t="s">
        <v>394</v>
      </c>
      <c r="AQ309" s="6" t="s">
        <v>288</v>
      </c>
      <c r="AR309" s="6" t="s">
        <v>288</v>
      </c>
      <c r="AS309" s="6" t="s">
        <v>244</v>
      </c>
      <c r="AT309" s="6" t="s">
        <v>244</v>
      </c>
      <c r="AU309" s="6" t="s">
        <v>288</v>
      </c>
      <c r="AV309" s="6" t="s">
        <v>339</v>
      </c>
      <c r="AW309" s="6" t="s">
        <v>244</v>
      </c>
      <c r="AX309" s="6" t="s">
        <v>247</v>
      </c>
    </row>
    <row r="310" spans="1:50">
      <c r="A310" s="6">
        <v>391</v>
      </c>
      <c r="B310" s="5" t="s">
        <v>3579</v>
      </c>
      <c r="C310" s="6">
        <v>4</v>
      </c>
      <c r="D310" s="6" t="s">
        <v>98</v>
      </c>
      <c r="E310" s="6">
        <v>306</v>
      </c>
      <c r="F310" s="6" t="s">
        <v>2032</v>
      </c>
      <c r="G310" s="6">
        <v>41988.923900462964</v>
      </c>
      <c r="H310" s="6">
        <v>42046.981712962966</v>
      </c>
      <c r="I310" s="6">
        <v>41988.923900462964</v>
      </c>
      <c r="J310" s="6" t="s">
        <v>103</v>
      </c>
      <c r="K310" s="6" t="s">
        <v>105</v>
      </c>
      <c r="L310" s="6" t="s">
        <v>2033</v>
      </c>
      <c r="M310" s="6" t="s">
        <v>374</v>
      </c>
      <c r="N310" s="6" t="s">
        <v>2034</v>
      </c>
      <c r="P310" s="6" t="s">
        <v>215</v>
      </c>
      <c r="Q310" s="6">
        <v>826</v>
      </c>
      <c r="R310" s="6" t="s">
        <v>349</v>
      </c>
      <c r="S310" s="7">
        <v>826</v>
      </c>
      <c r="T310" s="7" t="s">
        <v>123</v>
      </c>
      <c r="U310" s="6" t="s">
        <v>125</v>
      </c>
      <c r="V310" s="6" t="s">
        <v>158</v>
      </c>
      <c r="W310" s="6" t="s">
        <v>160</v>
      </c>
      <c r="X310" s="6" t="s">
        <v>2033</v>
      </c>
      <c r="Y310" s="8" t="s">
        <v>3580</v>
      </c>
      <c r="Z310" s="8" t="s">
        <v>3581</v>
      </c>
      <c r="AA310" s="8" t="s">
        <v>3582</v>
      </c>
      <c r="AB310" s="6">
        <v>41241</v>
      </c>
      <c r="AE310" s="6" t="s">
        <v>177</v>
      </c>
      <c r="AF310" s="6" t="s">
        <v>178</v>
      </c>
      <c r="AG310" s="6" t="s">
        <v>180</v>
      </c>
      <c r="AH310" s="6" t="s">
        <v>392</v>
      </c>
      <c r="AI310" s="6" t="s">
        <v>182</v>
      </c>
      <c r="AJ310" s="6" t="s">
        <v>393</v>
      </c>
      <c r="AK310" s="6" t="s">
        <v>189</v>
      </c>
      <c r="AL310" s="6" t="s">
        <v>479</v>
      </c>
      <c r="AM310" s="6" t="s">
        <v>189</v>
      </c>
      <c r="AN310" s="6" t="s">
        <v>247</v>
      </c>
      <c r="AO310" s="6" t="s">
        <v>185</v>
      </c>
      <c r="AP310" s="6" t="s">
        <v>386</v>
      </c>
      <c r="AQ310" s="6" t="s">
        <v>288</v>
      </c>
      <c r="AR310" s="6" t="s">
        <v>288</v>
      </c>
      <c r="AS310" s="6" t="s">
        <v>244</v>
      </c>
      <c r="AT310" s="6" t="s">
        <v>244</v>
      </c>
      <c r="AU310" s="6" t="s">
        <v>288</v>
      </c>
      <c r="AV310" s="6" t="s">
        <v>371</v>
      </c>
      <c r="AW310" s="6" t="s">
        <v>442</v>
      </c>
      <c r="AX310" s="6" t="s">
        <v>247</v>
      </c>
    </row>
    <row r="311" spans="1:50">
      <c r="A311" s="6">
        <v>392</v>
      </c>
      <c r="B311" s="5" t="s">
        <v>3583</v>
      </c>
      <c r="C311" s="6">
        <v>4</v>
      </c>
      <c r="D311" s="6" t="s">
        <v>98</v>
      </c>
      <c r="E311" s="6">
        <v>1</v>
      </c>
      <c r="F311" s="6" t="s">
        <v>2035</v>
      </c>
      <c r="G311" s="6">
        <v>41988.92391203704</v>
      </c>
      <c r="H311" s="6">
        <v>42066.889189814814</v>
      </c>
      <c r="I311" s="6">
        <v>41988.92391203704</v>
      </c>
      <c r="J311" s="6" t="s">
        <v>103</v>
      </c>
      <c r="K311" s="6" t="s">
        <v>105</v>
      </c>
      <c r="L311" s="6" t="s">
        <v>2036</v>
      </c>
      <c r="M311" s="6" t="s">
        <v>374</v>
      </c>
      <c r="N311" s="6" t="s">
        <v>2037</v>
      </c>
      <c r="O311" s="6" t="s">
        <v>2038</v>
      </c>
      <c r="Q311" s="6">
        <v>826</v>
      </c>
      <c r="R311" s="6" t="s">
        <v>349</v>
      </c>
      <c r="S311" s="7">
        <v>826</v>
      </c>
      <c r="T311" s="7" t="s">
        <v>123</v>
      </c>
      <c r="U311" s="6" t="s">
        <v>125</v>
      </c>
      <c r="V311" s="6" t="s">
        <v>158</v>
      </c>
      <c r="W311" s="6" t="s">
        <v>160</v>
      </c>
      <c r="X311" s="6" t="s">
        <v>2036</v>
      </c>
      <c r="Y311" s="8" t="s">
        <v>3584</v>
      </c>
      <c r="Z311" s="8" t="s">
        <v>3585</v>
      </c>
      <c r="AA311" s="8" t="s">
        <v>3586</v>
      </c>
      <c r="AE311" s="6" t="s">
        <v>244</v>
      </c>
      <c r="AF311" s="6" t="s">
        <v>178</v>
      </c>
      <c r="AG311" s="6" t="s">
        <v>180</v>
      </c>
      <c r="AH311" s="6" t="s">
        <v>244</v>
      </c>
      <c r="AI311" s="6" t="s">
        <v>244</v>
      </c>
      <c r="AJ311" s="6" t="s">
        <v>183</v>
      </c>
      <c r="AK311" s="6" t="s">
        <v>185</v>
      </c>
      <c r="AL311" s="6" t="s">
        <v>479</v>
      </c>
      <c r="AM311" s="6" t="s">
        <v>189</v>
      </c>
      <c r="AN311" s="6" t="s">
        <v>247</v>
      </c>
      <c r="AO311" s="6" t="s">
        <v>244</v>
      </c>
      <c r="AP311" s="6" t="s">
        <v>247</v>
      </c>
      <c r="AQ311" s="6" t="s">
        <v>288</v>
      </c>
      <c r="AR311" s="6" t="s">
        <v>189</v>
      </c>
      <c r="AS311" s="6" t="s">
        <v>244</v>
      </c>
      <c r="AT311" s="6" t="s">
        <v>244</v>
      </c>
      <c r="AU311" s="6" t="s">
        <v>288</v>
      </c>
      <c r="AV311" s="6" t="s">
        <v>339</v>
      </c>
      <c r="AW311" s="6" t="s">
        <v>244</v>
      </c>
      <c r="AX311" s="6" t="s">
        <v>247</v>
      </c>
    </row>
    <row r="312" spans="1:50">
      <c r="A312" s="6">
        <v>393</v>
      </c>
      <c r="B312" s="5" t="s">
        <v>3587</v>
      </c>
      <c r="C312" s="6">
        <v>8</v>
      </c>
      <c r="D312" s="6" t="s">
        <v>98</v>
      </c>
      <c r="E312" s="6">
        <v>307</v>
      </c>
      <c r="F312" s="6" t="s">
        <v>2039</v>
      </c>
      <c r="G312" s="6">
        <v>41988.92391203704</v>
      </c>
      <c r="H312" s="6">
        <v>42107.506793981483</v>
      </c>
      <c r="I312" s="6">
        <v>41988.92391203704</v>
      </c>
      <c r="J312" s="6" t="s">
        <v>103</v>
      </c>
      <c r="K312" s="6" t="s">
        <v>105</v>
      </c>
      <c r="L312" s="6" t="s">
        <v>2040</v>
      </c>
      <c r="M312" s="6" t="s">
        <v>352</v>
      </c>
      <c r="O312" s="6" t="s">
        <v>2041</v>
      </c>
      <c r="P312" s="6" t="s">
        <v>215</v>
      </c>
      <c r="Q312" s="6">
        <v>826</v>
      </c>
      <c r="R312" s="6" t="s">
        <v>349</v>
      </c>
      <c r="S312" s="7">
        <v>826</v>
      </c>
      <c r="T312" s="7" t="s">
        <v>123</v>
      </c>
      <c r="U312" s="6" t="s">
        <v>125</v>
      </c>
      <c r="V312" s="6" t="s">
        <v>158</v>
      </c>
      <c r="W312" s="6" t="s">
        <v>160</v>
      </c>
      <c r="X312" s="6" t="s">
        <v>2040</v>
      </c>
      <c r="Y312" s="8" t="s">
        <v>3588</v>
      </c>
      <c r="Z312" s="8" t="s">
        <v>3589</v>
      </c>
      <c r="AA312" s="8" t="s">
        <v>3590</v>
      </c>
      <c r="AB312" s="6">
        <v>41795</v>
      </c>
      <c r="AC312" s="6">
        <v>42005</v>
      </c>
      <c r="AE312" s="6" t="s">
        <v>177</v>
      </c>
      <c r="AF312" s="6" t="s">
        <v>178</v>
      </c>
      <c r="AG312" s="6" t="s">
        <v>180</v>
      </c>
      <c r="AH312" s="6" t="s">
        <v>187</v>
      </c>
      <c r="AI312" s="6" t="s">
        <v>182</v>
      </c>
      <c r="AJ312" s="6" t="s">
        <v>393</v>
      </c>
      <c r="AK312" s="6" t="s">
        <v>189</v>
      </c>
      <c r="AL312" s="6" t="s">
        <v>178</v>
      </c>
      <c r="AM312" s="6" t="s">
        <v>189</v>
      </c>
      <c r="AN312" s="6" t="s">
        <v>378</v>
      </c>
      <c r="AO312" s="6" t="s">
        <v>189</v>
      </c>
      <c r="AP312" s="6" t="s">
        <v>394</v>
      </c>
      <c r="AQ312" s="6" t="s">
        <v>189</v>
      </c>
      <c r="AR312" s="6" t="s">
        <v>189</v>
      </c>
      <c r="AS312" s="6" t="s">
        <v>395</v>
      </c>
      <c r="AT312" s="6" t="s">
        <v>459</v>
      </c>
      <c r="AU312" s="6" t="s">
        <v>189</v>
      </c>
      <c r="AV312" s="6" t="s">
        <v>195</v>
      </c>
      <c r="AW312" s="6" t="s">
        <v>442</v>
      </c>
      <c r="AX312" s="6" t="s">
        <v>247</v>
      </c>
    </row>
    <row r="313" spans="1:50">
      <c r="A313" s="6">
        <v>394</v>
      </c>
      <c r="B313" s="5" t="s">
        <v>3591</v>
      </c>
      <c r="C313" s="6">
        <v>3</v>
      </c>
      <c r="D313" s="6" t="s">
        <v>98</v>
      </c>
      <c r="E313" s="6">
        <v>1</v>
      </c>
      <c r="F313" s="6" t="s">
        <v>2042</v>
      </c>
      <c r="G313" s="6">
        <v>41988.92391203704</v>
      </c>
      <c r="H313" s="6">
        <v>41988.92391203704</v>
      </c>
      <c r="I313" s="6">
        <v>41988.92391203704</v>
      </c>
      <c r="J313" s="6" t="s">
        <v>103</v>
      </c>
      <c r="K313" s="6" t="s">
        <v>105</v>
      </c>
      <c r="L313" s="6" t="s">
        <v>2043</v>
      </c>
      <c r="M313" s="6" t="s">
        <v>374</v>
      </c>
      <c r="P313" s="6" t="s">
        <v>215</v>
      </c>
      <c r="Q313" s="6">
        <v>826</v>
      </c>
      <c r="R313" s="6" t="s">
        <v>349</v>
      </c>
      <c r="S313" s="7">
        <v>826</v>
      </c>
      <c r="T313" s="7" t="s">
        <v>123</v>
      </c>
      <c r="U313" s="6" t="s">
        <v>125</v>
      </c>
      <c r="V313" s="6" t="s">
        <v>158</v>
      </c>
      <c r="W313" s="6" t="s">
        <v>160</v>
      </c>
      <c r="X313" s="6" t="s">
        <v>2043</v>
      </c>
      <c r="Y313" s="8" t="s">
        <v>3592</v>
      </c>
      <c r="Z313" s="8" t="s">
        <v>3593</v>
      </c>
      <c r="AA313" s="8" t="s">
        <v>3594</v>
      </c>
      <c r="AB313" s="6">
        <v>39862</v>
      </c>
      <c r="AC313" s="6">
        <v>40179</v>
      </c>
      <c r="AE313" s="6" t="s">
        <v>177</v>
      </c>
      <c r="AF313" s="6" t="s">
        <v>178</v>
      </c>
      <c r="AG313" s="6" t="s">
        <v>180</v>
      </c>
      <c r="AH313" s="6" t="s">
        <v>244</v>
      </c>
      <c r="AI313" s="6" t="s">
        <v>182</v>
      </c>
      <c r="AJ313" s="6" t="s">
        <v>393</v>
      </c>
      <c r="AK313" s="6" t="s">
        <v>244</v>
      </c>
      <c r="AL313" s="6" t="s">
        <v>247</v>
      </c>
      <c r="AM313" s="6" t="s">
        <v>244</v>
      </c>
      <c r="AN313" s="6" t="s">
        <v>247</v>
      </c>
      <c r="AO313" s="6" t="s">
        <v>185</v>
      </c>
      <c r="AP313" s="6" t="s">
        <v>386</v>
      </c>
      <c r="AQ313" s="6" t="s">
        <v>288</v>
      </c>
      <c r="AR313" s="6" t="s">
        <v>288</v>
      </c>
      <c r="AS313" s="6" t="s">
        <v>244</v>
      </c>
      <c r="AT313" s="6" t="s">
        <v>244</v>
      </c>
      <c r="AU313" s="6" t="s">
        <v>288</v>
      </c>
      <c r="AV313" s="6" t="s">
        <v>339</v>
      </c>
      <c r="AW313" s="6" t="s">
        <v>244</v>
      </c>
      <c r="AX313" s="6" t="s">
        <v>247</v>
      </c>
    </row>
    <row r="314" spans="1:50">
      <c r="A314" s="6">
        <v>395</v>
      </c>
      <c r="B314" s="5" t="s">
        <v>3595</v>
      </c>
      <c r="C314" s="6">
        <v>4</v>
      </c>
      <c r="D314" s="6" t="s">
        <v>98</v>
      </c>
      <c r="E314" s="6">
        <v>1</v>
      </c>
      <c r="F314" s="6" t="s">
        <v>2044</v>
      </c>
      <c r="G314" s="6">
        <v>41988.92391203704</v>
      </c>
      <c r="H314" s="6">
        <v>41988.92391203704</v>
      </c>
      <c r="I314" s="6">
        <v>41988.92391203704</v>
      </c>
      <c r="J314" s="6" t="s">
        <v>103</v>
      </c>
      <c r="K314" s="6" t="s">
        <v>105</v>
      </c>
      <c r="L314" s="6" t="s">
        <v>2045</v>
      </c>
      <c r="M314" s="6" t="s">
        <v>374</v>
      </c>
      <c r="P314" s="6" t="s">
        <v>215</v>
      </c>
      <c r="Q314" s="6">
        <v>826</v>
      </c>
      <c r="R314" s="6" t="s">
        <v>349</v>
      </c>
      <c r="S314" s="7">
        <v>826</v>
      </c>
      <c r="T314" s="7" t="s">
        <v>123</v>
      </c>
      <c r="U314" s="6" t="s">
        <v>125</v>
      </c>
      <c r="V314" s="6" t="s">
        <v>158</v>
      </c>
      <c r="W314" s="6" t="s">
        <v>160</v>
      </c>
      <c r="X314" s="6" t="s">
        <v>2045</v>
      </c>
      <c r="Y314" s="8" t="s">
        <v>3596</v>
      </c>
      <c r="Z314" s="8" t="s">
        <v>3597</v>
      </c>
      <c r="AA314" s="8" t="s">
        <v>3598</v>
      </c>
      <c r="AC314" s="6">
        <v>41365</v>
      </c>
      <c r="AE314" s="6" t="s">
        <v>177</v>
      </c>
      <c r="AF314" s="6" t="s">
        <v>178</v>
      </c>
      <c r="AG314" s="6" t="s">
        <v>180</v>
      </c>
      <c r="AH314" s="6" t="s">
        <v>181</v>
      </c>
      <c r="AI314" s="6" t="s">
        <v>182</v>
      </c>
      <c r="AJ314" s="6" t="s">
        <v>393</v>
      </c>
      <c r="AK314" s="6" t="s">
        <v>189</v>
      </c>
      <c r="AL314" s="6" t="s">
        <v>479</v>
      </c>
      <c r="AM314" s="6" t="s">
        <v>189</v>
      </c>
      <c r="AN314" s="6" t="s">
        <v>181</v>
      </c>
      <c r="AO314" s="6" t="s">
        <v>185</v>
      </c>
      <c r="AP314" s="6" t="s">
        <v>386</v>
      </c>
      <c r="AQ314" s="6" t="s">
        <v>288</v>
      </c>
      <c r="AR314" s="6" t="s">
        <v>288</v>
      </c>
      <c r="AS314" s="6" t="s">
        <v>193</v>
      </c>
      <c r="AT314" s="6" t="s">
        <v>193</v>
      </c>
      <c r="AU314" s="6" t="s">
        <v>288</v>
      </c>
      <c r="AV314" s="6" t="s">
        <v>339</v>
      </c>
      <c r="AW314" s="6" t="s">
        <v>244</v>
      </c>
      <c r="AX314" s="6" t="s">
        <v>247</v>
      </c>
    </row>
    <row r="315" spans="1:50">
      <c r="A315" s="6">
        <v>396</v>
      </c>
      <c r="B315" s="5" t="s">
        <v>3599</v>
      </c>
      <c r="C315" s="6">
        <v>3</v>
      </c>
      <c r="D315" s="6" t="s">
        <v>98</v>
      </c>
      <c r="E315" s="6">
        <v>1</v>
      </c>
      <c r="F315" s="6" t="s">
        <v>2046</v>
      </c>
      <c r="G315" s="6">
        <v>41988.92391203704</v>
      </c>
      <c r="H315" s="6">
        <v>41988.92391203704</v>
      </c>
      <c r="I315" s="6">
        <v>41988.92391203704</v>
      </c>
      <c r="J315" s="6" t="s">
        <v>103</v>
      </c>
      <c r="K315" s="6" t="s">
        <v>105</v>
      </c>
      <c r="L315" s="6" t="s">
        <v>2047</v>
      </c>
      <c r="M315" s="6" t="s">
        <v>374</v>
      </c>
      <c r="P315" s="6" t="s">
        <v>215</v>
      </c>
      <c r="Q315" s="6">
        <v>826</v>
      </c>
      <c r="R315" s="6" t="s">
        <v>349</v>
      </c>
      <c r="S315" s="7">
        <v>826</v>
      </c>
      <c r="T315" s="7" t="s">
        <v>123</v>
      </c>
      <c r="U315" s="6" t="s">
        <v>125</v>
      </c>
      <c r="V315" s="6" t="s">
        <v>158</v>
      </c>
      <c r="W315" s="6" t="s">
        <v>160</v>
      </c>
      <c r="X315" s="6" t="s">
        <v>2047</v>
      </c>
      <c r="Y315" s="8" t="s">
        <v>3600</v>
      </c>
      <c r="Z315" s="8" t="s">
        <v>3601</v>
      </c>
      <c r="AA315" s="8" t="s">
        <v>3602</v>
      </c>
      <c r="AB315" s="6">
        <v>39604</v>
      </c>
      <c r="AE315" s="6" t="s">
        <v>177</v>
      </c>
      <c r="AF315" s="6" t="s">
        <v>178</v>
      </c>
      <c r="AG315" s="6" t="s">
        <v>180</v>
      </c>
      <c r="AH315" s="6" t="s">
        <v>181</v>
      </c>
      <c r="AI315" s="6" t="s">
        <v>182</v>
      </c>
      <c r="AJ315" s="6" t="s">
        <v>393</v>
      </c>
      <c r="AK315" s="6" t="s">
        <v>189</v>
      </c>
      <c r="AL315" s="6" t="s">
        <v>178</v>
      </c>
      <c r="AM315" s="6" t="s">
        <v>189</v>
      </c>
      <c r="AN315" s="6" t="s">
        <v>181</v>
      </c>
      <c r="AO315" s="6" t="s">
        <v>185</v>
      </c>
      <c r="AP315" s="6" t="s">
        <v>386</v>
      </c>
      <c r="AQ315" s="6" t="s">
        <v>288</v>
      </c>
      <c r="AR315" s="6" t="s">
        <v>288</v>
      </c>
      <c r="AS315" s="6" t="s">
        <v>244</v>
      </c>
      <c r="AT315" s="6" t="s">
        <v>244</v>
      </c>
      <c r="AU315" s="6" t="s">
        <v>288</v>
      </c>
      <c r="AV315" s="6" t="s">
        <v>339</v>
      </c>
      <c r="AW315" s="6" t="s">
        <v>244</v>
      </c>
      <c r="AX315" s="6" t="s">
        <v>247</v>
      </c>
    </row>
    <row r="316" spans="1:50">
      <c r="A316" s="6">
        <v>696</v>
      </c>
      <c r="B316" s="5" t="s">
        <v>3603</v>
      </c>
      <c r="C316" s="6">
        <v>5</v>
      </c>
      <c r="D316" s="6" t="s">
        <v>98</v>
      </c>
      <c r="E316" s="6">
        <v>392</v>
      </c>
      <c r="F316" s="6" t="s">
        <v>2048</v>
      </c>
      <c r="G316" s="6">
        <v>42076.572743055556</v>
      </c>
      <c r="H316" s="6">
        <v>42076.637175925927</v>
      </c>
      <c r="I316" s="6">
        <v>42076.572743055556</v>
      </c>
      <c r="J316" s="6" t="s">
        <v>103</v>
      </c>
      <c r="K316" s="6" t="s">
        <v>105</v>
      </c>
      <c r="L316" s="6" t="s">
        <v>2049</v>
      </c>
      <c r="P316" s="6" t="s">
        <v>1903</v>
      </c>
      <c r="Q316" s="6">
        <v>826</v>
      </c>
      <c r="R316" s="6" t="s">
        <v>349</v>
      </c>
      <c r="S316" s="7">
        <v>826</v>
      </c>
      <c r="T316" s="7" t="s">
        <v>123</v>
      </c>
      <c r="U316" s="6" t="s">
        <v>125</v>
      </c>
      <c r="V316" s="6" t="s">
        <v>158</v>
      </c>
      <c r="W316" s="6" t="s">
        <v>160</v>
      </c>
      <c r="X316" s="6" t="s">
        <v>2049</v>
      </c>
      <c r="Y316" s="8" t="s">
        <v>3604</v>
      </c>
      <c r="Z316" s="8" t="s">
        <v>3605</v>
      </c>
      <c r="AA316" s="8" t="s">
        <v>3606</v>
      </c>
      <c r="AB316" s="6">
        <v>41921</v>
      </c>
      <c r="AC316" s="6">
        <v>42095</v>
      </c>
      <c r="AE316" s="6" t="s">
        <v>177</v>
      </c>
      <c r="AF316" s="6" t="s">
        <v>178</v>
      </c>
      <c r="AG316" s="6" t="s">
        <v>180</v>
      </c>
      <c r="AH316" s="6" t="s">
        <v>371</v>
      </c>
      <c r="AI316" s="6" t="s">
        <v>182</v>
      </c>
      <c r="AJ316" s="6" t="s">
        <v>393</v>
      </c>
      <c r="AK316" s="6" t="s">
        <v>244</v>
      </c>
      <c r="AL316" s="6" t="s">
        <v>479</v>
      </c>
      <c r="AM316" s="6" t="s">
        <v>189</v>
      </c>
      <c r="AN316" s="6" t="s">
        <v>378</v>
      </c>
      <c r="AO316" s="6" t="s">
        <v>244</v>
      </c>
      <c r="AP316" s="6" t="s">
        <v>394</v>
      </c>
      <c r="AQ316" s="6" t="s">
        <v>244</v>
      </c>
      <c r="AR316" s="6" t="s">
        <v>189</v>
      </c>
      <c r="AS316" s="6" t="s">
        <v>395</v>
      </c>
      <c r="AT316" s="6" t="s">
        <v>459</v>
      </c>
      <c r="AU316" s="6" t="s">
        <v>244</v>
      </c>
      <c r="AV316" s="6" t="s">
        <v>520</v>
      </c>
      <c r="AW316" s="6" t="s">
        <v>442</v>
      </c>
      <c r="AX316" s="6" t="s">
        <v>521</v>
      </c>
    </row>
    <row r="317" spans="1:50">
      <c r="A317" s="6">
        <v>397</v>
      </c>
      <c r="B317" s="5" t="s">
        <v>3607</v>
      </c>
      <c r="C317" s="6">
        <v>4</v>
      </c>
      <c r="D317" s="6" t="s">
        <v>98</v>
      </c>
      <c r="E317" s="6">
        <v>1</v>
      </c>
      <c r="F317" s="6" t="s">
        <v>2050</v>
      </c>
      <c r="G317" s="6">
        <v>41988.92391203704</v>
      </c>
      <c r="H317" s="6">
        <v>42066.889618055553</v>
      </c>
      <c r="I317" s="6">
        <v>41988.92391203704</v>
      </c>
      <c r="J317" s="6" t="s">
        <v>103</v>
      </c>
      <c r="K317" s="6" t="s">
        <v>105</v>
      </c>
      <c r="L317" s="6" t="s">
        <v>2051</v>
      </c>
      <c r="M317" s="6" t="s">
        <v>374</v>
      </c>
      <c r="N317" s="6" t="s">
        <v>2052</v>
      </c>
      <c r="P317" s="6" t="s">
        <v>1875</v>
      </c>
      <c r="Q317" s="6">
        <v>826</v>
      </c>
      <c r="R317" s="6" t="s">
        <v>349</v>
      </c>
      <c r="S317" s="7">
        <v>826</v>
      </c>
      <c r="T317" s="7" t="s">
        <v>123</v>
      </c>
      <c r="U317" s="6" t="s">
        <v>125</v>
      </c>
      <c r="V317" s="6" t="s">
        <v>158</v>
      </c>
      <c r="W317" s="6" t="s">
        <v>160</v>
      </c>
      <c r="X317" s="6" t="s">
        <v>2051</v>
      </c>
      <c r="Y317" s="8" t="s">
        <v>3608</v>
      </c>
      <c r="Z317" s="8" t="s">
        <v>3609</v>
      </c>
      <c r="AA317" s="8" t="s">
        <v>3610</v>
      </c>
      <c r="AB317" s="6">
        <v>41365</v>
      </c>
      <c r="AC317" s="6">
        <v>41365</v>
      </c>
      <c r="AE317" s="6" t="s">
        <v>177</v>
      </c>
      <c r="AF317" s="6" t="s">
        <v>178</v>
      </c>
      <c r="AG317" s="6" t="s">
        <v>180</v>
      </c>
      <c r="AH317" s="6" t="s">
        <v>244</v>
      </c>
      <c r="AI317" s="6" t="s">
        <v>244</v>
      </c>
      <c r="AJ317" s="6" t="s">
        <v>183</v>
      </c>
      <c r="AK317" s="6" t="s">
        <v>185</v>
      </c>
      <c r="AL317" s="6" t="s">
        <v>479</v>
      </c>
      <c r="AM317" s="6" t="s">
        <v>189</v>
      </c>
      <c r="AN317" s="6" t="s">
        <v>371</v>
      </c>
      <c r="AO317" s="6" t="s">
        <v>185</v>
      </c>
      <c r="AP317" s="6" t="s">
        <v>247</v>
      </c>
      <c r="AQ317" s="6" t="s">
        <v>288</v>
      </c>
      <c r="AR317" s="6" t="s">
        <v>189</v>
      </c>
      <c r="AS317" s="6" t="s">
        <v>244</v>
      </c>
      <c r="AT317" s="6" t="s">
        <v>244</v>
      </c>
      <c r="AU317" s="6" t="s">
        <v>288</v>
      </c>
      <c r="AV317" s="6" t="s">
        <v>339</v>
      </c>
      <c r="AW317" s="6" t="s">
        <v>442</v>
      </c>
      <c r="AX317" s="6" t="s">
        <v>371</v>
      </c>
    </row>
    <row r="318" spans="1:50">
      <c r="A318" s="6">
        <v>398</v>
      </c>
      <c r="B318" s="5" t="s">
        <v>3611</v>
      </c>
      <c r="C318" s="6">
        <v>4</v>
      </c>
      <c r="D318" s="6" t="s">
        <v>98</v>
      </c>
      <c r="E318" s="6">
        <v>1</v>
      </c>
      <c r="F318" s="6" t="s">
        <v>2053</v>
      </c>
      <c r="G318" s="6">
        <v>41988.92391203704</v>
      </c>
      <c r="H318" s="6">
        <v>42066.889918981484</v>
      </c>
      <c r="I318" s="6">
        <v>41988.92391203704</v>
      </c>
      <c r="J318" s="6" t="s">
        <v>103</v>
      </c>
      <c r="K318" s="6" t="s">
        <v>105</v>
      </c>
      <c r="L318" s="6" t="s">
        <v>2054</v>
      </c>
      <c r="M318" s="6" t="s">
        <v>374</v>
      </c>
      <c r="N318" s="6" t="s">
        <v>2055</v>
      </c>
      <c r="P318" s="6" t="s">
        <v>1875</v>
      </c>
      <c r="Q318" s="6">
        <v>826</v>
      </c>
      <c r="R318" s="6" t="s">
        <v>349</v>
      </c>
      <c r="S318" s="7">
        <v>826</v>
      </c>
      <c r="T318" s="7" t="s">
        <v>123</v>
      </c>
      <c r="U318" s="6" t="s">
        <v>125</v>
      </c>
      <c r="V318" s="6" t="s">
        <v>158</v>
      </c>
      <c r="W318" s="6" t="s">
        <v>160</v>
      </c>
      <c r="X318" s="6" t="s">
        <v>2054</v>
      </c>
      <c r="Y318" s="8" t="s">
        <v>3612</v>
      </c>
      <c r="Z318" s="6" t="s">
        <v>2056</v>
      </c>
      <c r="AA318" s="8" t="s">
        <v>3613</v>
      </c>
      <c r="AB318" s="6">
        <v>41456</v>
      </c>
      <c r="AC318" s="6">
        <v>41487</v>
      </c>
      <c r="AE318" s="6" t="s">
        <v>244</v>
      </c>
      <c r="AF318" s="6" t="s">
        <v>178</v>
      </c>
      <c r="AG318" s="6" t="s">
        <v>180</v>
      </c>
      <c r="AH318" s="6" t="s">
        <v>392</v>
      </c>
      <c r="AI318" s="6" t="s">
        <v>182</v>
      </c>
      <c r="AJ318" s="6" t="s">
        <v>393</v>
      </c>
      <c r="AK318" s="6" t="s">
        <v>185</v>
      </c>
      <c r="AL318" s="6" t="s">
        <v>178</v>
      </c>
      <c r="AM318" s="6" t="s">
        <v>189</v>
      </c>
      <c r="AN318" s="6" t="s">
        <v>247</v>
      </c>
      <c r="AO318" s="6" t="s">
        <v>244</v>
      </c>
      <c r="AP318" s="6" t="s">
        <v>247</v>
      </c>
      <c r="AQ318" s="6" t="s">
        <v>288</v>
      </c>
      <c r="AR318" s="6" t="s">
        <v>189</v>
      </c>
      <c r="AS318" s="6" t="s">
        <v>244</v>
      </c>
      <c r="AT318" s="6" t="s">
        <v>244</v>
      </c>
      <c r="AU318" s="6" t="s">
        <v>288</v>
      </c>
      <c r="AV318" s="6" t="s">
        <v>339</v>
      </c>
      <c r="AW318" s="6" t="s">
        <v>244</v>
      </c>
      <c r="AX318" s="6" t="s">
        <v>247</v>
      </c>
    </row>
    <row r="319" spans="1:50">
      <c r="A319" s="6">
        <v>399</v>
      </c>
      <c r="B319" s="5" t="s">
        <v>3614</v>
      </c>
      <c r="C319" s="6">
        <v>4</v>
      </c>
      <c r="D319" s="6" t="s">
        <v>98</v>
      </c>
      <c r="E319" s="6">
        <v>1</v>
      </c>
      <c r="F319" s="6" t="s">
        <v>2057</v>
      </c>
      <c r="G319" s="6">
        <v>41988.92391203704</v>
      </c>
      <c r="H319" s="6">
        <v>42086.926736111112</v>
      </c>
      <c r="I319" s="6">
        <v>41988.92391203704</v>
      </c>
      <c r="J319" s="6" t="s">
        <v>103</v>
      </c>
      <c r="K319" s="6" t="s">
        <v>105</v>
      </c>
      <c r="L319" s="6" t="s">
        <v>2058</v>
      </c>
      <c r="M319" s="6" t="s">
        <v>374</v>
      </c>
      <c r="P319" s="6" t="s">
        <v>215</v>
      </c>
      <c r="Q319" s="6">
        <v>826</v>
      </c>
      <c r="R319" s="6" t="s">
        <v>349</v>
      </c>
      <c r="S319" s="7">
        <v>826</v>
      </c>
      <c r="T319" s="7" t="s">
        <v>123</v>
      </c>
      <c r="U319" s="6" t="s">
        <v>125</v>
      </c>
      <c r="V319" s="6" t="s">
        <v>158</v>
      </c>
      <c r="W319" s="6" t="s">
        <v>160</v>
      </c>
      <c r="X319" s="6" t="s">
        <v>2058</v>
      </c>
      <c r="Y319" s="8" t="s">
        <v>3615</v>
      </c>
      <c r="Z319" s="8" t="s">
        <v>3616</v>
      </c>
      <c r="AA319" s="8" t="s">
        <v>3617</v>
      </c>
      <c r="AB319" s="6">
        <v>39962</v>
      </c>
      <c r="AC319" s="6">
        <v>38718</v>
      </c>
      <c r="AE319" s="6" t="s">
        <v>177</v>
      </c>
      <c r="AF319" s="6" t="s">
        <v>178</v>
      </c>
      <c r="AG319" s="6" t="s">
        <v>180</v>
      </c>
      <c r="AH319" s="6" t="s">
        <v>244</v>
      </c>
      <c r="AI319" s="6" t="s">
        <v>182</v>
      </c>
      <c r="AJ319" s="6" t="s">
        <v>244</v>
      </c>
      <c r="AK319" s="6" t="s">
        <v>189</v>
      </c>
      <c r="AL319" s="6" t="s">
        <v>479</v>
      </c>
      <c r="AM319" s="6" t="s">
        <v>189</v>
      </c>
      <c r="AN319" s="6" t="s">
        <v>247</v>
      </c>
      <c r="AO319" s="6" t="s">
        <v>185</v>
      </c>
      <c r="AP319" s="6" t="s">
        <v>386</v>
      </c>
      <c r="AQ319" s="6" t="s">
        <v>288</v>
      </c>
      <c r="AR319" s="6" t="s">
        <v>288</v>
      </c>
      <c r="AS319" s="6" t="s">
        <v>244</v>
      </c>
      <c r="AT319" s="6" t="s">
        <v>244</v>
      </c>
      <c r="AU319" s="6" t="s">
        <v>288</v>
      </c>
      <c r="AV319" s="6" t="s">
        <v>339</v>
      </c>
      <c r="AW319" s="6" t="s">
        <v>442</v>
      </c>
      <c r="AX319" s="6" t="s">
        <v>247</v>
      </c>
    </row>
    <row r="320" spans="1:50">
      <c r="A320" s="6">
        <v>400</v>
      </c>
      <c r="B320" s="5" t="s">
        <v>3618</v>
      </c>
      <c r="C320" s="6">
        <v>4</v>
      </c>
      <c r="D320" s="6" t="s">
        <v>98</v>
      </c>
      <c r="E320" s="6">
        <v>1</v>
      </c>
      <c r="F320" s="6" t="s">
        <v>2059</v>
      </c>
      <c r="G320" s="6">
        <v>41988.92391203704</v>
      </c>
      <c r="H320" s="6">
        <v>42093.698773148149</v>
      </c>
      <c r="I320" s="6">
        <v>41988.92391203704</v>
      </c>
      <c r="J320" s="6" t="s">
        <v>103</v>
      </c>
      <c r="K320" s="6" t="s">
        <v>105</v>
      </c>
      <c r="L320" s="6" t="s">
        <v>2060</v>
      </c>
      <c r="M320" s="6" t="s">
        <v>352</v>
      </c>
      <c r="P320" s="6" t="s">
        <v>215</v>
      </c>
      <c r="Q320" s="6">
        <v>826</v>
      </c>
      <c r="R320" s="6" t="s">
        <v>349</v>
      </c>
      <c r="S320" s="7">
        <v>826</v>
      </c>
      <c r="T320" s="7" t="s">
        <v>123</v>
      </c>
      <c r="U320" s="6" t="s">
        <v>125</v>
      </c>
      <c r="V320" s="6" t="s">
        <v>158</v>
      </c>
      <c r="W320" s="6" t="s">
        <v>160</v>
      </c>
      <c r="X320" s="6" t="s">
        <v>2060</v>
      </c>
      <c r="Y320" s="8" t="s">
        <v>3619</v>
      </c>
      <c r="Z320" s="8" t="s">
        <v>3620</v>
      </c>
      <c r="AA320" s="8" t="s">
        <v>3621</v>
      </c>
      <c r="AB320" s="6">
        <v>41814</v>
      </c>
      <c r="AC320" s="6">
        <v>41640</v>
      </c>
      <c r="AD320" s="6">
        <v>41814</v>
      </c>
      <c r="AE320" s="6" t="s">
        <v>478</v>
      </c>
      <c r="AF320" s="6" t="s">
        <v>178</v>
      </c>
      <c r="AG320" s="6" t="s">
        <v>180</v>
      </c>
      <c r="AH320" s="6" t="s">
        <v>187</v>
      </c>
      <c r="AI320" s="6" t="s">
        <v>244</v>
      </c>
      <c r="AJ320" s="6" t="s">
        <v>244</v>
      </c>
      <c r="AK320" s="6" t="s">
        <v>189</v>
      </c>
      <c r="AL320" s="6" t="s">
        <v>178</v>
      </c>
      <c r="AM320" s="6" t="s">
        <v>189</v>
      </c>
      <c r="AN320" s="6" t="s">
        <v>181</v>
      </c>
      <c r="AO320" s="6" t="s">
        <v>244</v>
      </c>
      <c r="AP320" s="6" t="s">
        <v>247</v>
      </c>
      <c r="AQ320" s="6" t="s">
        <v>288</v>
      </c>
      <c r="AR320" s="6" t="s">
        <v>189</v>
      </c>
      <c r="AS320" s="6" t="s">
        <v>244</v>
      </c>
      <c r="AT320" s="6" t="s">
        <v>244</v>
      </c>
      <c r="AU320" s="6" t="s">
        <v>244</v>
      </c>
      <c r="AV320" s="6" t="s">
        <v>244</v>
      </c>
      <c r="AW320" s="6" t="s">
        <v>442</v>
      </c>
      <c r="AX320" s="6" t="s">
        <v>247</v>
      </c>
    </row>
    <row r="321" spans="1:50">
      <c r="A321" s="6">
        <v>401</v>
      </c>
      <c r="B321" s="5" t="s">
        <v>3622</v>
      </c>
      <c r="C321" s="6">
        <v>5</v>
      </c>
      <c r="D321" s="6" t="s">
        <v>98</v>
      </c>
      <c r="E321" s="6">
        <v>1</v>
      </c>
      <c r="F321" s="6" t="s">
        <v>2061</v>
      </c>
      <c r="G321" s="6">
        <v>41988.92391203704</v>
      </c>
      <c r="H321" s="6">
        <v>41988.92391203704</v>
      </c>
      <c r="I321" s="6">
        <v>41988.92391203704</v>
      </c>
      <c r="J321" s="6" t="s">
        <v>103</v>
      </c>
      <c r="K321" s="6" t="s">
        <v>105</v>
      </c>
      <c r="L321" s="6" t="s">
        <v>2062</v>
      </c>
      <c r="M321" s="6" t="s">
        <v>352</v>
      </c>
      <c r="N321" s="6" t="s">
        <v>2063</v>
      </c>
      <c r="O321" s="6" t="s">
        <v>2064</v>
      </c>
      <c r="P321" s="6" t="s">
        <v>215</v>
      </c>
      <c r="Q321" s="6">
        <v>826</v>
      </c>
      <c r="R321" s="6" t="s">
        <v>349</v>
      </c>
      <c r="S321" s="7">
        <v>826</v>
      </c>
      <c r="T321" s="7" t="s">
        <v>123</v>
      </c>
      <c r="U321" s="6" t="s">
        <v>125</v>
      </c>
      <c r="V321" s="6" t="s">
        <v>158</v>
      </c>
      <c r="W321" s="6" t="s">
        <v>160</v>
      </c>
      <c r="X321" s="6" t="s">
        <v>2062</v>
      </c>
      <c r="Y321" s="8" t="s">
        <v>3623</v>
      </c>
      <c r="Z321" s="8" t="s">
        <v>3624</v>
      </c>
      <c r="AA321" s="8" t="s">
        <v>3625</v>
      </c>
      <c r="AC321" s="6">
        <v>40118</v>
      </c>
      <c r="AE321" s="6" t="s">
        <v>177</v>
      </c>
      <c r="AF321" s="6" t="s">
        <v>178</v>
      </c>
      <c r="AG321" s="6" t="s">
        <v>180</v>
      </c>
      <c r="AH321" s="6" t="s">
        <v>392</v>
      </c>
      <c r="AI321" s="6" t="s">
        <v>182</v>
      </c>
      <c r="AJ321" s="6" t="s">
        <v>393</v>
      </c>
      <c r="AK321" s="6" t="s">
        <v>189</v>
      </c>
      <c r="AL321" s="6" t="s">
        <v>247</v>
      </c>
      <c r="AM321" s="6" t="s">
        <v>244</v>
      </c>
      <c r="AN321" s="6" t="s">
        <v>181</v>
      </c>
      <c r="AO321" s="6" t="s">
        <v>185</v>
      </c>
      <c r="AP321" s="6" t="s">
        <v>247</v>
      </c>
      <c r="AQ321" s="6" t="s">
        <v>288</v>
      </c>
      <c r="AR321" s="6" t="s">
        <v>288</v>
      </c>
      <c r="AS321" s="6" t="s">
        <v>244</v>
      </c>
      <c r="AT321" s="6" t="s">
        <v>244</v>
      </c>
      <c r="AU321" s="6" t="s">
        <v>288</v>
      </c>
      <c r="AV321" s="6" t="s">
        <v>339</v>
      </c>
      <c r="AW321" s="6" t="s">
        <v>442</v>
      </c>
      <c r="AX321" s="6" t="s">
        <v>428</v>
      </c>
    </row>
    <row r="322" spans="1:50">
      <c r="A322" s="6">
        <v>697</v>
      </c>
      <c r="B322" s="5" t="s">
        <v>3626</v>
      </c>
      <c r="C322" s="6">
        <v>4</v>
      </c>
      <c r="D322" s="6" t="s">
        <v>98</v>
      </c>
      <c r="E322" s="6">
        <v>392</v>
      </c>
      <c r="F322" s="6" t="s">
        <v>2068</v>
      </c>
      <c r="G322" s="6">
        <v>42076.573275462964</v>
      </c>
      <c r="H322" s="6">
        <v>42076.573275462964</v>
      </c>
      <c r="I322" s="6">
        <v>42076.573275462964</v>
      </c>
      <c r="J322" s="6" t="s">
        <v>103</v>
      </c>
      <c r="K322" s="6" t="s">
        <v>105</v>
      </c>
      <c r="L322" s="6" t="s">
        <v>2069</v>
      </c>
      <c r="P322" s="6" t="s">
        <v>1903</v>
      </c>
      <c r="Q322" s="6">
        <v>826</v>
      </c>
      <c r="R322" s="6" t="s">
        <v>349</v>
      </c>
      <c r="S322" s="7">
        <v>826</v>
      </c>
      <c r="T322" s="7" t="s">
        <v>123</v>
      </c>
      <c r="U322" s="6" t="s">
        <v>125</v>
      </c>
      <c r="V322" s="6" t="s">
        <v>158</v>
      </c>
      <c r="W322" s="6" t="s">
        <v>160</v>
      </c>
      <c r="X322" s="6" t="s">
        <v>2069</v>
      </c>
      <c r="Y322" s="8" t="s">
        <v>3627</v>
      </c>
      <c r="Z322" s="8" t="s">
        <v>3628</v>
      </c>
      <c r="AA322" s="8" t="s">
        <v>3629</v>
      </c>
      <c r="AB322" s="6">
        <v>41779</v>
      </c>
      <c r="AC322" s="6">
        <v>41954</v>
      </c>
      <c r="AE322" s="6" t="s">
        <v>177</v>
      </c>
      <c r="AF322" s="6" t="s">
        <v>178</v>
      </c>
      <c r="AG322" s="6" t="s">
        <v>180</v>
      </c>
      <c r="AH322" s="6" t="s">
        <v>371</v>
      </c>
      <c r="AI322" s="6" t="s">
        <v>182</v>
      </c>
      <c r="AJ322" s="6" t="s">
        <v>393</v>
      </c>
      <c r="AK322" s="6" t="s">
        <v>244</v>
      </c>
      <c r="AL322" s="6" t="s">
        <v>178</v>
      </c>
      <c r="AM322" s="6" t="s">
        <v>244</v>
      </c>
      <c r="AN322" s="6" t="s">
        <v>181</v>
      </c>
      <c r="AO322" s="6" t="s">
        <v>244</v>
      </c>
      <c r="AP322" s="6" t="s">
        <v>247</v>
      </c>
      <c r="AQ322" s="6" t="s">
        <v>244</v>
      </c>
      <c r="AR322" s="6" t="s">
        <v>244</v>
      </c>
      <c r="AU322" s="6" t="s">
        <v>244</v>
      </c>
      <c r="AV322" s="6" t="s">
        <v>244</v>
      </c>
      <c r="AW322" s="6" t="s">
        <v>442</v>
      </c>
      <c r="AX322" s="6" t="s">
        <v>428</v>
      </c>
    </row>
    <row r="323" spans="1:50">
      <c r="A323" s="6">
        <v>403</v>
      </c>
      <c r="B323" s="5" t="s">
        <v>3630</v>
      </c>
      <c r="C323" s="6">
        <v>5</v>
      </c>
      <c r="D323" s="6" t="s">
        <v>98</v>
      </c>
      <c r="E323" s="6">
        <v>309</v>
      </c>
      <c r="F323" s="6" t="s">
        <v>2070</v>
      </c>
      <c r="G323" s="6">
        <v>41988.92392361111</v>
      </c>
      <c r="H323" s="6">
        <v>42046.981712962966</v>
      </c>
      <c r="I323" s="6">
        <v>41988.92392361111</v>
      </c>
      <c r="J323" s="6" t="s">
        <v>103</v>
      </c>
      <c r="K323" s="6" t="s">
        <v>105</v>
      </c>
      <c r="L323" s="6" t="s">
        <v>2071</v>
      </c>
      <c r="M323" s="6" t="s">
        <v>374</v>
      </c>
      <c r="O323" s="6" t="s">
        <v>2072</v>
      </c>
      <c r="P323" s="6" t="s">
        <v>215</v>
      </c>
      <c r="Q323" s="6">
        <v>826</v>
      </c>
      <c r="R323" s="6" t="s">
        <v>349</v>
      </c>
      <c r="S323" s="7">
        <v>826</v>
      </c>
      <c r="T323" s="7" t="s">
        <v>123</v>
      </c>
      <c r="U323" s="6" t="s">
        <v>125</v>
      </c>
      <c r="V323" s="6" t="s">
        <v>158</v>
      </c>
      <c r="W323" s="6" t="s">
        <v>160</v>
      </c>
      <c r="X323" s="6" t="s">
        <v>2071</v>
      </c>
      <c r="Y323" s="8" t="s">
        <v>3631</v>
      </c>
      <c r="Z323" s="8" t="s">
        <v>3632</v>
      </c>
      <c r="AA323" s="8" t="s">
        <v>3633</v>
      </c>
      <c r="AB323" s="6">
        <v>41426</v>
      </c>
      <c r="AC323" s="6">
        <v>41883</v>
      </c>
      <c r="AD323" s="6">
        <v>41821</v>
      </c>
      <c r="AE323" s="6" t="s">
        <v>177</v>
      </c>
      <c r="AF323" s="6" t="s">
        <v>178</v>
      </c>
      <c r="AG323" s="6" t="s">
        <v>180</v>
      </c>
      <c r="AH323" s="6" t="s">
        <v>187</v>
      </c>
      <c r="AI323" s="6" t="s">
        <v>182</v>
      </c>
      <c r="AJ323" s="6" t="s">
        <v>393</v>
      </c>
      <c r="AK323" s="6" t="s">
        <v>185</v>
      </c>
      <c r="AL323" s="6" t="s">
        <v>247</v>
      </c>
      <c r="AM323" s="6" t="s">
        <v>189</v>
      </c>
      <c r="AN323" s="6" t="s">
        <v>181</v>
      </c>
      <c r="AO323" s="6" t="s">
        <v>189</v>
      </c>
      <c r="AP323" s="6" t="s">
        <v>247</v>
      </c>
      <c r="AQ323" s="6" t="s">
        <v>244</v>
      </c>
      <c r="AR323" s="6" t="s">
        <v>288</v>
      </c>
      <c r="AS323" s="6" t="s">
        <v>244</v>
      </c>
      <c r="AT323" s="6" t="s">
        <v>244</v>
      </c>
      <c r="AU323" s="6" t="s">
        <v>244</v>
      </c>
      <c r="AV323" s="6" t="s">
        <v>244</v>
      </c>
      <c r="AW323" s="6" t="s">
        <v>371</v>
      </c>
      <c r="AX323" s="6" t="s">
        <v>521</v>
      </c>
    </row>
    <row r="324" spans="1:50">
      <c r="A324" s="6">
        <v>404</v>
      </c>
      <c r="B324" s="5" t="s">
        <v>3634</v>
      </c>
      <c r="C324" s="6">
        <v>5</v>
      </c>
      <c r="D324" s="6" t="s">
        <v>98</v>
      </c>
      <c r="E324" s="6">
        <v>1</v>
      </c>
      <c r="F324" s="6" t="s">
        <v>2073</v>
      </c>
      <c r="G324" s="6">
        <v>41988.92392361111</v>
      </c>
      <c r="H324" s="6">
        <v>42030.607800925929</v>
      </c>
      <c r="I324" s="6">
        <v>41988.92392361111</v>
      </c>
      <c r="J324" s="6" t="s">
        <v>103</v>
      </c>
      <c r="K324" s="6" t="s">
        <v>105</v>
      </c>
      <c r="L324" s="6" t="s">
        <v>2074</v>
      </c>
      <c r="M324" s="6" t="s">
        <v>374</v>
      </c>
      <c r="P324" s="6" t="s">
        <v>215</v>
      </c>
      <c r="Q324" s="6">
        <v>826</v>
      </c>
      <c r="R324" s="6" t="s">
        <v>349</v>
      </c>
      <c r="S324" s="7">
        <v>826</v>
      </c>
      <c r="T324" s="7" t="s">
        <v>123</v>
      </c>
      <c r="U324" s="6" t="s">
        <v>125</v>
      </c>
      <c r="V324" s="6" t="s">
        <v>158</v>
      </c>
      <c r="W324" s="6" t="s">
        <v>160</v>
      </c>
      <c r="X324" s="6" t="s">
        <v>2074</v>
      </c>
      <c r="Y324" s="8" t="s">
        <v>3635</v>
      </c>
      <c r="Z324" s="8" t="s">
        <v>3636</v>
      </c>
      <c r="AA324" s="8" t="s">
        <v>3637</v>
      </c>
      <c r="AC324" s="6">
        <v>40179</v>
      </c>
      <c r="AD324" s="6">
        <v>42005</v>
      </c>
      <c r="AE324" s="6" t="s">
        <v>177</v>
      </c>
      <c r="AF324" s="6" t="s">
        <v>178</v>
      </c>
      <c r="AG324" s="6" t="s">
        <v>180</v>
      </c>
      <c r="AH324" s="6" t="s">
        <v>187</v>
      </c>
      <c r="AI324" s="6" t="s">
        <v>182</v>
      </c>
      <c r="AJ324" s="6" t="s">
        <v>393</v>
      </c>
      <c r="AK324" s="6" t="s">
        <v>244</v>
      </c>
      <c r="AL324" s="6" t="s">
        <v>479</v>
      </c>
      <c r="AM324" s="6" t="s">
        <v>244</v>
      </c>
      <c r="AN324" s="6" t="s">
        <v>181</v>
      </c>
      <c r="AO324" s="6" t="s">
        <v>185</v>
      </c>
      <c r="AP324" s="6" t="s">
        <v>386</v>
      </c>
      <c r="AQ324" s="6" t="s">
        <v>288</v>
      </c>
      <c r="AR324" s="6" t="s">
        <v>288</v>
      </c>
      <c r="AS324" s="6" t="s">
        <v>395</v>
      </c>
      <c r="AT324" s="6" t="s">
        <v>459</v>
      </c>
      <c r="AU324" s="6" t="s">
        <v>244</v>
      </c>
      <c r="AV324" s="6" t="s">
        <v>244</v>
      </c>
      <c r="AW324" s="6" t="s">
        <v>244</v>
      </c>
      <c r="AX324" s="6" t="s">
        <v>247</v>
      </c>
    </row>
    <row r="325" spans="1:50">
      <c r="A325" s="6">
        <v>405</v>
      </c>
      <c r="B325" s="5" t="s">
        <v>3638</v>
      </c>
      <c r="C325" s="6">
        <v>3</v>
      </c>
      <c r="D325" s="6" t="s">
        <v>98</v>
      </c>
      <c r="E325" s="6">
        <v>1</v>
      </c>
      <c r="F325" s="6" t="s">
        <v>2075</v>
      </c>
      <c r="G325" s="6">
        <v>41988.92392361111</v>
      </c>
      <c r="H325" s="6">
        <v>41988.92392361111</v>
      </c>
      <c r="I325" s="6">
        <v>41988.92392361111</v>
      </c>
      <c r="J325" s="6" t="s">
        <v>103</v>
      </c>
      <c r="K325" s="6" t="s">
        <v>105</v>
      </c>
      <c r="L325" s="6" t="s">
        <v>2076</v>
      </c>
      <c r="M325" s="6" t="s">
        <v>374</v>
      </c>
      <c r="N325" s="6" t="s">
        <v>2077</v>
      </c>
      <c r="P325" s="6" t="s">
        <v>215</v>
      </c>
      <c r="Q325" s="6">
        <v>826</v>
      </c>
      <c r="R325" s="6" t="s">
        <v>349</v>
      </c>
      <c r="S325" s="7">
        <v>826</v>
      </c>
      <c r="T325" s="7" t="s">
        <v>123</v>
      </c>
      <c r="U325" s="6" t="s">
        <v>125</v>
      </c>
      <c r="V325" s="6" t="s">
        <v>158</v>
      </c>
      <c r="W325" s="6" t="s">
        <v>160</v>
      </c>
      <c r="X325" s="6" t="s">
        <v>2076</v>
      </c>
      <c r="Y325" s="8" t="s">
        <v>3639</v>
      </c>
      <c r="Z325" s="8" t="s">
        <v>3640</v>
      </c>
      <c r="AA325" s="8" t="s">
        <v>3641</v>
      </c>
      <c r="AC325" s="6">
        <v>39539</v>
      </c>
      <c r="AD325" s="6">
        <v>39904</v>
      </c>
      <c r="AE325" s="6" t="s">
        <v>177</v>
      </c>
      <c r="AF325" s="6" t="s">
        <v>178</v>
      </c>
      <c r="AG325" s="6" t="s">
        <v>180</v>
      </c>
      <c r="AH325" s="6" t="s">
        <v>244</v>
      </c>
      <c r="AI325" s="6" t="s">
        <v>182</v>
      </c>
      <c r="AJ325" s="6" t="s">
        <v>393</v>
      </c>
      <c r="AK325" s="6" t="s">
        <v>185</v>
      </c>
      <c r="AL325" s="6" t="s">
        <v>178</v>
      </c>
      <c r="AM325" s="6" t="s">
        <v>189</v>
      </c>
      <c r="AN325" s="6" t="s">
        <v>181</v>
      </c>
      <c r="AO325" s="6" t="s">
        <v>185</v>
      </c>
      <c r="AP325" s="6" t="s">
        <v>386</v>
      </c>
      <c r="AQ325" s="6" t="s">
        <v>288</v>
      </c>
      <c r="AR325" s="6" t="s">
        <v>288</v>
      </c>
      <c r="AS325" s="6" t="s">
        <v>244</v>
      </c>
      <c r="AT325" s="6" t="s">
        <v>244</v>
      </c>
      <c r="AU325" s="6" t="s">
        <v>288</v>
      </c>
      <c r="AV325" s="6" t="s">
        <v>339</v>
      </c>
      <c r="AW325" s="6" t="s">
        <v>244</v>
      </c>
      <c r="AX325" s="6" t="s">
        <v>247</v>
      </c>
    </row>
    <row r="326" spans="1:50">
      <c r="A326" s="6">
        <v>406</v>
      </c>
      <c r="B326" s="5" t="s">
        <v>3642</v>
      </c>
      <c r="C326" s="6">
        <v>3</v>
      </c>
      <c r="D326" s="6" t="s">
        <v>98</v>
      </c>
      <c r="E326" s="6">
        <v>1</v>
      </c>
      <c r="F326" s="6" t="s">
        <v>2078</v>
      </c>
      <c r="G326" s="6">
        <v>41988.92392361111</v>
      </c>
      <c r="H326" s="6">
        <v>41988.92392361111</v>
      </c>
      <c r="I326" s="6">
        <v>41988.92392361111</v>
      </c>
      <c r="J326" s="6" t="s">
        <v>103</v>
      </c>
      <c r="K326" s="6" t="s">
        <v>105</v>
      </c>
      <c r="L326" s="6" t="s">
        <v>2079</v>
      </c>
      <c r="M326" s="6" t="s">
        <v>374</v>
      </c>
      <c r="N326" s="6" t="s">
        <v>2080</v>
      </c>
      <c r="P326" s="6" t="s">
        <v>215</v>
      </c>
      <c r="Q326" s="6">
        <v>826</v>
      </c>
      <c r="R326" s="6" t="s">
        <v>349</v>
      </c>
      <c r="S326" s="7">
        <v>826</v>
      </c>
      <c r="T326" s="7" t="s">
        <v>123</v>
      </c>
      <c r="U326" s="6" t="s">
        <v>125</v>
      </c>
      <c r="V326" s="6" t="s">
        <v>158</v>
      </c>
      <c r="W326" s="6" t="s">
        <v>384</v>
      </c>
      <c r="X326" s="6" t="s">
        <v>2079</v>
      </c>
      <c r="Y326" s="8" t="s">
        <v>3643</v>
      </c>
      <c r="AA326" s="8" t="s">
        <v>3641</v>
      </c>
      <c r="AB326" s="6">
        <v>37657</v>
      </c>
      <c r="AC326" s="6">
        <v>37657</v>
      </c>
      <c r="AE326" s="6" t="s">
        <v>177</v>
      </c>
      <c r="AF326" s="6" t="s">
        <v>178</v>
      </c>
      <c r="AG326" s="6" t="s">
        <v>180</v>
      </c>
      <c r="AH326" s="6" t="s">
        <v>244</v>
      </c>
      <c r="AI326" s="6" t="s">
        <v>244</v>
      </c>
      <c r="AJ326" s="6" t="s">
        <v>244</v>
      </c>
      <c r="AK326" s="6" t="s">
        <v>244</v>
      </c>
      <c r="AL326" s="6" t="s">
        <v>247</v>
      </c>
      <c r="AM326" s="6" t="s">
        <v>244</v>
      </c>
      <c r="AN326" s="6" t="s">
        <v>247</v>
      </c>
      <c r="AO326" s="6" t="s">
        <v>244</v>
      </c>
      <c r="AP326" s="6" t="s">
        <v>247</v>
      </c>
      <c r="AQ326" s="6" t="s">
        <v>288</v>
      </c>
      <c r="AR326" s="6" t="s">
        <v>244</v>
      </c>
      <c r="AS326" s="6" t="s">
        <v>244</v>
      </c>
      <c r="AT326" s="6" t="s">
        <v>244</v>
      </c>
      <c r="AU326" s="6" t="s">
        <v>288</v>
      </c>
      <c r="AV326" s="6" t="s">
        <v>244</v>
      </c>
      <c r="AW326" s="6" t="s">
        <v>244</v>
      </c>
      <c r="AX326" s="6" t="s">
        <v>247</v>
      </c>
    </row>
    <row r="327" spans="1:50">
      <c r="A327" s="6">
        <v>407</v>
      </c>
      <c r="B327" s="5" t="s">
        <v>3644</v>
      </c>
      <c r="C327" s="6">
        <v>3</v>
      </c>
      <c r="D327" s="6" t="s">
        <v>98</v>
      </c>
      <c r="E327" s="6">
        <v>1</v>
      </c>
      <c r="F327" s="6" t="s">
        <v>2081</v>
      </c>
      <c r="G327" s="6">
        <v>41988.92392361111</v>
      </c>
      <c r="H327" s="6">
        <v>41988.92392361111</v>
      </c>
      <c r="I327" s="6">
        <v>41988.92392361111</v>
      </c>
      <c r="J327" s="6" t="s">
        <v>103</v>
      </c>
      <c r="K327" s="6" t="s">
        <v>105</v>
      </c>
      <c r="L327" s="6" t="s">
        <v>2082</v>
      </c>
      <c r="M327" s="6" t="s">
        <v>374</v>
      </c>
      <c r="P327" s="6" t="s">
        <v>215</v>
      </c>
      <c r="Q327" s="6">
        <v>826</v>
      </c>
      <c r="R327" s="6" t="s">
        <v>349</v>
      </c>
      <c r="S327" s="7">
        <v>826</v>
      </c>
      <c r="T327" s="7" t="s">
        <v>123</v>
      </c>
      <c r="U327" s="6" t="s">
        <v>125</v>
      </c>
      <c r="V327" s="6" t="s">
        <v>158</v>
      </c>
      <c r="W327" s="6" t="s">
        <v>160</v>
      </c>
      <c r="X327" s="6" t="s">
        <v>2082</v>
      </c>
      <c r="Y327" s="8" t="s">
        <v>3645</v>
      </c>
      <c r="Z327" s="8" t="s">
        <v>3646</v>
      </c>
      <c r="AA327" s="8" t="s">
        <v>3647</v>
      </c>
      <c r="AC327" s="6">
        <v>38991</v>
      </c>
      <c r="AE327" s="6" t="s">
        <v>177</v>
      </c>
      <c r="AF327" s="6" t="s">
        <v>178</v>
      </c>
      <c r="AG327" s="6" t="s">
        <v>180</v>
      </c>
      <c r="AH327" s="6" t="s">
        <v>244</v>
      </c>
      <c r="AI327" s="6" t="s">
        <v>385</v>
      </c>
      <c r="AJ327" s="6" t="s">
        <v>244</v>
      </c>
      <c r="AK327" s="6" t="s">
        <v>185</v>
      </c>
      <c r="AL327" s="6" t="s">
        <v>178</v>
      </c>
      <c r="AM327" s="6" t="s">
        <v>185</v>
      </c>
      <c r="AN327" s="6" t="s">
        <v>392</v>
      </c>
      <c r="AO327" s="6" t="s">
        <v>185</v>
      </c>
      <c r="AP327" s="6" t="s">
        <v>247</v>
      </c>
      <c r="AQ327" s="6" t="s">
        <v>288</v>
      </c>
      <c r="AR327" s="6" t="s">
        <v>185</v>
      </c>
      <c r="AS327" s="6" t="s">
        <v>244</v>
      </c>
      <c r="AT327" s="6" t="s">
        <v>244</v>
      </c>
      <c r="AU327" s="6" t="s">
        <v>288</v>
      </c>
      <c r="AV327" s="6" t="s">
        <v>339</v>
      </c>
      <c r="AW327" s="6" t="s">
        <v>244</v>
      </c>
      <c r="AX327" s="6" t="s">
        <v>371</v>
      </c>
    </row>
    <row r="328" spans="1:50">
      <c r="A328" s="6">
        <v>408</v>
      </c>
      <c r="B328" s="5" t="s">
        <v>3648</v>
      </c>
      <c r="C328" s="6">
        <v>3</v>
      </c>
      <c r="D328" s="6" t="s">
        <v>98</v>
      </c>
      <c r="E328" s="6">
        <v>1</v>
      </c>
      <c r="F328" s="6" t="s">
        <v>2083</v>
      </c>
      <c r="G328" s="6">
        <v>41988.92392361111</v>
      </c>
      <c r="H328" s="6">
        <v>41988.92392361111</v>
      </c>
      <c r="I328" s="6">
        <v>41988.92392361111</v>
      </c>
      <c r="J328" s="6" t="s">
        <v>103</v>
      </c>
      <c r="K328" s="6" t="s">
        <v>105</v>
      </c>
      <c r="L328" s="6" t="s">
        <v>2084</v>
      </c>
      <c r="M328" s="6" t="s">
        <v>374</v>
      </c>
      <c r="P328" s="6" t="s">
        <v>215</v>
      </c>
      <c r="Q328" s="6">
        <v>826</v>
      </c>
      <c r="R328" s="6" t="s">
        <v>349</v>
      </c>
      <c r="S328" s="7">
        <v>826</v>
      </c>
      <c r="T328" s="7" t="s">
        <v>123</v>
      </c>
      <c r="U328" s="6" t="s">
        <v>125</v>
      </c>
      <c r="V328" s="6" t="s">
        <v>158</v>
      </c>
      <c r="W328" s="6" t="s">
        <v>160</v>
      </c>
      <c r="X328" s="6" t="s">
        <v>2084</v>
      </c>
      <c r="Y328" s="8" t="s">
        <v>3649</v>
      </c>
      <c r="Z328" s="8" t="s">
        <v>3650</v>
      </c>
      <c r="AA328" s="8" t="s">
        <v>3651</v>
      </c>
      <c r="AB328" s="6">
        <v>38816</v>
      </c>
      <c r="AC328" s="6">
        <v>39083</v>
      </c>
      <c r="AD328" s="6">
        <v>41365</v>
      </c>
      <c r="AE328" s="6" t="s">
        <v>177</v>
      </c>
      <c r="AF328" s="6" t="s">
        <v>178</v>
      </c>
      <c r="AG328" s="6" t="s">
        <v>180</v>
      </c>
      <c r="AH328" s="6" t="s">
        <v>244</v>
      </c>
      <c r="AI328" s="6" t="s">
        <v>182</v>
      </c>
      <c r="AJ328" s="6" t="s">
        <v>393</v>
      </c>
      <c r="AK328" s="6" t="s">
        <v>244</v>
      </c>
      <c r="AL328" s="6" t="s">
        <v>178</v>
      </c>
      <c r="AM328" s="6" t="s">
        <v>244</v>
      </c>
      <c r="AN328" s="6" t="s">
        <v>181</v>
      </c>
      <c r="AO328" s="6" t="s">
        <v>185</v>
      </c>
      <c r="AP328" s="6" t="s">
        <v>386</v>
      </c>
      <c r="AQ328" s="6" t="s">
        <v>288</v>
      </c>
      <c r="AR328" s="6" t="s">
        <v>288</v>
      </c>
      <c r="AS328" s="6" t="s">
        <v>244</v>
      </c>
      <c r="AT328" s="6" t="s">
        <v>244</v>
      </c>
      <c r="AU328" s="6" t="s">
        <v>288</v>
      </c>
      <c r="AV328" s="6" t="s">
        <v>339</v>
      </c>
      <c r="AW328" s="6" t="s">
        <v>442</v>
      </c>
      <c r="AX328" s="6" t="s">
        <v>428</v>
      </c>
    </row>
    <row r="329" spans="1:50">
      <c r="A329" s="6">
        <v>409</v>
      </c>
      <c r="B329" s="5" t="s">
        <v>3652</v>
      </c>
      <c r="C329" s="6">
        <v>3</v>
      </c>
      <c r="D329" s="6" t="s">
        <v>98</v>
      </c>
      <c r="E329" s="6">
        <v>1</v>
      </c>
      <c r="F329" s="6" t="s">
        <v>2085</v>
      </c>
      <c r="G329" s="6">
        <v>41988.92392361111</v>
      </c>
      <c r="H329" s="6">
        <v>41988.92392361111</v>
      </c>
      <c r="I329" s="6">
        <v>41988.92392361111</v>
      </c>
      <c r="J329" s="6" t="s">
        <v>103</v>
      </c>
      <c r="K329" s="6" t="s">
        <v>105</v>
      </c>
      <c r="L329" s="6" t="s">
        <v>2086</v>
      </c>
      <c r="M329" s="6" t="s">
        <v>374</v>
      </c>
      <c r="P329" s="6" t="s">
        <v>215</v>
      </c>
      <c r="Q329" s="6">
        <v>826</v>
      </c>
      <c r="R329" s="6" t="s">
        <v>349</v>
      </c>
      <c r="S329" s="7">
        <v>826</v>
      </c>
      <c r="T329" s="7" t="s">
        <v>123</v>
      </c>
      <c r="U329" s="6" t="s">
        <v>125</v>
      </c>
      <c r="V329" s="6" t="s">
        <v>158</v>
      </c>
      <c r="W329" s="6" t="s">
        <v>160</v>
      </c>
      <c r="X329" s="6" t="s">
        <v>2086</v>
      </c>
      <c r="Y329" s="8" t="s">
        <v>3653</v>
      </c>
      <c r="Z329" s="8" t="s">
        <v>3654</v>
      </c>
      <c r="AA329" s="8" t="s">
        <v>3655</v>
      </c>
      <c r="AC329" s="6">
        <v>40087</v>
      </c>
      <c r="AE329" s="6" t="s">
        <v>177</v>
      </c>
      <c r="AF329" s="6" t="s">
        <v>178</v>
      </c>
      <c r="AG329" s="6" t="s">
        <v>180</v>
      </c>
      <c r="AH329" s="6" t="s">
        <v>244</v>
      </c>
      <c r="AI329" s="6" t="s">
        <v>182</v>
      </c>
      <c r="AJ329" s="6" t="s">
        <v>393</v>
      </c>
      <c r="AK329" s="6" t="s">
        <v>185</v>
      </c>
      <c r="AL329" s="6" t="s">
        <v>178</v>
      </c>
      <c r="AM329" s="6" t="s">
        <v>185</v>
      </c>
      <c r="AN329" s="6" t="s">
        <v>181</v>
      </c>
      <c r="AO329" s="6" t="s">
        <v>189</v>
      </c>
      <c r="AP329" s="6" t="s">
        <v>386</v>
      </c>
      <c r="AQ329" s="6" t="s">
        <v>288</v>
      </c>
      <c r="AR329" s="6" t="s">
        <v>288</v>
      </c>
      <c r="AS329" s="6" t="s">
        <v>244</v>
      </c>
      <c r="AT329" s="6" t="s">
        <v>244</v>
      </c>
      <c r="AU329" s="6" t="s">
        <v>288</v>
      </c>
      <c r="AV329" s="6" t="s">
        <v>339</v>
      </c>
      <c r="AW329" s="6" t="s">
        <v>244</v>
      </c>
      <c r="AX329" s="6" t="s">
        <v>371</v>
      </c>
    </row>
    <row r="330" spans="1:50">
      <c r="A330" s="6">
        <v>410</v>
      </c>
      <c r="B330" s="5" t="s">
        <v>3656</v>
      </c>
      <c r="C330" s="6">
        <v>3</v>
      </c>
      <c r="D330" s="6" t="s">
        <v>98</v>
      </c>
      <c r="E330" s="6">
        <v>1</v>
      </c>
      <c r="F330" s="6" t="s">
        <v>2087</v>
      </c>
      <c r="G330" s="6">
        <v>41988.92392361111</v>
      </c>
      <c r="H330" s="6">
        <v>41988.92392361111</v>
      </c>
      <c r="I330" s="6">
        <v>41988.92392361111</v>
      </c>
      <c r="J330" s="6" t="s">
        <v>103</v>
      </c>
      <c r="K330" s="6" t="s">
        <v>105</v>
      </c>
      <c r="L330" s="6" t="s">
        <v>2088</v>
      </c>
      <c r="M330" s="6" t="s">
        <v>374</v>
      </c>
      <c r="N330" s="6" t="s">
        <v>2089</v>
      </c>
      <c r="P330" s="6" t="s">
        <v>215</v>
      </c>
      <c r="Q330" s="6">
        <v>826</v>
      </c>
      <c r="R330" s="6" t="s">
        <v>349</v>
      </c>
      <c r="S330" s="7">
        <v>826</v>
      </c>
      <c r="T330" s="7" t="s">
        <v>123</v>
      </c>
      <c r="U330" s="6" t="s">
        <v>125</v>
      </c>
      <c r="V330" s="6" t="s">
        <v>158</v>
      </c>
      <c r="W330" s="6" t="s">
        <v>160</v>
      </c>
      <c r="X330" s="6" t="s">
        <v>2088</v>
      </c>
      <c r="Y330" s="8" t="s">
        <v>3657</v>
      </c>
      <c r="Z330" s="8" t="s">
        <v>3658</v>
      </c>
      <c r="AA330" s="8" t="s">
        <v>3659</v>
      </c>
      <c r="AB330" s="6">
        <v>38637</v>
      </c>
      <c r="AC330" s="6">
        <v>38626</v>
      </c>
      <c r="AD330" s="6">
        <v>40575</v>
      </c>
      <c r="AE330" s="6" t="s">
        <v>177</v>
      </c>
      <c r="AF330" s="6" t="s">
        <v>178</v>
      </c>
      <c r="AG330" s="6" t="s">
        <v>180</v>
      </c>
      <c r="AH330" s="6" t="s">
        <v>187</v>
      </c>
      <c r="AI330" s="6" t="s">
        <v>182</v>
      </c>
      <c r="AJ330" s="6" t="s">
        <v>393</v>
      </c>
      <c r="AK330" s="6" t="s">
        <v>185</v>
      </c>
      <c r="AL330" s="6" t="s">
        <v>178</v>
      </c>
      <c r="AM330" s="6" t="s">
        <v>244</v>
      </c>
      <c r="AN330" s="6" t="s">
        <v>181</v>
      </c>
      <c r="AO330" s="6" t="s">
        <v>185</v>
      </c>
      <c r="AP330" s="6" t="s">
        <v>386</v>
      </c>
      <c r="AQ330" s="6" t="s">
        <v>288</v>
      </c>
      <c r="AR330" s="6" t="s">
        <v>288</v>
      </c>
      <c r="AS330" s="6" t="s">
        <v>244</v>
      </c>
      <c r="AT330" s="6" t="s">
        <v>244</v>
      </c>
      <c r="AU330" s="6" t="s">
        <v>288</v>
      </c>
      <c r="AV330" s="6" t="s">
        <v>339</v>
      </c>
      <c r="AW330" s="6" t="s">
        <v>244</v>
      </c>
      <c r="AX330" s="6" t="s">
        <v>247</v>
      </c>
    </row>
    <row r="331" spans="1:50">
      <c r="A331" s="6">
        <v>411</v>
      </c>
      <c r="B331" s="5" t="s">
        <v>3660</v>
      </c>
      <c r="C331" s="6">
        <v>6</v>
      </c>
      <c r="D331" s="6" t="s">
        <v>98</v>
      </c>
      <c r="E331" s="6">
        <v>1</v>
      </c>
      <c r="F331" s="6" t="s">
        <v>2090</v>
      </c>
      <c r="G331" s="6">
        <v>41988.92392361111</v>
      </c>
      <c r="H331" s="6">
        <v>42066.890451388892</v>
      </c>
      <c r="I331" s="6">
        <v>41988.92392361111</v>
      </c>
      <c r="J331" s="6" t="s">
        <v>103</v>
      </c>
      <c r="K331" s="6" t="s">
        <v>105</v>
      </c>
      <c r="L331" s="6" t="s">
        <v>2091</v>
      </c>
      <c r="M331" s="6" t="s">
        <v>374</v>
      </c>
      <c r="N331" s="6" t="s">
        <v>2092</v>
      </c>
      <c r="O331" s="6" t="s">
        <v>2093</v>
      </c>
      <c r="P331" s="6" t="s">
        <v>1875</v>
      </c>
      <c r="Q331" s="6">
        <v>826</v>
      </c>
      <c r="R331" s="6" t="s">
        <v>349</v>
      </c>
      <c r="S331" s="7">
        <v>826</v>
      </c>
      <c r="T331" s="7" t="s">
        <v>123</v>
      </c>
      <c r="U331" s="6" t="s">
        <v>125</v>
      </c>
      <c r="V331" s="6" t="s">
        <v>158</v>
      </c>
      <c r="W331" s="6" t="s">
        <v>160</v>
      </c>
      <c r="X331" s="6" t="s">
        <v>2091</v>
      </c>
      <c r="Y331" s="8" t="s">
        <v>3661</v>
      </c>
      <c r="Z331" s="8" t="s">
        <v>3662</v>
      </c>
      <c r="AA331" s="8" t="s">
        <v>3663</v>
      </c>
      <c r="AB331" s="6">
        <v>2009</v>
      </c>
      <c r="AC331" s="6">
        <v>2009</v>
      </c>
      <c r="AD331" s="6">
        <v>2011</v>
      </c>
      <c r="AE331" s="6" t="s">
        <v>177</v>
      </c>
      <c r="AF331" s="6" t="s">
        <v>178</v>
      </c>
      <c r="AG331" s="6" t="s">
        <v>180</v>
      </c>
      <c r="AH331" s="6" t="s">
        <v>181</v>
      </c>
      <c r="AI331" s="6" t="s">
        <v>182</v>
      </c>
      <c r="AJ331" s="6" t="s">
        <v>393</v>
      </c>
      <c r="AK331" s="6" t="s">
        <v>189</v>
      </c>
      <c r="AL331" s="6" t="s">
        <v>479</v>
      </c>
      <c r="AM331" s="6" t="s">
        <v>189</v>
      </c>
      <c r="AN331" s="6" t="s">
        <v>181</v>
      </c>
      <c r="AO331" s="6" t="s">
        <v>244</v>
      </c>
      <c r="AP331" s="6" t="s">
        <v>247</v>
      </c>
      <c r="AQ331" s="6" t="s">
        <v>288</v>
      </c>
      <c r="AR331" s="6" t="s">
        <v>288</v>
      </c>
      <c r="AS331" s="6" t="s">
        <v>244</v>
      </c>
      <c r="AT331" s="6" t="s">
        <v>244</v>
      </c>
      <c r="AU331" s="6" t="s">
        <v>288</v>
      </c>
      <c r="AW331" s="6" t="s">
        <v>244</v>
      </c>
      <c r="AX331" s="6" t="s">
        <v>247</v>
      </c>
    </row>
    <row r="332" spans="1:50">
      <c r="A332" s="6">
        <v>412</v>
      </c>
      <c r="B332" s="5" t="s">
        <v>3664</v>
      </c>
      <c r="C332" s="6">
        <v>4</v>
      </c>
      <c r="D332" s="6" t="s">
        <v>98</v>
      </c>
      <c r="E332" s="6">
        <v>1</v>
      </c>
      <c r="F332" s="6" t="s">
        <v>2094</v>
      </c>
      <c r="G332" s="6">
        <v>41988.923935185187</v>
      </c>
      <c r="H332" s="6">
        <v>41988.923935185187</v>
      </c>
      <c r="I332" s="6">
        <v>41988.923935185187</v>
      </c>
      <c r="J332" s="6" t="s">
        <v>103</v>
      </c>
      <c r="K332" s="6" t="s">
        <v>105</v>
      </c>
      <c r="L332" s="6" t="s">
        <v>2095</v>
      </c>
      <c r="M332" s="6" t="s">
        <v>374</v>
      </c>
      <c r="N332" s="6" t="s">
        <v>2096</v>
      </c>
      <c r="O332" s="6" t="s">
        <v>2097</v>
      </c>
      <c r="P332" s="6" t="s">
        <v>215</v>
      </c>
      <c r="Q332" s="6">
        <v>826</v>
      </c>
      <c r="R332" s="6" t="s">
        <v>349</v>
      </c>
      <c r="S332" s="7">
        <v>826</v>
      </c>
      <c r="T332" s="7" t="s">
        <v>123</v>
      </c>
      <c r="U332" s="6" t="s">
        <v>125</v>
      </c>
      <c r="V332" s="6" t="s">
        <v>158</v>
      </c>
      <c r="W332" s="6" t="s">
        <v>160</v>
      </c>
      <c r="X332" s="6" t="s">
        <v>2095</v>
      </c>
      <c r="Y332" s="8" t="s">
        <v>3665</v>
      </c>
      <c r="Z332" s="8" t="s">
        <v>3666</v>
      </c>
      <c r="AA332" s="8" t="s">
        <v>3667</v>
      </c>
      <c r="AC332" s="6">
        <v>41275</v>
      </c>
      <c r="AE332" s="6" t="s">
        <v>177</v>
      </c>
      <c r="AF332" s="6" t="s">
        <v>178</v>
      </c>
      <c r="AG332" s="6" t="s">
        <v>180</v>
      </c>
      <c r="AH332" s="6" t="s">
        <v>392</v>
      </c>
      <c r="AI332" s="6" t="s">
        <v>182</v>
      </c>
      <c r="AJ332" s="6" t="s">
        <v>393</v>
      </c>
      <c r="AK332" s="6" t="s">
        <v>189</v>
      </c>
      <c r="AL332" s="6" t="s">
        <v>178</v>
      </c>
      <c r="AM332" s="6" t="s">
        <v>189</v>
      </c>
      <c r="AN332" s="6" t="s">
        <v>181</v>
      </c>
      <c r="AO332" s="6" t="s">
        <v>185</v>
      </c>
      <c r="AP332" s="6" t="s">
        <v>386</v>
      </c>
      <c r="AQ332" s="6" t="s">
        <v>288</v>
      </c>
      <c r="AR332" s="6" t="s">
        <v>288</v>
      </c>
      <c r="AS332" s="6" t="s">
        <v>244</v>
      </c>
      <c r="AT332" s="6" t="s">
        <v>244</v>
      </c>
      <c r="AU332" s="6" t="s">
        <v>288</v>
      </c>
      <c r="AV332" s="6" t="s">
        <v>339</v>
      </c>
      <c r="AW332" s="6" t="s">
        <v>442</v>
      </c>
      <c r="AX332" s="6" t="s">
        <v>371</v>
      </c>
    </row>
    <row r="333" spans="1:50">
      <c r="A333" s="6">
        <v>413</v>
      </c>
      <c r="B333" s="5" t="s">
        <v>3668</v>
      </c>
      <c r="C333" s="6">
        <v>3</v>
      </c>
      <c r="D333" s="6" t="s">
        <v>98</v>
      </c>
      <c r="E333" s="6">
        <v>1</v>
      </c>
      <c r="F333" s="6" t="s">
        <v>2098</v>
      </c>
      <c r="G333" s="6">
        <v>41988.923935185187</v>
      </c>
      <c r="H333" s="6">
        <v>41988.923935185187</v>
      </c>
      <c r="I333" s="6">
        <v>41988.923935185187</v>
      </c>
      <c r="J333" s="6" t="s">
        <v>103</v>
      </c>
      <c r="K333" s="6" t="s">
        <v>105</v>
      </c>
      <c r="L333" s="6" t="s">
        <v>2099</v>
      </c>
      <c r="M333" s="6" t="s">
        <v>374</v>
      </c>
      <c r="P333" s="6" t="s">
        <v>215</v>
      </c>
      <c r="Q333" s="6">
        <v>826</v>
      </c>
      <c r="R333" s="6" t="s">
        <v>349</v>
      </c>
      <c r="S333" s="7">
        <v>826</v>
      </c>
      <c r="T333" s="7" t="s">
        <v>123</v>
      </c>
      <c r="U333" s="6" t="s">
        <v>125</v>
      </c>
      <c r="V333" s="6" t="s">
        <v>158</v>
      </c>
      <c r="W333" s="6" t="s">
        <v>160</v>
      </c>
      <c r="X333" s="6" t="s">
        <v>2099</v>
      </c>
      <c r="Y333" s="8" t="s">
        <v>3669</v>
      </c>
      <c r="Z333" s="8" t="s">
        <v>3670</v>
      </c>
      <c r="AA333" s="8" t="s">
        <v>3671</v>
      </c>
      <c r="AC333" s="6">
        <v>39083</v>
      </c>
      <c r="AE333" s="6" t="s">
        <v>177</v>
      </c>
      <c r="AF333" s="6" t="s">
        <v>178</v>
      </c>
      <c r="AG333" s="6" t="s">
        <v>180</v>
      </c>
      <c r="AH333" s="6" t="s">
        <v>187</v>
      </c>
      <c r="AI333" s="6" t="s">
        <v>182</v>
      </c>
      <c r="AJ333" s="6" t="s">
        <v>393</v>
      </c>
      <c r="AK333" s="6" t="s">
        <v>185</v>
      </c>
      <c r="AL333" s="6" t="s">
        <v>178</v>
      </c>
      <c r="AM333" s="6" t="s">
        <v>244</v>
      </c>
      <c r="AN333" s="6" t="s">
        <v>247</v>
      </c>
      <c r="AO333" s="6" t="s">
        <v>185</v>
      </c>
      <c r="AP333" s="6" t="s">
        <v>386</v>
      </c>
      <c r="AQ333" s="6" t="s">
        <v>288</v>
      </c>
      <c r="AR333" s="6" t="s">
        <v>288</v>
      </c>
      <c r="AS333" s="6" t="s">
        <v>244</v>
      </c>
      <c r="AT333" s="6" t="s">
        <v>244</v>
      </c>
      <c r="AU333" s="6" t="s">
        <v>288</v>
      </c>
      <c r="AV333" s="6" t="s">
        <v>339</v>
      </c>
      <c r="AW333" s="6" t="s">
        <v>244</v>
      </c>
      <c r="AX333" s="6" t="s">
        <v>247</v>
      </c>
    </row>
    <row r="334" spans="1:50">
      <c r="A334" s="6">
        <v>699</v>
      </c>
      <c r="B334" s="5" t="s">
        <v>3672</v>
      </c>
      <c r="C334" s="6">
        <v>4</v>
      </c>
      <c r="D334" s="6" t="s">
        <v>98</v>
      </c>
      <c r="E334" s="6">
        <v>392</v>
      </c>
      <c r="F334" s="6" t="s">
        <v>2100</v>
      </c>
      <c r="G334" s="6">
        <v>42076.573564814818</v>
      </c>
      <c r="H334" s="6">
        <v>42076.573564814818</v>
      </c>
      <c r="I334" s="6">
        <v>42076.573564814818</v>
      </c>
      <c r="J334" s="6" t="s">
        <v>103</v>
      </c>
      <c r="K334" s="6" t="s">
        <v>105</v>
      </c>
      <c r="L334" s="6" t="s">
        <v>2101</v>
      </c>
      <c r="P334" s="6" t="s">
        <v>1903</v>
      </c>
      <c r="Q334" s="6">
        <v>826</v>
      </c>
      <c r="R334" s="6" t="s">
        <v>349</v>
      </c>
      <c r="S334" s="7">
        <v>826</v>
      </c>
      <c r="T334" s="7" t="s">
        <v>123</v>
      </c>
      <c r="U334" s="6" t="s">
        <v>125</v>
      </c>
      <c r="V334" s="6" t="s">
        <v>158</v>
      </c>
      <c r="W334" s="6" t="s">
        <v>160</v>
      </c>
      <c r="X334" s="6" t="s">
        <v>2101</v>
      </c>
      <c r="Y334" s="8" t="s">
        <v>3673</v>
      </c>
      <c r="Z334" s="8" t="s">
        <v>3674</v>
      </c>
      <c r="AA334" s="8" t="s">
        <v>3675</v>
      </c>
      <c r="AB334" s="6">
        <v>41000</v>
      </c>
      <c r="AC334" s="6">
        <v>41730</v>
      </c>
      <c r="AE334" s="6" t="s">
        <v>177</v>
      </c>
      <c r="AF334" s="6" t="s">
        <v>178</v>
      </c>
      <c r="AG334" s="6" t="s">
        <v>180</v>
      </c>
      <c r="AH334" s="6" t="s">
        <v>371</v>
      </c>
      <c r="AI334" s="6" t="s">
        <v>182</v>
      </c>
      <c r="AJ334" s="6" t="s">
        <v>393</v>
      </c>
      <c r="AK334" s="6" t="s">
        <v>244</v>
      </c>
      <c r="AL334" s="6" t="s">
        <v>247</v>
      </c>
      <c r="AM334" s="6" t="s">
        <v>244</v>
      </c>
      <c r="AN334" s="6" t="s">
        <v>181</v>
      </c>
      <c r="AO334" s="6" t="s">
        <v>244</v>
      </c>
      <c r="AP334" s="6" t="s">
        <v>247</v>
      </c>
      <c r="AQ334" s="6" t="s">
        <v>244</v>
      </c>
      <c r="AR334" s="6" t="s">
        <v>244</v>
      </c>
      <c r="AS334" s="6" t="s">
        <v>244</v>
      </c>
      <c r="AT334" s="6" t="s">
        <v>244</v>
      </c>
      <c r="AU334" s="6" t="s">
        <v>244</v>
      </c>
      <c r="AV334" s="6" t="s">
        <v>244</v>
      </c>
      <c r="AW334" s="6" t="s">
        <v>442</v>
      </c>
      <c r="AX334" s="6" t="s">
        <v>428</v>
      </c>
    </row>
    <row r="335" spans="1:50">
      <c r="A335" s="6">
        <v>700</v>
      </c>
      <c r="B335" s="5" t="s">
        <v>3676</v>
      </c>
      <c r="C335" s="6">
        <v>4</v>
      </c>
      <c r="D335" s="6" t="s">
        <v>98</v>
      </c>
      <c r="E335" s="6">
        <v>392</v>
      </c>
      <c r="F335" s="6" t="s">
        <v>2102</v>
      </c>
      <c r="G335" s="6">
        <v>42076.57371527778</v>
      </c>
      <c r="H335" s="6">
        <v>42076.57371527778</v>
      </c>
      <c r="I335" s="6">
        <v>42076.57371527778</v>
      </c>
      <c r="J335" s="6" t="s">
        <v>103</v>
      </c>
      <c r="K335" s="6" t="s">
        <v>105</v>
      </c>
      <c r="L335" s="6" t="s">
        <v>2103</v>
      </c>
      <c r="P335" s="6" t="s">
        <v>1903</v>
      </c>
      <c r="Q335" s="6">
        <v>826</v>
      </c>
      <c r="R335" s="6" t="s">
        <v>349</v>
      </c>
      <c r="S335" s="7">
        <v>826</v>
      </c>
      <c r="T335" s="7" t="s">
        <v>123</v>
      </c>
      <c r="U335" s="6" t="s">
        <v>125</v>
      </c>
      <c r="V335" s="6" t="s">
        <v>158</v>
      </c>
      <c r="W335" s="6" t="s">
        <v>160</v>
      </c>
      <c r="X335" s="6" t="s">
        <v>2103</v>
      </c>
      <c r="Y335" s="8" t="s">
        <v>3677</v>
      </c>
      <c r="Z335" s="8" t="s">
        <v>3678</v>
      </c>
      <c r="AA335" s="8" t="s">
        <v>3613</v>
      </c>
      <c r="AB335" s="6">
        <v>41801</v>
      </c>
      <c r="AE335" s="6" t="s">
        <v>177</v>
      </c>
      <c r="AF335" s="6" t="s">
        <v>178</v>
      </c>
      <c r="AG335" s="6" t="s">
        <v>180</v>
      </c>
      <c r="AH335" s="6" t="s">
        <v>371</v>
      </c>
      <c r="AI335" s="6" t="s">
        <v>182</v>
      </c>
      <c r="AJ335" s="6" t="s">
        <v>393</v>
      </c>
      <c r="AK335" s="6" t="s">
        <v>189</v>
      </c>
      <c r="AL335" s="6" t="s">
        <v>178</v>
      </c>
      <c r="AM335" s="6" t="s">
        <v>189</v>
      </c>
      <c r="AN335" s="6" t="s">
        <v>181</v>
      </c>
      <c r="AO335" s="6" t="s">
        <v>244</v>
      </c>
      <c r="AP335" s="6" t="s">
        <v>386</v>
      </c>
      <c r="AQ335" s="6" t="s">
        <v>244</v>
      </c>
      <c r="AR335" s="6" t="s">
        <v>189</v>
      </c>
      <c r="AS335" s="6" t="s">
        <v>244</v>
      </c>
      <c r="AT335" s="6" t="s">
        <v>244</v>
      </c>
      <c r="AU335" s="6" t="s">
        <v>244</v>
      </c>
      <c r="AV335" s="6" t="s">
        <v>371</v>
      </c>
      <c r="AW335" s="6" t="s">
        <v>442</v>
      </c>
      <c r="AX335" s="6" t="s">
        <v>521</v>
      </c>
    </row>
    <row r="336" spans="1:50">
      <c r="A336" s="6">
        <v>637</v>
      </c>
      <c r="B336" s="5" t="s">
        <v>3679</v>
      </c>
      <c r="C336" s="6">
        <v>4</v>
      </c>
      <c r="D336" s="6" t="s">
        <v>98</v>
      </c>
      <c r="E336" s="6">
        <v>1</v>
      </c>
      <c r="F336" s="6" t="s">
        <v>2108</v>
      </c>
      <c r="G336" s="6">
        <v>41988.924270833333</v>
      </c>
      <c r="H336" s="6">
        <v>42066.921388888892</v>
      </c>
      <c r="I336" s="6">
        <v>41988.924270833333</v>
      </c>
      <c r="J336" s="6" t="s">
        <v>103</v>
      </c>
      <c r="K336" s="6" t="s">
        <v>105</v>
      </c>
      <c r="L336" s="6" t="s">
        <v>2109</v>
      </c>
      <c r="N336" s="6" t="s">
        <v>2110</v>
      </c>
      <c r="P336" s="6" t="s">
        <v>215</v>
      </c>
      <c r="Q336" s="6">
        <v>826</v>
      </c>
      <c r="R336" s="6" t="s">
        <v>349</v>
      </c>
      <c r="S336" s="7">
        <v>826</v>
      </c>
      <c r="T336" s="7" t="s">
        <v>123</v>
      </c>
      <c r="U336" s="6" t="s">
        <v>125</v>
      </c>
      <c r="V336" s="6" t="s">
        <v>158</v>
      </c>
      <c r="W336" s="6" t="s">
        <v>376</v>
      </c>
      <c r="X336" s="6" t="s">
        <v>2109</v>
      </c>
      <c r="Y336" s="8" t="s">
        <v>3680</v>
      </c>
      <c r="Z336" s="8" t="s">
        <v>3681</v>
      </c>
      <c r="AA336" s="6" t="s">
        <v>2111</v>
      </c>
      <c r="AD336" s="6">
        <v>41088</v>
      </c>
      <c r="AE336" s="6" t="s">
        <v>244</v>
      </c>
      <c r="AF336" s="6" t="s">
        <v>178</v>
      </c>
      <c r="AG336" s="6" t="s">
        <v>463</v>
      </c>
      <c r="AH336" s="6" t="s">
        <v>371</v>
      </c>
      <c r="AI336" s="6" t="s">
        <v>182</v>
      </c>
      <c r="AJ336" s="6" t="s">
        <v>244</v>
      </c>
      <c r="AK336" s="6" t="s">
        <v>244</v>
      </c>
      <c r="AL336" s="6" t="s">
        <v>178</v>
      </c>
      <c r="AM336" s="6" t="s">
        <v>244</v>
      </c>
      <c r="AN336" s="6" t="s">
        <v>371</v>
      </c>
      <c r="AO336" s="6" t="s">
        <v>244</v>
      </c>
      <c r="AP336" s="6" t="s">
        <v>386</v>
      </c>
      <c r="AQ336" s="6" t="s">
        <v>288</v>
      </c>
      <c r="AR336" s="6" t="s">
        <v>288</v>
      </c>
      <c r="AS336" s="6" t="s">
        <v>379</v>
      </c>
      <c r="AT336" s="6" t="s">
        <v>379</v>
      </c>
      <c r="AU336" s="6" t="s">
        <v>244</v>
      </c>
      <c r="AV336" s="6" t="s">
        <v>371</v>
      </c>
      <c r="AW336" s="6" t="s">
        <v>341</v>
      </c>
      <c r="AX336" s="6" t="s">
        <v>521</v>
      </c>
    </row>
    <row r="337" spans="1:50">
      <c r="A337" s="6">
        <v>701</v>
      </c>
      <c r="B337" s="5" t="s">
        <v>3682</v>
      </c>
      <c r="C337" s="6">
        <v>4</v>
      </c>
      <c r="D337" s="6" t="s">
        <v>98</v>
      </c>
      <c r="E337" s="6">
        <v>392</v>
      </c>
      <c r="F337" s="6" t="s">
        <v>2112</v>
      </c>
      <c r="G337" s="6">
        <v>42076.573854166665</v>
      </c>
      <c r="H337" s="6">
        <v>42076.573854166665</v>
      </c>
      <c r="I337" s="6">
        <v>42076.573854166665</v>
      </c>
      <c r="J337" s="6" t="s">
        <v>103</v>
      </c>
      <c r="K337" s="6" t="s">
        <v>105</v>
      </c>
      <c r="L337" s="6" t="s">
        <v>2113</v>
      </c>
      <c r="P337" s="6" t="s">
        <v>1903</v>
      </c>
      <c r="Q337" s="6">
        <v>826</v>
      </c>
      <c r="R337" s="6" t="s">
        <v>349</v>
      </c>
      <c r="S337" s="7">
        <v>826</v>
      </c>
      <c r="T337" s="7" t="s">
        <v>123</v>
      </c>
      <c r="U337" s="6" t="s">
        <v>125</v>
      </c>
      <c r="V337" s="6" t="s">
        <v>158</v>
      </c>
      <c r="W337" s="6" t="s">
        <v>160</v>
      </c>
      <c r="X337" s="6" t="s">
        <v>2113</v>
      </c>
      <c r="Y337" s="8" t="s">
        <v>3683</v>
      </c>
      <c r="Z337" s="8" t="s">
        <v>3684</v>
      </c>
      <c r="AA337" s="8" t="s">
        <v>3685</v>
      </c>
      <c r="AC337" s="6">
        <v>42005</v>
      </c>
      <c r="AE337" s="6" t="s">
        <v>177</v>
      </c>
      <c r="AF337" s="6" t="s">
        <v>178</v>
      </c>
      <c r="AG337" s="6" t="s">
        <v>180</v>
      </c>
      <c r="AH337" s="6" t="s">
        <v>371</v>
      </c>
      <c r="AI337" s="6" t="s">
        <v>182</v>
      </c>
      <c r="AJ337" s="6" t="s">
        <v>393</v>
      </c>
      <c r="AK337" s="6" t="s">
        <v>244</v>
      </c>
      <c r="AL337" s="6" t="s">
        <v>178</v>
      </c>
      <c r="AM337" s="6" t="s">
        <v>244</v>
      </c>
      <c r="AN337" s="6" t="s">
        <v>181</v>
      </c>
      <c r="AO337" s="6" t="s">
        <v>244</v>
      </c>
      <c r="AP337" s="6" t="s">
        <v>247</v>
      </c>
      <c r="AQ337" s="6" t="s">
        <v>244</v>
      </c>
      <c r="AR337" s="6" t="s">
        <v>244</v>
      </c>
      <c r="AS337" s="6" t="s">
        <v>244</v>
      </c>
      <c r="AT337" s="6" t="s">
        <v>244</v>
      </c>
      <c r="AU337" s="6" t="s">
        <v>244</v>
      </c>
      <c r="AV337" s="6" t="s">
        <v>520</v>
      </c>
      <c r="AW337" s="6" t="s">
        <v>442</v>
      </c>
      <c r="AX337" s="6" t="s">
        <v>428</v>
      </c>
    </row>
    <row r="338" spans="1:50">
      <c r="A338" s="6">
        <v>444</v>
      </c>
      <c r="B338" s="5" t="s">
        <v>3686</v>
      </c>
      <c r="C338" s="6">
        <v>3</v>
      </c>
      <c r="D338" s="6" t="s">
        <v>98</v>
      </c>
      <c r="E338" s="6">
        <v>1</v>
      </c>
      <c r="F338" s="6" t="s">
        <v>2114</v>
      </c>
      <c r="G338" s="6">
        <v>41988.92396990741</v>
      </c>
      <c r="H338" s="6">
        <v>41988.92396990741</v>
      </c>
      <c r="I338" s="6">
        <v>41988.92396990741</v>
      </c>
      <c r="J338" s="6" t="s">
        <v>103</v>
      </c>
      <c r="K338" s="6" t="s">
        <v>105</v>
      </c>
      <c r="L338" s="6" t="s">
        <v>2115</v>
      </c>
      <c r="M338" s="6" t="s">
        <v>374</v>
      </c>
      <c r="N338" s="6" t="s">
        <v>2116</v>
      </c>
      <c r="P338" s="6" t="s">
        <v>215</v>
      </c>
      <c r="Q338" s="6">
        <v>840</v>
      </c>
      <c r="R338" s="6" t="s">
        <v>359</v>
      </c>
      <c r="S338" s="7">
        <v>840</v>
      </c>
      <c r="T338" s="7" t="s">
        <v>2518</v>
      </c>
      <c r="U338" s="6" t="s">
        <v>66</v>
      </c>
      <c r="V338" s="6" t="s">
        <v>158</v>
      </c>
      <c r="W338" s="6" t="s">
        <v>160</v>
      </c>
      <c r="X338" s="6" t="s">
        <v>2115</v>
      </c>
      <c r="Y338" s="8" t="s">
        <v>3687</v>
      </c>
      <c r="Z338" s="8" t="s">
        <v>3688</v>
      </c>
      <c r="AA338" s="8" t="s">
        <v>3689</v>
      </c>
      <c r="AB338" s="6">
        <v>41323</v>
      </c>
      <c r="AC338" s="6">
        <v>41395</v>
      </c>
      <c r="AE338" s="6" t="s">
        <v>177</v>
      </c>
      <c r="AF338" s="6" t="s">
        <v>178</v>
      </c>
      <c r="AG338" s="6" t="s">
        <v>180</v>
      </c>
      <c r="AH338" s="6" t="s">
        <v>392</v>
      </c>
      <c r="AI338" s="6" t="s">
        <v>182</v>
      </c>
      <c r="AJ338" s="6" t="s">
        <v>393</v>
      </c>
      <c r="AK338" s="6" t="s">
        <v>185</v>
      </c>
      <c r="AL338" s="6" t="s">
        <v>178</v>
      </c>
      <c r="AM338" s="6" t="s">
        <v>189</v>
      </c>
      <c r="AN338" s="6" t="s">
        <v>181</v>
      </c>
      <c r="AO338" s="6" t="s">
        <v>185</v>
      </c>
      <c r="AP338" s="6" t="s">
        <v>648</v>
      </c>
      <c r="AQ338" s="6" t="s">
        <v>189</v>
      </c>
      <c r="AR338" s="6" t="s">
        <v>189</v>
      </c>
      <c r="AS338" s="6" t="s">
        <v>379</v>
      </c>
      <c r="AT338" s="6" t="s">
        <v>395</v>
      </c>
      <c r="AU338" s="6" t="s">
        <v>288</v>
      </c>
      <c r="AV338" s="6" t="s">
        <v>339</v>
      </c>
      <c r="AW338" s="6" t="s">
        <v>442</v>
      </c>
      <c r="AX338" s="6" t="s">
        <v>428</v>
      </c>
    </row>
    <row r="339" spans="1:50">
      <c r="A339" s="6">
        <v>445</v>
      </c>
      <c r="B339" s="5" t="s">
        <v>3690</v>
      </c>
      <c r="C339" s="6">
        <v>3</v>
      </c>
      <c r="D339" s="6" t="s">
        <v>98</v>
      </c>
      <c r="E339" s="6">
        <v>1</v>
      </c>
      <c r="F339" s="6" t="s">
        <v>2117</v>
      </c>
      <c r="G339" s="6">
        <v>41988.92396990741</v>
      </c>
      <c r="H339" s="6">
        <v>41988.92396990741</v>
      </c>
      <c r="I339" s="6">
        <v>41988.92396990741</v>
      </c>
      <c r="J339" s="6" t="s">
        <v>103</v>
      </c>
      <c r="K339" s="6" t="s">
        <v>105</v>
      </c>
      <c r="L339" s="6" t="s">
        <v>2118</v>
      </c>
      <c r="M339" s="6" t="s">
        <v>374</v>
      </c>
      <c r="N339" s="6" t="s">
        <v>2119</v>
      </c>
      <c r="O339" s="6" t="s">
        <v>2120</v>
      </c>
      <c r="P339" s="6" t="s">
        <v>215</v>
      </c>
      <c r="Q339" s="6">
        <v>840</v>
      </c>
      <c r="R339" s="6" t="s">
        <v>359</v>
      </c>
      <c r="S339" s="7">
        <v>840</v>
      </c>
      <c r="T339" s="7" t="s">
        <v>2518</v>
      </c>
      <c r="U339" s="6" t="s">
        <v>66</v>
      </c>
      <c r="V339" s="6" t="s">
        <v>158</v>
      </c>
      <c r="W339" s="6" t="s">
        <v>160</v>
      </c>
      <c r="X339" s="6" t="s">
        <v>2118</v>
      </c>
      <c r="Y339" s="8" t="s">
        <v>3691</v>
      </c>
      <c r="Z339" s="8" t="s">
        <v>3692</v>
      </c>
      <c r="AB339" s="6">
        <v>41338</v>
      </c>
      <c r="AE339" s="6" t="s">
        <v>244</v>
      </c>
      <c r="AF339" s="6" t="s">
        <v>178</v>
      </c>
      <c r="AG339" s="6" t="s">
        <v>180</v>
      </c>
      <c r="AH339" s="6" t="s">
        <v>392</v>
      </c>
      <c r="AI339" s="6" t="s">
        <v>182</v>
      </c>
      <c r="AJ339" s="6" t="s">
        <v>393</v>
      </c>
      <c r="AK339" s="6" t="s">
        <v>189</v>
      </c>
      <c r="AL339" s="6" t="s">
        <v>178</v>
      </c>
      <c r="AM339" s="6" t="s">
        <v>189</v>
      </c>
      <c r="AN339" s="6" t="s">
        <v>247</v>
      </c>
      <c r="AO339" s="6" t="s">
        <v>244</v>
      </c>
      <c r="AP339" s="6" t="s">
        <v>648</v>
      </c>
      <c r="AQ339" s="6" t="s">
        <v>189</v>
      </c>
      <c r="AR339" s="6" t="s">
        <v>189</v>
      </c>
      <c r="AS339" s="6" t="s">
        <v>244</v>
      </c>
      <c r="AT339" s="6" t="s">
        <v>244</v>
      </c>
      <c r="AU339" s="6" t="s">
        <v>288</v>
      </c>
      <c r="AV339" s="6" t="s">
        <v>339</v>
      </c>
      <c r="AW339" s="6" t="s">
        <v>341</v>
      </c>
      <c r="AX339" s="6" t="s">
        <v>428</v>
      </c>
    </row>
    <row r="340" spans="1:50">
      <c r="A340" s="6">
        <v>447</v>
      </c>
      <c r="B340" s="5" t="s">
        <v>3693</v>
      </c>
      <c r="C340" s="6">
        <v>3</v>
      </c>
      <c r="D340" s="6" t="s">
        <v>98</v>
      </c>
      <c r="E340" s="6">
        <v>1</v>
      </c>
      <c r="F340" s="6" t="s">
        <v>2124</v>
      </c>
      <c r="G340" s="6">
        <v>41988.923981481479</v>
      </c>
      <c r="H340" s="6">
        <v>41988.923981481479</v>
      </c>
      <c r="I340" s="6">
        <v>41988.923981481479</v>
      </c>
      <c r="J340" s="6" t="s">
        <v>103</v>
      </c>
      <c r="K340" s="6" t="s">
        <v>105</v>
      </c>
      <c r="L340" s="6" t="s">
        <v>2125</v>
      </c>
      <c r="M340" s="6" t="s">
        <v>374</v>
      </c>
      <c r="O340" s="6" t="s">
        <v>2126</v>
      </c>
      <c r="P340" s="6" t="s">
        <v>215</v>
      </c>
      <c r="Q340" s="6">
        <v>840</v>
      </c>
      <c r="R340" s="6" t="s">
        <v>359</v>
      </c>
      <c r="S340" s="7">
        <v>840</v>
      </c>
      <c r="T340" s="7" t="s">
        <v>2518</v>
      </c>
      <c r="U340" s="6" t="s">
        <v>66</v>
      </c>
      <c r="V340" s="6" t="s">
        <v>158</v>
      </c>
      <c r="W340" s="6" t="s">
        <v>376</v>
      </c>
      <c r="X340" s="6" t="s">
        <v>2125</v>
      </c>
      <c r="Y340" s="8" t="s">
        <v>3694</v>
      </c>
      <c r="Z340" s="8" t="s">
        <v>3695</v>
      </c>
      <c r="AA340" s="8" t="s">
        <v>3696</v>
      </c>
      <c r="AC340" s="6">
        <v>39785</v>
      </c>
      <c r="AE340" s="6" t="s">
        <v>244</v>
      </c>
      <c r="AF340" s="6" t="s">
        <v>178</v>
      </c>
      <c r="AG340" s="6" t="s">
        <v>463</v>
      </c>
      <c r="AH340" s="6" t="s">
        <v>187</v>
      </c>
      <c r="AI340" s="6" t="s">
        <v>182</v>
      </c>
      <c r="AJ340" s="6" t="s">
        <v>393</v>
      </c>
      <c r="AK340" s="6" t="s">
        <v>244</v>
      </c>
      <c r="AL340" s="6" t="s">
        <v>178</v>
      </c>
      <c r="AM340" s="6" t="s">
        <v>244</v>
      </c>
      <c r="AN340" s="6" t="s">
        <v>378</v>
      </c>
      <c r="AO340" s="6" t="s">
        <v>244</v>
      </c>
      <c r="AP340" s="6" t="s">
        <v>247</v>
      </c>
      <c r="AQ340" s="6" t="s">
        <v>288</v>
      </c>
      <c r="AR340" s="6" t="s">
        <v>288</v>
      </c>
      <c r="AS340" s="6" t="s">
        <v>395</v>
      </c>
      <c r="AT340" s="6" t="s">
        <v>244</v>
      </c>
      <c r="AU340" s="6" t="s">
        <v>244</v>
      </c>
      <c r="AV340" s="6" t="s">
        <v>339</v>
      </c>
      <c r="AW340" s="6" t="s">
        <v>244</v>
      </c>
      <c r="AX340" s="6" t="s">
        <v>198</v>
      </c>
    </row>
    <row r="341" spans="1:50">
      <c r="A341" s="6">
        <v>726</v>
      </c>
      <c r="B341" s="5" t="s">
        <v>3697</v>
      </c>
      <c r="C341" s="6">
        <v>5</v>
      </c>
      <c r="D341" s="6" t="s">
        <v>98</v>
      </c>
      <c r="E341" s="6">
        <v>65</v>
      </c>
      <c r="F341" s="6" t="s">
        <v>2127</v>
      </c>
      <c r="G341" s="6">
        <v>42103.593634259261</v>
      </c>
      <c r="H341" s="6">
        <v>42121.434016203704</v>
      </c>
      <c r="I341" s="6">
        <v>42103.593634259261</v>
      </c>
      <c r="J341" s="6" t="s">
        <v>103</v>
      </c>
      <c r="K341" s="6" t="s">
        <v>105</v>
      </c>
      <c r="L341" s="6" t="s">
        <v>2128</v>
      </c>
      <c r="N341" s="6" t="s">
        <v>2129</v>
      </c>
      <c r="P341" s="6" t="s">
        <v>215</v>
      </c>
      <c r="Q341" s="6">
        <v>840</v>
      </c>
      <c r="R341" s="6" t="s">
        <v>359</v>
      </c>
      <c r="S341" s="7">
        <v>840</v>
      </c>
      <c r="T341" s="7" t="s">
        <v>2518</v>
      </c>
      <c r="U341" s="6" t="s">
        <v>66</v>
      </c>
      <c r="V341" s="6" t="s">
        <v>158</v>
      </c>
      <c r="W341" s="6" t="s">
        <v>376</v>
      </c>
      <c r="X341" s="6" t="s">
        <v>2128</v>
      </c>
      <c r="Y341" s="8" t="s">
        <v>3698</v>
      </c>
      <c r="Z341" s="8" t="s">
        <v>3699</v>
      </c>
      <c r="AB341" s="6">
        <v>42005</v>
      </c>
      <c r="AE341" s="6" t="s">
        <v>177</v>
      </c>
      <c r="AF341" s="6" t="s">
        <v>178</v>
      </c>
      <c r="AG341" s="6" t="s">
        <v>370</v>
      </c>
      <c r="AH341" s="6" t="s">
        <v>392</v>
      </c>
      <c r="AI341" s="6" t="s">
        <v>182</v>
      </c>
      <c r="AJ341" s="6" t="s">
        <v>183</v>
      </c>
      <c r="AK341" s="6" t="s">
        <v>185</v>
      </c>
      <c r="AL341" s="6" t="s">
        <v>178</v>
      </c>
      <c r="AM341" s="6" t="s">
        <v>185</v>
      </c>
      <c r="AN341" s="6" t="s">
        <v>392</v>
      </c>
      <c r="AO341" s="6" t="s">
        <v>244</v>
      </c>
      <c r="AP341" s="6" t="s">
        <v>247</v>
      </c>
      <c r="AQ341" s="6" t="s">
        <v>244</v>
      </c>
      <c r="AR341" s="6" t="s">
        <v>185</v>
      </c>
      <c r="AS341" s="6" t="s">
        <v>785</v>
      </c>
      <c r="AT341" s="6" t="s">
        <v>785</v>
      </c>
      <c r="AU341" s="6" t="s">
        <v>185</v>
      </c>
      <c r="AV341" s="6" t="s">
        <v>520</v>
      </c>
      <c r="AW341" s="6" t="s">
        <v>341</v>
      </c>
      <c r="AX341" s="6" t="s">
        <v>521</v>
      </c>
    </row>
    <row r="342" spans="1:50">
      <c r="A342" s="6">
        <v>450</v>
      </c>
      <c r="B342" s="5" t="s">
        <v>3700</v>
      </c>
      <c r="C342" s="6">
        <v>6</v>
      </c>
      <c r="D342" s="6" t="s">
        <v>98</v>
      </c>
      <c r="E342" s="6">
        <v>1</v>
      </c>
      <c r="F342" s="6" t="s">
        <v>2134</v>
      </c>
      <c r="G342" s="6">
        <v>41988.923981481479</v>
      </c>
      <c r="H342" s="6">
        <v>41988.923981481479</v>
      </c>
      <c r="I342" s="6">
        <v>41988.923981481479</v>
      </c>
      <c r="J342" s="6" t="s">
        <v>103</v>
      </c>
      <c r="K342" s="6" t="s">
        <v>105</v>
      </c>
      <c r="L342" s="6" t="s">
        <v>2135</v>
      </c>
      <c r="M342" s="6" t="s">
        <v>352</v>
      </c>
      <c r="N342" s="6" t="s">
        <v>2136</v>
      </c>
      <c r="O342" s="6" t="s">
        <v>2137</v>
      </c>
      <c r="P342" s="6" t="s">
        <v>215</v>
      </c>
      <c r="Q342" s="6">
        <v>840</v>
      </c>
      <c r="R342" s="6" t="s">
        <v>359</v>
      </c>
      <c r="S342" s="7">
        <v>840</v>
      </c>
      <c r="T342" s="7" t="s">
        <v>2518</v>
      </c>
      <c r="U342" s="6" t="s">
        <v>66</v>
      </c>
      <c r="V342" s="6" t="s">
        <v>158</v>
      </c>
      <c r="W342" s="6" t="s">
        <v>384</v>
      </c>
      <c r="X342" s="6" t="s">
        <v>2135</v>
      </c>
      <c r="Y342" s="8" t="s">
        <v>3701</v>
      </c>
      <c r="Z342" s="8" t="s">
        <v>3702</v>
      </c>
      <c r="AA342" s="8" t="s">
        <v>3703</v>
      </c>
      <c r="AB342" s="6">
        <v>40087</v>
      </c>
      <c r="AC342" s="6">
        <v>2009</v>
      </c>
      <c r="AF342" s="6" t="s">
        <v>178</v>
      </c>
      <c r="AG342" s="6" t="s">
        <v>180</v>
      </c>
      <c r="AH342" s="6" t="s">
        <v>371</v>
      </c>
      <c r="AI342" s="6" t="s">
        <v>385</v>
      </c>
      <c r="AJ342" s="6" t="s">
        <v>244</v>
      </c>
      <c r="AK342" s="6" t="s">
        <v>244</v>
      </c>
      <c r="AL342" s="6" t="s">
        <v>247</v>
      </c>
      <c r="AM342" s="6" t="s">
        <v>244</v>
      </c>
      <c r="AN342" s="6" t="s">
        <v>247</v>
      </c>
      <c r="AO342" s="6" t="s">
        <v>244</v>
      </c>
      <c r="AP342" s="6" t="s">
        <v>394</v>
      </c>
      <c r="AQ342" s="6" t="s">
        <v>288</v>
      </c>
      <c r="AR342" s="6" t="s">
        <v>244</v>
      </c>
      <c r="AS342" s="6" t="s">
        <v>193</v>
      </c>
      <c r="AT342" s="6" t="s">
        <v>193</v>
      </c>
      <c r="AU342" s="6" t="s">
        <v>288</v>
      </c>
      <c r="AV342" s="6" t="s">
        <v>244</v>
      </c>
      <c r="AW342" s="6" t="s">
        <v>244</v>
      </c>
      <c r="AX342" s="6" t="s">
        <v>247</v>
      </c>
    </row>
    <row r="343" spans="1:50">
      <c r="A343" s="6">
        <v>451</v>
      </c>
      <c r="B343" s="5" t="s">
        <v>3704</v>
      </c>
      <c r="C343" s="6">
        <v>3</v>
      </c>
      <c r="D343" s="6" t="s">
        <v>98</v>
      </c>
      <c r="E343" s="6">
        <v>1</v>
      </c>
      <c r="F343" s="6" t="s">
        <v>2138</v>
      </c>
      <c r="G343" s="6">
        <v>41988.923981481479</v>
      </c>
      <c r="H343" s="6">
        <v>41988.923981481479</v>
      </c>
      <c r="I343" s="6">
        <v>41988.923981481479</v>
      </c>
      <c r="J343" s="6" t="s">
        <v>103</v>
      </c>
      <c r="K343" s="6" t="s">
        <v>105</v>
      </c>
      <c r="L343" s="6" t="s">
        <v>2139</v>
      </c>
      <c r="M343" s="6" t="s">
        <v>374</v>
      </c>
      <c r="N343" s="6" t="s">
        <v>2140</v>
      </c>
      <c r="O343" s="6" t="s">
        <v>2141</v>
      </c>
      <c r="P343" s="6" t="s">
        <v>215</v>
      </c>
      <c r="Q343" s="6">
        <v>840</v>
      </c>
      <c r="R343" s="6" t="s">
        <v>359</v>
      </c>
      <c r="S343" s="7">
        <v>840</v>
      </c>
      <c r="T343" s="7" t="s">
        <v>2518</v>
      </c>
      <c r="U343" s="6" t="s">
        <v>66</v>
      </c>
      <c r="V343" s="6" t="s">
        <v>158</v>
      </c>
      <c r="W343" s="6" t="s">
        <v>160</v>
      </c>
      <c r="X343" s="6" t="s">
        <v>2139</v>
      </c>
      <c r="Y343" s="8" t="s">
        <v>3705</v>
      </c>
      <c r="Z343" s="8" t="s">
        <v>3706</v>
      </c>
      <c r="AA343" s="8" t="s">
        <v>3707</v>
      </c>
      <c r="AB343" s="6">
        <v>41619</v>
      </c>
      <c r="AC343" s="6">
        <v>41619</v>
      </c>
      <c r="AE343" s="6" t="s">
        <v>478</v>
      </c>
      <c r="AF343" s="6" t="s">
        <v>178</v>
      </c>
      <c r="AG343" s="6" t="s">
        <v>180</v>
      </c>
      <c r="AH343" s="6" t="s">
        <v>392</v>
      </c>
      <c r="AI343" s="6" t="s">
        <v>182</v>
      </c>
      <c r="AJ343" s="6" t="s">
        <v>393</v>
      </c>
      <c r="AK343" s="6" t="s">
        <v>189</v>
      </c>
      <c r="AL343" s="6" t="s">
        <v>178</v>
      </c>
      <c r="AM343" s="6" t="s">
        <v>244</v>
      </c>
      <c r="AN343" s="6" t="s">
        <v>247</v>
      </c>
      <c r="AO343" s="6" t="s">
        <v>244</v>
      </c>
      <c r="AP343" s="6" t="s">
        <v>394</v>
      </c>
      <c r="AQ343" s="6" t="s">
        <v>288</v>
      </c>
      <c r="AR343" s="6" t="s">
        <v>288</v>
      </c>
      <c r="AS343" s="6" t="s">
        <v>244</v>
      </c>
      <c r="AT343" s="6" t="s">
        <v>244</v>
      </c>
      <c r="AU343" s="6" t="s">
        <v>288</v>
      </c>
      <c r="AV343" s="6" t="s">
        <v>371</v>
      </c>
      <c r="AW343" s="6" t="s">
        <v>244</v>
      </c>
      <c r="AX343" s="6" t="s">
        <v>247</v>
      </c>
    </row>
    <row r="344" spans="1:50">
      <c r="A344" s="6">
        <v>452</v>
      </c>
      <c r="B344" s="5" t="s">
        <v>3708</v>
      </c>
      <c r="C344" s="6">
        <v>4</v>
      </c>
      <c r="D344" s="6" t="s">
        <v>98</v>
      </c>
      <c r="E344" s="6">
        <v>318</v>
      </c>
      <c r="F344" s="6" t="s">
        <v>2142</v>
      </c>
      <c r="G344" s="6">
        <v>41988.923981481479</v>
      </c>
      <c r="H344" s="6">
        <v>42046.981724537036</v>
      </c>
      <c r="I344" s="6">
        <v>41988.923981481479</v>
      </c>
      <c r="J344" s="6" t="s">
        <v>103</v>
      </c>
      <c r="K344" s="6" t="s">
        <v>105</v>
      </c>
      <c r="L344" s="6" t="s">
        <v>2143</v>
      </c>
      <c r="M344" s="6" t="s">
        <v>374</v>
      </c>
      <c r="N344" s="6" t="s">
        <v>2144</v>
      </c>
      <c r="P344" s="6" t="s">
        <v>215</v>
      </c>
      <c r="Q344" s="6">
        <v>840</v>
      </c>
      <c r="R344" s="6" t="s">
        <v>359</v>
      </c>
      <c r="S344" s="7">
        <v>840</v>
      </c>
      <c r="T344" s="7" t="s">
        <v>2518</v>
      </c>
      <c r="U344" s="6" t="s">
        <v>66</v>
      </c>
      <c r="V344" s="6" t="s">
        <v>158</v>
      </c>
      <c r="W344" s="6" t="s">
        <v>160</v>
      </c>
      <c r="X344" s="6" t="s">
        <v>2143</v>
      </c>
      <c r="Y344" s="8" t="s">
        <v>3709</v>
      </c>
      <c r="Z344" s="8" t="s">
        <v>3710</v>
      </c>
      <c r="AA344" s="8" t="s">
        <v>3711</v>
      </c>
      <c r="AB344" s="6">
        <v>40820</v>
      </c>
      <c r="AC344" s="6">
        <v>40820</v>
      </c>
      <c r="AE344" s="6" t="s">
        <v>478</v>
      </c>
      <c r="AF344" s="6" t="s">
        <v>178</v>
      </c>
      <c r="AG344" s="6" t="s">
        <v>180</v>
      </c>
      <c r="AH344" s="6" t="s">
        <v>371</v>
      </c>
      <c r="AI344" s="6" t="s">
        <v>182</v>
      </c>
      <c r="AJ344" s="6" t="s">
        <v>393</v>
      </c>
      <c r="AK344" s="6" t="s">
        <v>244</v>
      </c>
      <c r="AL344" s="6" t="s">
        <v>178</v>
      </c>
      <c r="AM344" s="6" t="s">
        <v>189</v>
      </c>
      <c r="AN344" s="6" t="s">
        <v>247</v>
      </c>
      <c r="AO344" s="6" t="s">
        <v>244</v>
      </c>
      <c r="AP344" s="6" t="s">
        <v>394</v>
      </c>
      <c r="AQ344" s="6" t="s">
        <v>288</v>
      </c>
      <c r="AR344" s="6" t="s">
        <v>288</v>
      </c>
      <c r="AS344" s="6" t="s">
        <v>244</v>
      </c>
      <c r="AT344" s="6" t="s">
        <v>244</v>
      </c>
      <c r="AU344" s="6" t="s">
        <v>288</v>
      </c>
      <c r="AV344" s="6" t="s">
        <v>371</v>
      </c>
      <c r="AW344" s="6" t="s">
        <v>244</v>
      </c>
      <c r="AX344" s="6" t="s">
        <v>247</v>
      </c>
    </row>
    <row r="345" spans="1:50">
      <c r="A345" s="6">
        <v>458</v>
      </c>
      <c r="B345" s="5" t="s">
        <v>3712</v>
      </c>
      <c r="C345" s="6">
        <v>4</v>
      </c>
      <c r="D345" s="6" t="s">
        <v>98</v>
      </c>
      <c r="E345" s="6">
        <v>322</v>
      </c>
      <c r="F345" s="6" t="s">
        <v>2161</v>
      </c>
      <c r="G345" s="6">
        <v>41988.923993055556</v>
      </c>
      <c r="H345" s="6">
        <v>42046.981724537036</v>
      </c>
      <c r="I345" s="6">
        <v>41988.923993055556</v>
      </c>
      <c r="J345" s="6" t="s">
        <v>103</v>
      </c>
      <c r="K345" s="6" t="s">
        <v>105</v>
      </c>
      <c r="L345" s="6" t="s">
        <v>2162</v>
      </c>
      <c r="M345" s="6" t="s">
        <v>374</v>
      </c>
      <c r="N345" s="6" t="s">
        <v>2163</v>
      </c>
      <c r="P345" s="6" t="s">
        <v>215</v>
      </c>
      <c r="Q345" s="6">
        <v>840</v>
      </c>
      <c r="R345" s="6" t="s">
        <v>359</v>
      </c>
      <c r="S345" s="7">
        <v>840</v>
      </c>
      <c r="T345" s="7" t="s">
        <v>2518</v>
      </c>
      <c r="U345" s="6" t="s">
        <v>66</v>
      </c>
      <c r="V345" s="6" t="s">
        <v>158</v>
      </c>
      <c r="W345" s="6" t="s">
        <v>384</v>
      </c>
      <c r="X345" s="6" t="s">
        <v>2162</v>
      </c>
      <c r="Y345" s="8" t="s">
        <v>3713</v>
      </c>
      <c r="Z345" s="8" t="s">
        <v>3714</v>
      </c>
      <c r="AA345" s="8" t="s">
        <v>3715</v>
      </c>
      <c r="AB345" s="6">
        <v>40534</v>
      </c>
      <c r="AC345" s="6">
        <v>40603</v>
      </c>
      <c r="AE345" s="6" t="s">
        <v>478</v>
      </c>
      <c r="AF345" s="6" t="s">
        <v>178</v>
      </c>
      <c r="AG345" s="6" t="s">
        <v>370</v>
      </c>
      <c r="AH345" s="6" t="s">
        <v>244</v>
      </c>
      <c r="AI345" s="6" t="s">
        <v>182</v>
      </c>
      <c r="AJ345" s="6" t="s">
        <v>393</v>
      </c>
      <c r="AK345" s="6" t="s">
        <v>189</v>
      </c>
      <c r="AL345" s="6" t="s">
        <v>479</v>
      </c>
      <c r="AM345" s="6" t="s">
        <v>244</v>
      </c>
      <c r="AN345" s="6" t="s">
        <v>247</v>
      </c>
      <c r="AO345" s="6" t="s">
        <v>244</v>
      </c>
      <c r="AP345" s="6" t="s">
        <v>394</v>
      </c>
      <c r="AQ345" s="6" t="s">
        <v>288</v>
      </c>
      <c r="AR345" s="6" t="s">
        <v>189</v>
      </c>
      <c r="AS345" s="6" t="s">
        <v>244</v>
      </c>
      <c r="AT345" s="6" t="s">
        <v>244</v>
      </c>
      <c r="AU345" s="6" t="s">
        <v>288</v>
      </c>
      <c r="AV345" s="6" t="s">
        <v>371</v>
      </c>
      <c r="AW345" s="6" t="s">
        <v>244</v>
      </c>
      <c r="AX345" s="6" t="s">
        <v>428</v>
      </c>
    </row>
    <row r="346" spans="1:50">
      <c r="A346" s="6">
        <v>459</v>
      </c>
      <c r="B346" s="5" t="s">
        <v>3716</v>
      </c>
      <c r="C346" s="6">
        <v>4</v>
      </c>
      <c r="D346" s="6" t="s">
        <v>98</v>
      </c>
      <c r="E346" s="6">
        <v>322</v>
      </c>
      <c r="F346" s="6" t="s">
        <v>2164</v>
      </c>
      <c r="G346" s="6">
        <v>41988.923993055556</v>
      </c>
      <c r="H346" s="6">
        <v>42046.981724537036</v>
      </c>
      <c r="I346" s="6">
        <v>41988.923993055556</v>
      </c>
      <c r="J346" s="6" t="s">
        <v>103</v>
      </c>
      <c r="K346" s="6" t="s">
        <v>105</v>
      </c>
      <c r="L346" s="6" t="s">
        <v>2165</v>
      </c>
      <c r="M346" s="6" t="s">
        <v>374</v>
      </c>
      <c r="N346" s="6" t="s">
        <v>2166</v>
      </c>
      <c r="P346" s="6" t="s">
        <v>215</v>
      </c>
      <c r="Q346" s="6">
        <v>840</v>
      </c>
      <c r="R346" s="6" t="s">
        <v>359</v>
      </c>
      <c r="S346" s="7">
        <v>840</v>
      </c>
      <c r="T346" s="7" t="s">
        <v>2518</v>
      </c>
      <c r="U346" s="6" t="s">
        <v>66</v>
      </c>
      <c r="V346" s="6" t="s">
        <v>158</v>
      </c>
      <c r="W346" s="6" t="s">
        <v>384</v>
      </c>
      <c r="X346" s="6" t="s">
        <v>2165</v>
      </c>
      <c r="Y346" s="8" t="s">
        <v>3717</v>
      </c>
      <c r="Z346" s="8" t="s">
        <v>3718</v>
      </c>
      <c r="AA346" s="8" t="s">
        <v>3715</v>
      </c>
      <c r="AB346" s="6">
        <v>40674</v>
      </c>
      <c r="AC346" s="6">
        <v>40695</v>
      </c>
      <c r="AE346" s="6" t="s">
        <v>478</v>
      </c>
      <c r="AF346" s="6" t="s">
        <v>178</v>
      </c>
      <c r="AG346" s="6" t="s">
        <v>370</v>
      </c>
      <c r="AH346" s="6" t="s">
        <v>244</v>
      </c>
      <c r="AI346" s="6" t="s">
        <v>182</v>
      </c>
      <c r="AJ346" s="6" t="s">
        <v>393</v>
      </c>
      <c r="AK346" s="6" t="s">
        <v>189</v>
      </c>
      <c r="AL346" s="6" t="s">
        <v>479</v>
      </c>
      <c r="AM346" s="6" t="s">
        <v>244</v>
      </c>
      <c r="AN346" s="6" t="s">
        <v>247</v>
      </c>
      <c r="AO346" s="6" t="s">
        <v>244</v>
      </c>
      <c r="AP346" s="6" t="s">
        <v>394</v>
      </c>
      <c r="AQ346" s="6" t="s">
        <v>288</v>
      </c>
      <c r="AR346" s="6" t="s">
        <v>189</v>
      </c>
      <c r="AS346" s="6" t="s">
        <v>244</v>
      </c>
      <c r="AT346" s="6" t="s">
        <v>244</v>
      </c>
      <c r="AU346" s="6" t="s">
        <v>288</v>
      </c>
      <c r="AV346" s="6" t="s">
        <v>371</v>
      </c>
      <c r="AW346" s="6" t="s">
        <v>244</v>
      </c>
      <c r="AX346" s="6" t="s">
        <v>428</v>
      </c>
    </row>
    <row r="347" spans="1:50">
      <c r="A347" s="6">
        <v>461</v>
      </c>
      <c r="B347" s="5" t="s">
        <v>3719</v>
      </c>
      <c r="C347" s="6">
        <v>4</v>
      </c>
      <c r="D347" s="6" t="s">
        <v>98</v>
      </c>
      <c r="E347" s="6">
        <v>322</v>
      </c>
      <c r="F347" s="6" t="s">
        <v>2167</v>
      </c>
      <c r="G347" s="6">
        <v>41988.923993055556</v>
      </c>
      <c r="H347" s="6">
        <v>42046.981724537036</v>
      </c>
      <c r="I347" s="6">
        <v>41988.923993055556</v>
      </c>
      <c r="J347" s="6" t="s">
        <v>103</v>
      </c>
      <c r="K347" s="6" t="s">
        <v>105</v>
      </c>
      <c r="L347" s="6" t="s">
        <v>2168</v>
      </c>
      <c r="M347" s="6" t="s">
        <v>374</v>
      </c>
      <c r="P347" s="6" t="s">
        <v>215</v>
      </c>
      <c r="Q347" s="6">
        <v>840</v>
      </c>
      <c r="R347" s="6" t="s">
        <v>359</v>
      </c>
      <c r="S347" s="7">
        <v>840</v>
      </c>
      <c r="T347" s="7" t="s">
        <v>2518</v>
      </c>
      <c r="U347" s="6" t="s">
        <v>66</v>
      </c>
      <c r="V347" s="6" t="s">
        <v>158</v>
      </c>
      <c r="W347" s="6" t="s">
        <v>384</v>
      </c>
      <c r="X347" s="6" t="s">
        <v>2168</v>
      </c>
      <c r="Y347" s="8" t="s">
        <v>3720</v>
      </c>
      <c r="Z347" s="8" t="s">
        <v>3721</v>
      </c>
      <c r="AA347" s="8" t="s">
        <v>3715</v>
      </c>
      <c r="AB347" s="6">
        <v>41395</v>
      </c>
      <c r="AE347" s="6" t="s">
        <v>478</v>
      </c>
      <c r="AF347" s="6" t="s">
        <v>178</v>
      </c>
      <c r="AG347" s="6" t="s">
        <v>180</v>
      </c>
      <c r="AH347" s="6" t="s">
        <v>244</v>
      </c>
      <c r="AI347" s="6" t="s">
        <v>182</v>
      </c>
      <c r="AJ347" s="6" t="s">
        <v>393</v>
      </c>
      <c r="AK347" s="6" t="s">
        <v>189</v>
      </c>
      <c r="AL347" s="6" t="s">
        <v>479</v>
      </c>
      <c r="AM347" s="6" t="s">
        <v>244</v>
      </c>
      <c r="AN347" s="6" t="s">
        <v>247</v>
      </c>
      <c r="AO347" s="6" t="s">
        <v>244</v>
      </c>
      <c r="AP347" s="6" t="s">
        <v>394</v>
      </c>
      <c r="AQ347" s="6" t="s">
        <v>288</v>
      </c>
      <c r="AR347" s="6" t="s">
        <v>189</v>
      </c>
      <c r="AS347" s="6" t="s">
        <v>244</v>
      </c>
      <c r="AT347" s="6" t="s">
        <v>244</v>
      </c>
      <c r="AU347" s="6" t="s">
        <v>288</v>
      </c>
      <c r="AV347" s="6" t="s">
        <v>371</v>
      </c>
      <c r="AW347" s="6" t="s">
        <v>244</v>
      </c>
      <c r="AX347" s="6" t="s">
        <v>428</v>
      </c>
    </row>
    <row r="348" spans="1:50">
      <c r="A348" s="6">
        <v>462</v>
      </c>
      <c r="B348" s="5" t="s">
        <v>3722</v>
      </c>
      <c r="C348" s="6">
        <v>4</v>
      </c>
      <c r="D348" s="6" t="s">
        <v>98</v>
      </c>
      <c r="E348" s="6">
        <v>323</v>
      </c>
      <c r="F348" s="6" t="s">
        <v>2173</v>
      </c>
      <c r="G348" s="6">
        <v>41988.923993055556</v>
      </c>
      <c r="H348" s="6">
        <v>42046.981724537036</v>
      </c>
      <c r="I348" s="6">
        <v>41988.923993055556</v>
      </c>
      <c r="J348" s="6" t="s">
        <v>103</v>
      </c>
      <c r="K348" s="6" t="s">
        <v>105</v>
      </c>
      <c r="L348" s="6" t="s">
        <v>2174</v>
      </c>
      <c r="M348" s="6" t="s">
        <v>374</v>
      </c>
      <c r="N348" s="6" t="s">
        <v>2175</v>
      </c>
      <c r="O348" s="6" t="s">
        <v>2176</v>
      </c>
      <c r="P348" s="6" t="s">
        <v>215</v>
      </c>
      <c r="Q348" s="6">
        <v>840</v>
      </c>
      <c r="R348" s="6" t="s">
        <v>359</v>
      </c>
      <c r="S348" s="7">
        <v>840</v>
      </c>
      <c r="T348" s="7" t="s">
        <v>2518</v>
      </c>
      <c r="U348" s="6" t="s">
        <v>66</v>
      </c>
      <c r="V348" s="6" t="s">
        <v>158</v>
      </c>
      <c r="W348" s="6" t="s">
        <v>160</v>
      </c>
      <c r="X348" s="6" t="s">
        <v>2174</v>
      </c>
      <c r="Y348" s="8" t="s">
        <v>3723</v>
      </c>
      <c r="Z348" s="8" t="s">
        <v>3724</v>
      </c>
      <c r="AA348" s="8" t="s">
        <v>3725</v>
      </c>
      <c r="AB348" s="6">
        <v>41334</v>
      </c>
      <c r="AE348" s="6" t="s">
        <v>244</v>
      </c>
      <c r="AF348" s="6" t="s">
        <v>178</v>
      </c>
      <c r="AG348" s="6" t="s">
        <v>180</v>
      </c>
      <c r="AH348" s="6" t="s">
        <v>392</v>
      </c>
      <c r="AI348" s="6" t="s">
        <v>182</v>
      </c>
      <c r="AJ348" s="6" t="s">
        <v>393</v>
      </c>
      <c r="AK348" s="6" t="s">
        <v>189</v>
      </c>
      <c r="AL348" s="6" t="s">
        <v>178</v>
      </c>
      <c r="AM348" s="6" t="s">
        <v>185</v>
      </c>
      <c r="AN348" s="6" t="s">
        <v>181</v>
      </c>
      <c r="AO348" s="6" t="s">
        <v>244</v>
      </c>
      <c r="AP348" s="6" t="s">
        <v>394</v>
      </c>
      <c r="AQ348" s="6" t="s">
        <v>288</v>
      </c>
      <c r="AR348" s="6" t="s">
        <v>185</v>
      </c>
      <c r="AS348" s="6" t="s">
        <v>244</v>
      </c>
      <c r="AT348" s="6" t="s">
        <v>244</v>
      </c>
      <c r="AU348" s="6" t="s">
        <v>288</v>
      </c>
      <c r="AV348" s="6" t="s">
        <v>371</v>
      </c>
      <c r="AW348" s="6" t="s">
        <v>244</v>
      </c>
      <c r="AX348" s="6" t="s">
        <v>247</v>
      </c>
    </row>
    <row r="349" spans="1:50">
      <c r="A349" s="6">
        <v>465</v>
      </c>
      <c r="B349" s="5" t="s">
        <v>3726</v>
      </c>
      <c r="C349" s="6">
        <v>4</v>
      </c>
      <c r="D349" s="6" t="s">
        <v>98</v>
      </c>
      <c r="E349" s="6">
        <v>1</v>
      </c>
      <c r="F349" s="6" t="s">
        <v>2184</v>
      </c>
      <c r="G349" s="6">
        <v>41988.923993055556</v>
      </c>
      <c r="H349" s="6">
        <v>41988.924004629633</v>
      </c>
      <c r="I349" s="6">
        <v>41988.923993055556</v>
      </c>
      <c r="J349" s="6" t="s">
        <v>103</v>
      </c>
      <c r="K349" s="6" t="s">
        <v>105</v>
      </c>
      <c r="L349" s="6" t="s">
        <v>2185</v>
      </c>
      <c r="M349" s="6" t="s">
        <v>374</v>
      </c>
      <c r="N349" s="6" t="s">
        <v>2186</v>
      </c>
      <c r="O349" s="6" t="s">
        <v>2187</v>
      </c>
      <c r="P349" s="6" t="s">
        <v>215</v>
      </c>
      <c r="Q349" s="6">
        <v>840</v>
      </c>
      <c r="R349" s="6" t="s">
        <v>359</v>
      </c>
      <c r="S349" s="7">
        <v>840</v>
      </c>
      <c r="T349" s="7" t="s">
        <v>2518</v>
      </c>
      <c r="U349" s="6" t="s">
        <v>66</v>
      </c>
      <c r="V349" s="6" t="s">
        <v>158</v>
      </c>
      <c r="W349" s="6" t="s">
        <v>160</v>
      </c>
      <c r="X349" s="6" t="s">
        <v>2185</v>
      </c>
      <c r="Y349" s="8" t="s">
        <v>3727</v>
      </c>
      <c r="Z349" s="8" t="s">
        <v>3728</v>
      </c>
      <c r="AA349" s="8" t="s">
        <v>3729</v>
      </c>
      <c r="AB349" s="6">
        <v>40255</v>
      </c>
      <c r="AE349" s="6" t="s">
        <v>478</v>
      </c>
      <c r="AF349" s="6" t="s">
        <v>178</v>
      </c>
      <c r="AG349" s="6" t="s">
        <v>180</v>
      </c>
      <c r="AH349" s="6" t="s">
        <v>392</v>
      </c>
      <c r="AI349" s="6" t="s">
        <v>182</v>
      </c>
      <c r="AJ349" s="6" t="s">
        <v>393</v>
      </c>
      <c r="AK349" s="6" t="s">
        <v>244</v>
      </c>
      <c r="AL349" s="6" t="s">
        <v>479</v>
      </c>
      <c r="AM349" s="6" t="s">
        <v>189</v>
      </c>
      <c r="AN349" s="6" t="s">
        <v>181</v>
      </c>
      <c r="AO349" s="6" t="s">
        <v>244</v>
      </c>
      <c r="AP349" s="6" t="s">
        <v>394</v>
      </c>
      <c r="AQ349" s="6" t="s">
        <v>288</v>
      </c>
      <c r="AR349" s="6" t="s">
        <v>189</v>
      </c>
      <c r="AS349" s="6" t="s">
        <v>244</v>
      </c>
      <c r="AT349" s="6" t="s">
        <v>244</v>
      </c>
      <c r="AU349" s="6" t="s">
        <v>288</v>
      </c>
      <c r="AV349" s="6" t="s">
        <v>371</v>
      </c>
      <c r="AW349" s="6" t="s">
        <v>244</v>
      </c>
      <c r="AX349" s="6" t="s">
        <v>428</v>
      </c>
    </row>
    <row r="350" spans="1:50">
      <c r="A350" s="6">
        <v>466</v>
      </c>
      <c r="B350" s="5" t="s">
        <v>3730</v>
      </c>
      <c r="C350" s="6">
        <v>5</v>
      </c>
      <c r="D350" s="6" t="s">
        <v>98</v>
      </c>
      <c r="E350" s="6">
        <v>1</v>
      </c>
      <c r="F350" s="6" t="s">
        <v>2188</v>
      </c>
      <c r="G350" s="6">
        <v>41988.924004629633</v>
      </c>
      <c r="H350" s="6">
        <v>41988.924004629633</v>
      </c>
      <c r="I350" s="6">
        <v>41988.924004629633</v>
      </c>
      <c r="J350" s="6" t="s">
        <v>103</v>
      </c>
      <c r="K350" s="6" t="s">
        <v>105</v>
      </c>
      <c r="L350" s="6" t="s">
        <v>2189</v>
      </c>
      <c r="M350" s="6" t="s">
        <v>352</v>
      </c>
      <c r="N350" s="6" t="s">
        <v>2190</v>
      </c>
      <c r="O350" s="6" t="s">
        <v>2191</v>
      </c>
      <c r="P350" s="6" t="s">
        <v>215</v>
      </c>
      <c r="Q350" s="6">
        <v>840</v>
      </c>
      <c r="R350" s="6" t="s">
        <v>359</v>
      </c>
      <c r="S350" s="7">
        <v>840</v>
      </c>
      <c r="T350" s="7" t="s">
        <v>2518</v>
      </c>
      <c r="U350" s="6" t="s">
        <v>66</v>
      </c>
      <c r="V350" s="6" t="s">
        <v>158</v>
      </c>
      <c r="W350" s="6" t="s">
        <v>160</v>
      </c>
      <c r="X350" s="6" t="s">
        <v>2189</v>
      </c>
      <c r="Y350" s="8" t="s">
        <v>3731</v>
      </c>
      <c r="Z350" s="8" t="s">
        <v>3732</v>
      </c>
      <c r="AA350" s="8" t="s">
        <v>3733</v>
      </c>
      <c r="AB350" s="6">
        <v>2009</v>
      </c>
      <c r="AC350" s="6">
        <v>2009</v>
      </c>
      <c r="AD350" s="6">
        <v>2009</v>
      </c>
      <c r="AE350" s="6" t="s">
        <v>177</v>
      </c>
      <c r="AF350" s="6" t="s">
        <v>178</v>
      </c>
      <c r="AG350" s="6" t="s">
        <v>180</v>
      </c>
      <c r="AH350" s="6" t="s">
        <v>371</v>
      </c>
      <c r="AI350" s="6" t="s">
        <v>385</v>
      </c>
      <c r="AJ350" s="6" t="s">
        <v>371</v>
      </c>
      <c r="AK350" s="6" t="s">
        <v>185</v>
      </c>
      <c r="AL350" s="6" t="s">
        <v>178</v>
      </c>
      <c r="AM350" s="6" t="s">
        <v>185</v>
      </c>
      <c r="AN350" s="6" t="s">
        <v>378</v>
      </c>
      <c r="AO350" s="6" t="s">
        <v>244</v>
      </c>
      <c r="AP350" s="6" t="s">
        <v>394</v>
      </c>
      <c r="AQ350" s="6" t="s">
        <v>185</v>
      </c>
      <c r="AR350" s="6" t="s">
        <v>185</v>
      </c>
      <c r="AS350" s="6" t="s">
        <v>459</v>
      </c>
      <c r="AT350" s="6" t="s">
        <v>459</v>
      </c>
      <c r="AU350" s="6" t="s">
        <v>189</v>
      </c>
      <c r="AV350" s="6" t="s">
        <v>630</v>
      </c>
      <c r="AW350" s="6" t="s">
        <v>244</v>
      </c>
      <c r="AX350" s="6" t="s">
        <v>247</v>
      </c>
    </row>
    <row r="351" spans="1:50">
      <c r="A351" s="6">
        <v>469</v>
      </c>
      <c r="B351" s="5" t="s">
        <v>3734</v>
      </c>
      <c r="C351" s="6">
        <v>5</v>
      </c>
      <c r="D351" s="6" t="s">
        <v>98</v>
      </c>
      <c r="E351" s="6">
        <v>1</v>
      </c>
      <c r="F351" s="6" t="s">
        <v>2199</v>
      </c>
      <c r="G351" s="6">
        <v>41988.924004629633</v>
      </c>
      <c r="H351" s="6">
        <v>41988.924004629633</v>
      </c>
      <c r="I351" s="6">
        <v>41988.924004629633</v>
      </c>
      <c r="J351" s="6" t="s">
        <v>103</v>
      </c>
      <c r="K351" s="6" t="s">
        <v>105</v>
      </c>
      <c r="L351" s="6" t="s">
        <v>2200</v>
      </c>
      <c r="M351" s="6" t="s">
        <v>374</v>
      </c>
      <c r="N351" s="6" t="s">
        <v>2201</v>
      </c>
      <c r="O351" s="6" t="s">
        <v>2202</v>
      </c>
      <c r="P351" s="6" t="s">
        <v>215</v>
      </c>
      <c r="Q351" s="6">
        <v>840</v>
      </c>
      <c r="R351" s="6" t="s">
        <v>359</v>
      </c>
      <c r="S351" s="7">
        <v>840</v>
      </c>
      <c r="T351" s="7" t="s">
        <v>2518</v>
      </c>
      <c r="U351" s="6" t="s">
        <v>66</v>
      </c>
      <c r="V351" s="6" t="s">
        <v>158</v>
      </c>
      <c r="W351" s="6" t="s">
        <v>160</v>
      </c>
      <c r="X351" s="6" t="s">
        <v>2200</v>
      </c>
      <c r="Y351" s="8" t="s">
        <v>3735</v>
      </c>
      <c r="Z351" s="8" t="s">
        <v>3736</v>
      </c>
      <c r="AA351" s="8" t="s">
        <v>3737</v>
      </c>
      <c r="AB351" s="6">
        <v>41240</v>
      </c>
      <c r="AC351" s="6">
        <v>41275</v>
      </c>
      <c r="AE351" s="6" t="s">
        <v>478</v>
      </c>
      <c r="AF351" s="6" t="s">
        <v>178</v>
      </c>
      <c r="AG351" s="6" t="s">
        <v>180</v>
      </c>
      <c r="AH351" s="6" t="s">
        <v>392</v>
      </c>
      <c r="AI351" s="6" t="s">
        <v>182</v>
      </c>
      <c r="AJ351" s="6" t="s">
        <v>393</v>
      </c>
      <c r="AK351" s="6" t="s">
        <v>189</v>
      </c>
      <c r="AL351" s="6" t="s">
        <v>178</v>
      </c>
      <c r="AM351" s="6" t="s">
        <v>189</v>
      </c>
      <c r="AN351" s="6" t="s">
        <v>378</v>
      </c>
      <c r="AO351" s="6" t="s">
        <v>185</v>
      </c>
      <c r="AP351" s="6" t="s">
        <v>247</v>
      </c>
      <c r="AQ351" s="6" t="s">
        <v>244</v>
      </c>
      <c r="AR351" s="6" t="s">
        <v>189</v>
      </c>
      <c r="AS351" s="6" t="s">
        <v>395</v>
      </c>
      <c r="AT351" s="6" t="s">
        <v>395</v>
      </c>
      <c r="AU351" s="6" t="s">
        <v>288</v>
      </c>
      <c r="AV351" s="6" t="s">
        <v>371</v>
      </c>
      <c r="AW351" s="6" t="s">
        <v>244</v>
      </c>
      <c r="AX351" s="6" t="s">
        <v>247</v>
      </c>
    </row>
    <row r="352" spans="1:50">
      <c r="A352" s="6">
        <v>471</v>
      </c>
      <c r="B352" s="5" t="s">
        <v>3738</v>
      </c>
      <c r="C352" s="6">
        <v>3</v>
      </c>
      <c r="D352" s="6" t="s">
        <v>98</v>
      </c>
      <c r="E352" s="6">
        <v>1</v>
      </c>
      <c r="F352" s="6" t="s">
        <v>2206</v>
      </c>
      <c r="G352" s="6">
        <v>41988.924004629633</v>
      </c>
      <c r="H352" s="6">
        <v>41988.924004629633</v>
      </c>
      <c r="I352" s="6">
        <v>41988.924004629633</v>
      </c>
      <c r="J352" s="6" t="s">
        <v>103</v>
      </c>
      <c r="K352" s="6" t="s">
        <v>105</v>
      </c>
      <c r="L352" s="6" t="s">
        <v>2207</v>
      </c>
      <c r="M352" s="6" t="s">
        <v>374</v>
      </c>
      <c r="N352" s="6" t="s">
        <v>2208</v>
      </c>
      <c r="P352" s="6" t="s">
        <v>215</v>
      </c>
      <c r="Q352" s="6">
        <v>840</v>
      </c>
      <c r="R352" s="6" t="s">
        <v>359</v>
      </c>
      <c r="S352" s="7">
        <v>840</v>
      </c>
      <c r="T352" s="7" t="s">
        <v>2518</v>
      </c>
      <c r="U352" s="6" t="s">
        <v>66</v>
      </c>
      <c r="V352" s="6" t="s">
        <v>158</v>
      </c>
      <c r="W352" s="6" t="s">
        <v>160</v>
      </c>
      <c r="X352" s="6" t="s">
        <v>2207</v>
      </c>
      <c r="Y352" s="8" t="s">
        <v>3739</v>
      </c>
      <c r="Z352" s="8" t="s">
        <v>3740</v>
      </c>
      <c r="AA352" s="8" t="s">
        <v>3741</v>
      </c>
      <c r="AB352" s="6">
        <v>40221</v>
      </c>
      <c r="AE352" s="6" t="s">
        <v>478</v>
      </c>
      <c r="AF352" s="6" t="s">
        <v>178</v>
      </c>
      <c r="AG352" s="6" t="s">
        <v>180</v>
      </c>
      <c r="AH352" s="6" t="s">
        <v>392</v>
      </c>
      <c r="AI352" s="6" t="s">
        <v>182</v>
      </c>
      <c r="AJ352" s="6" t="s">
        <v>393</v>
      </c>
      <c r="AK352" s="6" t="s">
        <v>185</v>
      </c>
      <c r="AL352" s="6" t="s">
        <v>178</v>
      </c>
      <c r="AM352" s="6" t="s">
        <v>189</v>
      </c>
      <c r="AN352" s="6" t="s">
        <v>247</v>
      </c>
      <c r="AO352" s="6" t="s">
        <v>244</v>
      </c>
      <c r="AP352" s="6" t="s">
        <v>648</v>
      </c>
      <c r="AQ352" s="6" t="s">
        <v>189</v>
      </c>
      <c r="AR352" s="6" t="s">
        <v>189</v>
      </c>
      <c r="AS352" s="6" t="s">
        <v>244</v>
      </c>
      <c r="AT352" s="6" t="s">
        <v>244</v>
      </c>
      <c r="AU352" s="6" t="s">
        <v>288</v>
      </c>
      <c r="AV352" s="6" t="s">
        <v>371</v>
      </c>
      <c r="AW352" s="6" t="s">
        <v>442</v>
      </c>
      <c r="AX352" s="6" t="s">
        <v>428</v>
      </c>
    </row>
    <row r="353" spans="1:50">
      <c r="A353" s="6">
        <v>472</v>
      </c>
      <c r="B353" s="5" t="s">
        <v>3742</v>
      </c>
      <c r="C353" s="6">
        <v>3</v>
      </c>
      <c r="D353" s="6" t="s">
        <v>98</v>
      </c>
      <c r="E353" s="6">
        <v>1</v>
      </c>
      <c r="F353" s="6" t="s">
        <v>2209</v>
      </c>
      <c r="G353" s="6">
        <v>41988.924004629633</v>
      </c>
      <c r="H353" s="6">
        <v>41988.924004629633</v>
      </c>
      <c r="I353" s="6">
        <v>41988.924004629633</v>
      </c>
      <c r="J353" s="6" t="s">
        <v>103</v>
      </c>
      <c r="K353" s="6" t="s">
        <v>105</v>
      </c>
      <c r="L353" s="6" t="s">
        <v>2210</v>
      </c>
      <c r="M353" s="6" t="s">
        <v>374</v>
      </c>
      <c r="N353" s="6" t="s">
        <v>2208</v>
      </c>
      <c r="P353" s="6" t="s">
        <v>215</v>
      </c>
      <c r="Q353" s="6">
        <v>840</v>
      </c>
      <c r="R353" s="6" t="s">
        <v>359</v>
      </c>
      <c r="S353" s="7">
        <v>840</v>
      </c>
      <c r="T353" s="7" t="s">
        <v>2518</v>
      </c>
      <c r="U353" s="6" t="s">
        <v>66</v>
      </c>
      <c r="V353" s="6" t="s">
        <v>158</v>
      </c>
      <c r="W353" s="6" t="s">
        <v>160</v>
      </c>
      <c r="X353" s="6" t="s">
        <v>2210</v>
      </c>
      <c r="Y353" s="8" t="s">
        <v>3743</v>
      </c>
      <c r="Z353" s="8" t="s">
        <v>3744</v>
      </c>
      <c r="AA353" s="8" t="s">
        <v>3741</v>
      </c>
      <c r="AB353" s="6">
        <v>40497</v>
      </c>
      <c r="AE353" s="6" t="s">
        <v>478</v>
      </c>
      <c r="AF353" s="6" t="s">
        <v>178</v>
      </c>
      <c r="AG353" s="6" t="s">
        <v>180</v>
      </c>
      <c r="AH353" s="6" t="s">
        <v>392</v>
      </c>
      <c r="AI353" s="6" t="s">
        <v>182</v>
      </c>
      <c r="AJ353" s="6" t="s">
        <v>393</v>
      </c>
      <c r="AK353" s="6" t="s">
        <v>185</v>
      </c>
      <c r="AL353" s="6" t="s">
        <v>178</v>
      </c>
      <c r="AM353" s="6" t="s">
        <v>189</v>
      </c>
      <c r="AN353" s="6" t="s">
        <v>247</v>
      </c>
      <c r="AO353" s="6" t="s">
        <v>244</v>
      </c>
      <c r="AP353" s="6" t="s">
        <v>648</v>
      </c>
      <c r="AQ353" s="6" t="s">
        <v>189</v>
      </c>
      <c r="AR353" s="6" t="s">
        <v>189</v>
      </c>
      <c r="AS353" s="6" t="s">
        <v>244</v>
      </c>
      <c r="AT353" s="6" t="s">
        <v>244</v>
      </c>
      <c r="AU353" s="6" t="s">
        <v>288</v>
      </c>
      <c r="AV353" s="6" t="s">
        <v>371</v>
      </c>
      <c r="AW353" s="6" t="s">
        <v>442</v>
      </c>
      <c r="AX353" s="6" t="s">
        <v>428</v>
      </c>
    </row>
    <row r="354" spans="1:50">
      <c r="A354" s="6">
        <v>473</v>
      </c>
      <c r="B354" s="5" t="s">
        <v>3745</v>
      </c>
      <c r="C354" s="6">
        <v>3</v>
      </c>
      <c r="D354" s="6" t="s">
        <v>98</v>
      </c>
      <c r="E354" s="6">
        <v>1</v>
      </c>
      <c r="F354" s="6" t="s">
        <v>2211</v>
      </c>
      <c r="G354" s="6">
        <v>41988.924004629633</v>
      </c>
      <c r="H354" s="6">
        <v>41988.924004629633</v>
      </c>
      <c r="I354" s="6">
        <v>41988.924004629633</v>
      </c>
      <c r="J354" s="6" t="s">
        <v>103</v>
      </c>
      <c r="K354" s="6" t="s">
        <v>105</v>
      </c>
      <c r="L354" s="6" t="s">
        <v>2212</v>
      </c>
      <c r="M354" s="6" t="s">
        <v>374</v>
      </c>
      <c r="N354" s="6" t="s">
        <v>2208</v>
      </c>
      <c r="P354" s="6" t="s">
        <v>215</v>
      </c>
      <c r="Q354" s="6">
        <v>840</v>
      </c>
      <c r="R354" s="6" t="s">
        <v>359</v>
      </c>
      <c r="S354" s="7">
        <v>840</v>
      </c>
      <c r="T354" s="7" t="s">
        <v>2518</v>
      </c>
      <c r="U354" s="6" t="s">
        <v>66</v>
      </c>
      <c r="V354" s="6" t="s">
        <v>158</v>
      </c>
      <c r="W354" s="6" t="s">
        <v>160</v>
      </c>
      <c r="X354" s="6" t="s">
        <v>2212</v>
      </c>
      <c r="Y354" s="8" t="s">
        <v>3746</v>
      </c>
      <c r="Z354" s="8" t="s">
        <v>3747</v>
      </c>
      <c r="AA354" s="8" t="s">
        <v>3741</v>
      </c>
      <c r="AB354" s="6">
        <v>39569</v>
      </c>
      <c r="AE354" s="6" t="s">
        <v>478</v>
      </c>
      <c r="AF354" s="6" t="s">
        <v>178</v>
      </c>
      <c r="AG354" s="6" t="s">
        <v>180</v>
      </c>
      <c r="AH354" s="6" t="s">
        <v>392</v>
      </c>
      <c r="AI354" s="6" t="s">
        <v>182</v>
      </c>
      <c r="AJ354" s="6" t="s">
        <v>393</v>
      </c>
      <c r="AK354" s="6" t="s">
        <v>185</v>
      </c>
      <c r="AL354" s="6" t="s">
        <v>178</v>
      </c>
      <c r="AM354" s="6" t="s">
        <v>189</v>
      </c>
      <c r="AN354" s="6" t="s">
        <v>247</v>
      </c>
      <c r="AO354" s="6" t="s">
        <v>244</v>
      </c>
      <c r="AP354" s="6" t="s">
        <v>648</v>
      </c>
      <c r="AQ354" s="6" t="s">
        <v>189</v>
      </c>
      <c r="AR354" s="6" t="s">
        <v>189</v>
      </c>
      <c r="AS354" s="6" t="s">
        <v>244</v>
      </c>
      <c r="AT354" s="6" t="s">
        <v>244</v>
      </c>
      <c r="AU354" s="6" t="s">
        <v>288</v>
      </c>
      <c r="AV354" s="6" t="s">
        <v>371</v>
      </c>
      <c r="AW354" s="6" t="s">
        <v>442</v>
      </c>
      <c r="AX354" s="6" t="s">
        <v>428</v>
      </c>
    </row>
    <row r="355" spans="1:50">
      <c r="A355" s="6">
        <v>474</v>
      </c>
      <c r="B355" s="5" t="s">
        <v>3748</v>
      </c>
      <c r="C355" s="6">
        <v>3</v>
      </c>
      <c r="D355" s="6" t="s">
        <v>98</v>
      </c>
      <c r="E355" s="6">
        <v>1</v>
      </c>
      <c r="F355" s="6" t="s">
        <v>2213</v>
      </c>
      <c r="G355" s="6">
        <v>41988.924004629633</v>
      </c>
      <c r="H355" s="6">
        <v>41988.924004629633</v>
      </c>
      <c r="I355" s="6">
        <v>41988.924004629633</v>
      </c>
      <c r="J355" s="6" t="s">
        <v>103</v>
      </c>
      <c r="K355" s="6" t="s">
        <v>105</v>
      </c>
      <c r="L355" s="6" t="s">
        <v>2214</v>
      </c>
      <c r="M355" s="6" t="s">
        <v>374</v>
      </c>
      <c r="N355" s="6" t="s">
        <v>2208</v>
      </c>
      <c r="P355" s="6" t="s">
        <v>215</v>
      </c>
      <c r="Q355" s="6">
        <v>840</v>
      </c>
      <c r="R355" s="6" t="s">
        <v>359</v>
      </c>
      <c r="S355" s="7">
        <v>840</v>
      </c>
      <c r="T355" s="7" t="s">
        <v>2518</v>
      </c>
      <c r="U355" s="6" t="s">
        <v>66</v>
      </c>
      <c r="V355" s="6" t="s">
        <v>158</v>
      </c>
      <c r="W355" s="6" t="s">
        <v>160</v>
      </c>
      <c r="X355" s="6" t="s">
        <v>2214</v>
      </c>
      <c r="Y355" s="8" t="s">
        <v>3749</v>
      </c>
      <c r="Z355" s="8" t="s">
        <v>3750</v>
      </c>
      <c r="AA355" s="8" t="s">
        <v>3741</v>
      </c>
      <c r="AB355" s="6">
        <v>41239</v>
      </c>
      <c r="AE355" s="6" t="s">
        <v>478</v>
      </c>
      <c r="AF355" s="6" t="s">
        <v>178</v>
      </c>
      <c r="AG355" s="6" t="s">
        <v>180</v>
      </c>
      <c r="AH355" s="6" t="s">
        <v>392</v>
      </c>
      <c r="AI355" s="6" t="s">
        <v>182</v>
      </c>
      <c r="AJ355" s="6" t="s">
        <v>393</v>
      </c>
      <c r="AK355" s="6" t="s">
        <v>185</v>
      </c>
      <c r="AL355" s="6" t="s">
        <v>178</v>
      </c>
      <c r="AM355" s="6" t="s">
        <v>189</v>
      </c>
      <c r="AN355" s="6" t="s">
        <v>247</v>
      </c>
      <c r="AO355" s="6" t="s">
        <v>244</v>
      </c>
      <c r="AP355" s="6" t="s">
        <v>648</v>
      </c>
      <c r="AQ355" s="6" t="s">
        <v>189</v>
      </c>
      <c r="AR355" s="6" t="s">
        <v>189</v>
      </c>
      <c r="AS355" s="6" t="s">
        <v>244</v>
      </c>
      <c r="AT355" s="6" t="s">
        <v>244</v>
      </c>
      <c r="AU355" s="6" t="s">
        <v>288</v>
      </c>
      <c r="AV355" s="6" t="s">
        <v>371</v>
      </c>
      <c r="AW355" s="6" t="s">
        <v>442</v>
      </c>
      <c r="AX355" s="6" t="s">
        <v>428</v>
      </c>
    </row>
    <row r="356" spans="1:50">
      <c r="A356" s="6">
        <v>477</v>
      </c>
      <c r="B356" s="5" t="s">
        <v>3751</v>
      </c>
      <c r="C356" s="6">
        <v>3</v>
      </c>
      <c r="D356" s="6" t="s">
        <v>98</v>
      </c>
      <c r="E356" s="6">
        <v>1</v>
      </c>
      <c r="F356" s="6" t="s">
        <v>2215</v>
      </c>
      <c r="G356" s="6">
        <v>41988.924016203702</v>
      </c>
      <c r="H356" s="6">
        <v>41988.924016203702</v>
      </c>
      <c r="I356" s="6">
        <v>41988.924016203702</v>
      </c>
      <c r="J356" s="6" t="s">
        <v>103</v>
      </c>
      <c r="K356" s="6" t="s">
        <v>105</v>
      </c>
      <c r="L356" s="6" t="s">
        <v>2216</v>
      </c>
      <c r="M356" s="6" t="s">
        <v>374</v>
      </c>
      <c r="N356" s="6" t="s">
        <v>2208</v>
      </c>
      <c r="P356" s="6" t="s">
        <v>215</v>
      </c>
      <c r="Q356" s="6">
        <v>840</v>
      </c>
      <c r="R356" s="6" t="s">
        <v>359</v>
      </c>
      <c r="S356" s="7">
        <v>840</v>
      </c>
      <c r="T356" s="7" t="s">
        <v>2518</v>
      </c>
      <c r="U356" s="6" t="s">
        <v>66</v>
      </c>
      <c r="V356" s="6" t="s">
        <v>158</v>
      </c>
      <c r="W356" s="6" t="s">
        <v>160</v>
      </c>
      <c r="X356" s="6" t="s">
        <v>2216</v>
      </c>
      <c r="Y356" s="8" t="s">
        <v>3752</v>
      </c>
      <c r="Z356" s="8" t="s">
        <v>3753</v>
      </c>
      <c r="AA356" s="8" t="s">
        <v>3741</v>
      </c>
      <c r="AB356" s="6">
        <v>39490</v>
      </c>
      <c r="AE356" s="6" t="s">
        <v>478</v>
      </c>
      <c r="AF356" s="6" t="s">
        <v>178</v>
      </c>
      <c r="AG356" s="6" t="s">
        <v>180</v>
      </c>
      <c r="AH356" s="6" t="s">
        <v>392</v>
      </c>
      <c r="AI356" s="6" t="s">
        <v>182</v>
      </c>
      <c r="AJ356" s="6" t="s">
        <v>393</v>
      </c>
      <c r="AK356" s="6" t="s">
        <v>185</v>
      </c>
      <c r="AL356" s="6" t="s">
        <v>178</v>
      </c>
      <c r="AM356" s="6" t="s">
        <v>189</v>
      </c>
      <c r="AN356" s="6" t="s">
        <v>247</v>
      </c>
      <c r="AO356" s="6" t="s">
        <v>244</v>
      </c>
      <c r="AP356" s="6" t="s">
        <v>648</v>
      </c>
      <c r="AQ356" s="6" t="s">
        <v>189</v>
      </c>
      <c r="AR356" s="6" t="s">
        <v>189</v>
      </c>
      <c r="AS356" s="6" t="s">
        <v>244</v>
      </c>
      <c r="AT356" s="6" t="s">
        <v>244</v>
      </c>
      <c r="AU356" s="6" t="s">
        <v>288</v>
      </c>
      <c r="AV356" s="6" t="s">
        <v>371</v>
      </c>
      <c r="AW356" s="6" t="s">
        <v>442</v>
      </c>
      <c r="AX356" s="6" t="s">
        <v>428</v>
      </c>
    </row>
    <row r="357" spans="1:50">
      <c r="A357" s="6">
        <v>475</v>
      </c>
      <c r="B357" s="5" t="s">
        <v>3754</v>
      </c>
      <c r="C357" s="6">
        <v>3</v>
      </c>
      <c r="D357" s="6" t="s">
        <v>98</v>
      </c>
      <c r="E357" s="6">
        <v>1</v>
      </c>
      <c r="F357" s="6" t="s">
        <v>2217</v>
      </c>
      <c r="G357" s="6">
        <v>41988.924016203702</v>
      </c>
      <c r="H357" s="6">
        <v>41988.924016203702</v>
      </c>
      <c r="I357" s="6">
        <v>41988.924016203702</v>
      </c>
      <c r="J357" s="6" t="s">
        <v>103</v>
      </c>
      <c r="K357" s="6" t="s">
        <v>105</v>
      </c>
      <c r="L357" s="6" t="s">
        <v>2218</v>
      </c>
      <c r="M357" s="6" t="s">
        <v>374</v>
      </c>
      <c r="N357" s="6" t="s">
        <v>2208</v>
      </c>
      <c r="P357" s="6" t="s">
        <v>215</v>
      </c>
      <c r="Q357" s="6">
        <v>840</v>
      </c>
      <c r="R357" s="6" t="s">
        <v>359</v>
      </c>
      <c r="S357" s="7">
        <v>840</v>
      </c>
      <c r="T357" s="7" t="s">
        <v>2518</v>
      </c>
      <c r="U357" s="6" t="s">
        <v>66</v>
      </c>
      <c r="V357" s="6" t="s">
        <v>158</v>
      </c>
      <c r="W357" s="6" t="s">
        <v>160</v>
      </c>
      <c r="X357" s="6" t="s">
        <v>2218</v>
      </c>
      <c r="Y357" s="8" t="s">
        <v>3755</v>
      </c>
      <c r="Z357" s="8" t="s">
        <v>3756</v>
      </c>
      <c r="AA357" s="8" t="s">
        <v>3741</v>
      </c>
      <c r="AB357" s="6">
        <v>40632</v>
      </c>
      <c r="AE357" s="6" t="s">
        <v>478</v>
      </c>
      <c r="AF357" s="6" t="s">
        <v>178</v>
      </c>
      <c r="AG357" s="6" t="s">
        <v>180</v>
      </c>
      <c r="AH357" s="6" t="s">
        <v>392</v>
      </c>
      <c r="AI357" s="6" t="s">
        <v>182</v>
      </c>
      <c r="AJ357" s="6" t="s">
        <v>393</v>
      </c>
      <c r="AK357" s="6" t="s">
        <v>185</v>
      </c>
      <c r="AL357" s="6" t="s">
        <v>178</v>
      </c>
      <c r="AM357" s="6" t="s">
        <v>189</v>
      </c>
      <c r="AN357" s="6" t="s">
        <v>247</v>
      </c>
      <c r="AO357" s="6" t="s">
        <v>244</v>
      </c>
      <c r="AP357" s="6" t="s">
        <v>648</v>
      </c>
      <c r="AQ357" s="6" t="s">
        <v>189</v>
      </c>
      <c r="AR357" s="6" t="s">
        <v>189</v>
      </c>
      <c r="AS357" s="6" t="s">
        <v>244</v>
      </c>
      <c r="AT357" s="6" t="s">
        <v>244</v>
      </c>
      <c r="AU357" s="6" t="s">
        <v>288</v>
      </c>
      <c r="AV357" s="6" t="s">
        <v>371</v>
      </c>
      <c r="AW357" s="6" t="s">
        <v>442</v>
      </c>
      <c r="AX357" s="6" t="s">
        <v>428</v>
      </c>
    </row>
    <row r="358" spans="1:50">
      <c r="A358" s="6">
        <v>476</v>
      </c>
      <c r="B358" s="5" t="s">
        <v>3757</v>
      </c>
      <c r="C358" s="6">
        <v>3</v>
      </c>
      <c r="D358" s="6" t="s">
        <v>98</v>
      </c>
      <c r="E358" s="6">
        <v>1</v>
      </c>
      <c r="F358" s="6" t="s">
        <v>2219</v>
      </c>
      <c r="G358" s="6">
        <v>41988.924016203702</v>
      </c>
      <c r="H358" s="6">
        <v>41988.924016203702</v>
      </c>
      <c r="I358" s="6">
        <v>41988.924016203702</v>
      </c>
      <c r="J358" s="6" t="s">
        <v>103</v>
      </c>
      <c r="K358" s="6" t="s">
        <v>105</v>
      </c>
      <c r="L358" s="6" t="s">
        <v>2220</v>
      </c>
      <c r="M358" s="6" t="s">
        <v>374</v>
      </c>
      <c r="N358" s="6" t="s">
        <v>2208</v>
      </c>
      <c r="P358" s="6" t="s">
        <v>215</v>
      </c>
      <c r="Q358" s="6">
        <v>840</v>
      </c>
      <c r="R358" s="6" t="s">
        <v>359</v>
      </c>
      <c r="S358" s="7">
        <v>840</v>
      </c>
      <c r="T358" s="7" t="s">
        <v>2518</v>
      </c>
      <c r="U358" s="6" t="s">
        <v>66</v>
      </c>
      <c r="V358" s="6" t="s">
        <v>158</v>
      </c>
      <c r="W358" s="6" t="s">
        <v>160</v>
      </c>
      <c r="X358" s="6" t="s">
        <v>2220</v>
      </c>
      <c r="Y358" s="8" t="s">
        <v>3758</v>
      </c>
      <c r="Z358" s="8" t="s">
        <v>3759</v>
      </c>
      <c r="AA358" s="8" t="s">
        <v>3741</v>
      </c>
      <c r="AB358" s="6">
        <v>39965</v>
      </c>
      <c r="AE358" s="6" t="s">
        <v>478</v>
      </c>
      <c r="AF358" s="6" t="s">
        <v>178</v>
      </c>
      <c r="AG358" s="6" t="s">
        <v>180</v>
      </c>
      <c r="AH358" s="6" t="s">
        <v>392</v>
      </c>
      <c r="AI358" s="6" t="s">
        <v>182</v>
      </c>
      <c r="AJ358" s="6" t="s">
        <v>393</v>
      </c>
      <c r="AK358" s="6" t="s">
        <v>185</v>
      </c>
      <c r="AL358" s="6" t="s">
        <v>178</v>
      </c>
      <c r="AM358" s="6" t="s">
        <v>189</v>
      </c>
      <c r="AN358" s="6" t="s">
        <v>247</v>
      </c>
      <c r="AO358" s="6" t="s">
        <v>244</v>
      </c>
      <c r="AP358" s="6" t="s">
        <v>648</v>
      </c>
      <c r="AQ358" s="6" t="s">
        <v>189</v>
      </c>
      <c r="AR358" s="6" t="s">
        <v>189</v>
      </c>
      <c r="AS358" s="6" t="s">
        <v>244</v>
      </c>
      <c r="AT358" s="6" t="s">
        <v>244</v>
      </c>
      <c r="AU358" s="6" t="s">
        <v>288</v>
      </c>
      <c r="AV358" s="6" t="s">
        <v>371</v>
      </c>
      <c r="AW358" s="6" t="s">
        <v>442</v>
      </c>
      <c r="AX358" s="6" t="s">
        <v>428</v>
      </c>
    </row>
    <row r="359" spans="1:50">
      <c r="A359" s="6">
        <v>478</v>
      </c>
      <c r="B359" s="5" t="s">
        <v>3760</v>
      </c>
      <c r="C359" s="6">
        <v>3</v>
      </c>
      <c r="D359" s="6" t="s">
        <v>98</v>
      </c>
      <c r="E359" s="6">
        <v>1</v>
      </c>
      <c r="F359" s="6" t="s">
        <v>2221</v>
      </c>
      <c r="G359" s="6">
        <v>41988.924016203702</v>
      </c>
      <c r="H359" s="6">
        <v>41988.924016203702</v>
      </c>
      <c r="I359" s="6">
        <v>41988.924016203702</v>
      </c>
      <c r="J359" s="6" t="s">
        <v>103</v>
      </c>
      <c r="K359" s="6" t="s">
        <v>105</v>
      </c>
      <c r="L359" s="6" t="s">
        <v>2222</v>
      </c>
      <c r="M359" s="6" t="s">
        <v>374</v>
      </c>
      <c r="P359" s="6" t="s">
        <v>215</v>
      </c>
      <c r="Q359" s="6">
        <v>840</v>
      </c>
      <c r="R359" s="6" t="s">
        <v>359</v>
      </c>
      <c r="S359" s="7">
        <v>840</v>
      </c>
      <c r="T359" s="7" t="s">
        <v>2518</v>
      </c>
      <c r="U359" s="6" t="s">
        <v>66</v>
      </c>
      <c r="V359" s="6" t="s">
        <v>158</v>
      </c>
      <c r="W359" s="6" t="s">
        <v>160</v>
      </c>
      <c r="X359" s="6" t="s">
        <v>2222</v>
      </c>
      <c r="Y359" s="8" t="s">
        <v>3761</v>
      </c>
      <c r="Z359" s="8" t="s">
        <v>3762</v>
      </c>
      <c r="AA359" s="8" t="s">
        <v>3741</v>
      </c>
      <c r="AB359" s="6">
        <v>39882</v>
      </c>
      <c r="AE359" s="6" t="s">
        <v>478</v>
      </c>
      <c r="AF359" s="6" t="s">
        <v>178</v>
      </c>
      <c r="AG359" s="6" t="s">
        <v>180</v>
      </c>
      <c r="AH359" s="6" t="s">
        <v>392</v>
      </c>
      <c r="AI359" s="6" t="s">
        <v>182</v>
      </c>
      <c r="AJ359" s="6" t="s">
        <v>393</v>
      </c>
      <c r="AK359" s="6" t="s">
        <v>185</v>
      </c>
      <c r="AL359" s="6" t="s">
        <v>178</v>
      </c>
      <c r="AM359" s="6" t="s">
        <v>189</v>
      </c>
      <c r="AN359" s="6" t="s">
        <v>247</v>
      </c>
      <c r="AO359" s="6" t="s">
        <v>244</v>
      </c>
      <c r="AP359" s="6" t="s">
        <v>648</v>
      </c>
      <c r="AQ359" s="6" t="s">
        <v>189</v>
      </c>
      <c r="AR359" s="6" t="s">
        <v>189</v>
      </c>
      <c r="AS359" s="6" t="s">
        <v>244</v>
      </c>
      <c r="AT359" s="6" t="s">
        <v>244</v>
      </c>
      <c r="AU359" s="6" t="s">
        <v>288</v>
      </c>
      <c r="AV359" s="6" t="s">
        <v>371</v>
      </c>
      <c r="AW359" s="6" t="s">
        <v>442</v>
      </c>
      <c r="AX359" s="6" t="s">
        <v>428</v>
      </c>
    </row>
    <row r="360" spans="1:50">
      <c r="A360" s="6">
        <v>479</v>
      </c>
      <c r="B360" s="5" t="s">
        <v>3763</v>
      </c>
      <c r="C360" s="6">
        <v>4</v>
      </c>
      <c r="D360" s="6" t="s">
        <v>98</v>
      </c>
      <c r="E360" s="6">
        <v>1</v>
      </c>
      <c r="F360" s="6" t="s">
        <v>2223</v>
      </c>
      <c r="G360" s="6">
        <v>41988.924016203702</v>
      </c>
      <c r="H360" s="6">
        <v>42026.635937500003</v>
      </c>
      <c r="I360" s="6">
        <v>41988.924016203702</v>
      </c>
      <c r="J360" s="6" t="s">
        <v>103</v>
      </c>
      <c r="K360" s="6" t="s">
        <v>105</v>
      </c>
      <c r="L360" s="6" t="s">
        <v>2224</v>
      </c>
      <c r="M360" s="6" t="s">
        <v>469</v>
      </c>
      <c r="P360" s="6" t="s">
        <v>215</v>
      </c>
      <c r="Q360" s="6">
        <v>840</v>
      </c>
      <c r="R360" s="6" t="s">
        <v>359</v>
      </c>
      <c r="S360" s="7">
        <v>840</v>
      </c>
      <c r="T360" s="7" t="s">
        <v>2518</v>
      </c>
      <c r="U360" s="6" t="s">
        <v>66</v>
      </c>
      <c r="V360" s="6" t="s">
        <v>158</v>
      </c>
      <c r="W360" s="6" t="s">
        <v>160</v>
      </c>
      <c r="X360" s="6" t="s">
        <v>2224</v>
      </c>
      <c r="Y360" s="8" t="s">
        <v>3764</v>
      </c>
      <c r="Z360" s="8" t="s">
        <v>3765</v>
      </c>
      <c r="AA360" s="8" t="s">
        <v>3766</v>
      </c>
      <c r="AB360" s="6">
        <v>41808</v>
      </c>
      <c r="AE360" s="6" t="s">
        <v>478</v>
      </c>
      <c r="AF360" s="6" t="s">
        <v>178</v>
      </c>
      <c r="AG360" s="6" t="s">
        <v>180</v>
      </c>
      <c r="AH360" s="6" t="s">
        <v>392</v>
      </c>
      <c r="AI360" s="6" t="s">
        <v>182</v>
      </c>
      <c r="AJ360" s="6" t="s">
        <v>393</v>
      </c>
      <c r="AK360" s="6" t="s">
        <v>185</v>
      </c>
      <c r="AL360" s="6" t="s">
        <v>178</v>
      </c>
      <c r="AM360" s="6" t="s">
        <v>189</v>
      </c>
      <c r="AN360" s="6" t="s">
        <v>247</v>
      </c>
      <c r="AO360" s="6" t="s">
        <v>244</v>
      </c>
      <c r="AP360" s="6" t="s">
        <v>648</v>
      </c>
      <c r="AQ360" s="6" t="s">
        <v>189</v>
      </c>
      <c r="AR360" s="6" t="s">
        <v>189</v>
      </c>
      <c r="AS360" s="6" t="s">
        <v>244</v>
      </c>
      <c r="AT360" s="6" t="s">
        <v>244</v>
      </c>
      <c r="AU360" s="6" t="s">
        <v>288</v>
      </c>
      <c r="AV360" s="6" t="s">
        <v>371</v>
      </c>
      <c r="AW360" s="6" t="s">
        <v>442</v>
      </c>
      <c r="AX360" s="6" t="s">
        <v>428</v>
      </c>
    </row>
    <row r="361" spans="1:50">
      <c r="A361" s="6">
        <v>652</v>
      </c>
      <c r="B361" s="5" t="s">
        <v>3767</v>
      </c>
      <c r="C361" s="6">
        <v>6</v>
      </c>
      <c r="D361" s="6" t="s">
        <v>98</v>
      </c>
      <c r="E361" s="6">
        <v>65</v>
      </c>
      <c r="F361" s="6" t="s">
        <v>2225</v>
      </c>
      <c r="G361" s="6">
        <v>42012.548888888887</v>
      </c>
      <c r="H361" s="6">
        <v>42012.716643518521</v>
      </c>
      <c r="I361" s="6">
        <v>42012.548888888887</v>
      </c>
      <c r="J361" s="6" t="s">
        <v>103</v>
      </c>
      <c r="K361" s="6" t="s">
        <v>105</v>
      </c>
      <c r="L361" s="6" t="s">
        <v>2226</v>
      </c>
      <c r="P361" s="6" t="s">
        <v>215</v>
      </c>
      <c r="Q361" s="6">
        <v>840</v>
      </c>
      <c r="R361" s="6" t="s">
        <v>359</v>
      </c>
      <c r="S361" s="7">
        <v>840</v>
      </c>
      <c r="T361" s="7" t="s">
        <v>2518</v>
      </c>
      <c r="U361" s="6" t="s">
        <v>66</v>
      </c>
      <c r="V361" s="6" t="s">
        <v>158</v>
      </c>
      <c r="W361" s="6" t="s">
        <v>160</v>
      </c>
      <c r="X361" s="6" t="s">
        <v>2226</v>
      </c>
      <c r="Y361" s="8" t="s">
        <v>3768</v>
      </c>
      <c r="Z361" s="8" t="s">
        <v>3769</v>
      </c>
      <c r="AA361" s="8" t="s">
        <v>3770</v>
      </c>
      <c r="AB361" s="6">
        <v>41974</v>
      </c>
      <c r="AC361" s="6">
        <v>41974</v>
      </c>
      <c r="AE361" s="6" t="s">
        <v>478</v>
      </c>
      <c r="AF361" s="6" t="s">
        <v>178</v>
      </c>
      <c r="AG361" s="6" t="s">
        <v>180</v>
      </c>
      <c r="AH361" s="6" t="s">
        <v>392</v>
      </c>
      <c r="AI361" s="6" t="s">
        <v>182</v>
      </c>
      <c r="AJ361" s="6" t="s">
        <v>393</v>
      </c>
      <c r="AK361" s="6" t="s">
        <v>185</v>
      </c>
      <c r="AL361" s="6" t="s">
        <v>178</v>
      </c>
      <c r="AM361" s="6" t="s">
        <v>189</v>
      </c>
      <c r="AN361" s="6" t="s">
        <v>247</v>
      </c>
      <c r="AO361" s="6" t="s">
        <v>244</v>
      </c>
      <c r="AP361" s="6" t="s">
        <v>648</v>
      </c>
      <c r="AQ361" s="6" t="s">
        <v>189</v>
      </c>
      <c r="AR361" s="6" t="s">
        <v>189</v>
      </c>
      <c r="AS361" s="6" t="s">
        <v>244</v>
      </c>
      <c r="AT361" s="6" t="s">
        <v>244</v>
      </c>
      <c r="AU361" s="6" t="s">
        <v>288</v>
      </c>
      <c r="AV361" s="6" t="s">
        <v>371</v>
      </c>
      <c r="AW361" s="6" t="s">
        <v>442</v>
      </c>
      <c r="AX361" s="6" t="s">
        <v>428</v>
      </c>
    </row>
    <row r="362" spans="1:50">
      <c r="A362" s="6">
        <v>756</v>
      </c>
      <c r="B362" s="5" t="s">
        <v>3771</v>
      </c>
      <c r="C362" s="6">
        <v>6</v>
      </c>
      <c r="D362" s="6" t="s">
        <v>98</v>
      </c>
      <c r="E362" s="6">
        <v>730</v>
      </c>
      <c r="F362" s="6" t="s">
        <v>2230</v>
      </c>
      <c r="G362" s="6">
        <v>42122.595185185186</v>
      </c>
      <c r="H362" s="6">
        <v>42122.595185185186</v>
      </c>
      <c r="I362" s="6">
        <v>42122.595185185186</v>
      </c>
      <c r="J362" s="6" t="s">
        <v>103</v>
      </c>
      <c r="K362" s="6" t="s">
        <v>105</v>
      </c>
      <c r="L362" s="6" t="s">
        <v>2231</v>
      </c>
      <c r="Q362" s="6">
        <v>840</v>
      </c>
      <c r="R362" s="6" t="s">
        <v>359</v>
      </c>
      <c r="S362" s="7">
        <v>840</v>
      </c>
      <c r="T362" s="7" t="s">
        <v>2518</v>
      </c>
      <c r="U362" s="6" t="s">
        <v>66</v>
      </c>
      <c r="V362" s="6" t="s">
        <v>158</v>
      </c>
      <c r="W362" s="6" t="s">
        <v>160</v>
      </c>
      <c r="X362" s="6" t="s">
        <v>2231</v>
      </c>
      <c r="Y362" s="8" t="s">
        <v>3772</v>
      </c>
      <c r="Z362" s="6" t="s">
        <v>2232</v>
      </c>
      <c r="AA362" s="8" t="s">
        <v>3773</v>
      </c>
      <c r="AB362" s="6">
        <v>42107</v>
      </c>
      <c r="AC362" s="6">
        <v>42107</v>
      </c>
      <c r="AE362" s="6" t="s">
        <v>478</v>
      </c>
      <c r="AF362" s="6" t="s">
        <v>178</v>
      </c>
      <c r="AG362" s="6" t="s">
        <v>180</v>
      </c>
      <c r="AH362" s="6" t="s">
        <v>392</v>
      </c>
      <c r="AI362" s="6" t="s">
        <v>182</v>
      </c>
      <c r="AJ362" s="6" t="s">
        <v>393</v>
      </c>
      <c r="AK362" s="6" t="s">
        <v>189</v>
      </c>
      <c r="AL362" s="6" t="s">
        <v>178</v>
      </c>
      <c r="AM362" s="6" t="s">
        <v>189</v>
      </c>
      <c r="AN362" s="6" t="s">
        <v>392</v>
      </c>
      <c r="AO362" s="6" t="s">
        <v>244</v>
      </c>
      <c r="AP362" s="6" t="s">
        <v>648</v>
      </c>
      <c r="AQ362" s="6" t="s">
        <v>189</v>
      </c>
      <c r="AR362" s="6" t="s">
        <v>189</v>
      </c>
      <c r="AS362" s="6" t="s">
        <v>244</v>
      </c>
      <c r="AT362" s="6" t="s">
        <v>244</v>
      </c>
      <c r="AU362" s="6" t="s">
        <v>288</v>
      </c>
      <c r="AV362" s="6" t="s">
        <v>244</v>
      </c>
      <c r="AW362" s="6" t="s">
        <v>244</v>
      </c>
      <c r="AX362" s="6" t="s">
        <v>247</v>
      </c>
    </row>
    <row r="363" spans="1:50">
      <c r="A363" s="6">
        <v>481</v>
      </c>
      <c r="B363" s="5" t="s">
        <v>3774</v>
      </c>
      <c r="C363" s="6">
        <v>3</v>
      </c>
      <c r="D363" s="6" t="s">
        <v>98</v>
      </c>
      <c r="E363" s="6">
        <v>1</v>
      </c>
      <c r="F363" s="6" t="s">
        <v>2233</v>
      </c>
      <c r="G363" s="6">
        <v>41988.924016203702</v>
      </c>
      <c r="H363" s="6">
        <v>41988.924016203702</v>
      </c>
      <c r="I363" s="6">
        <v>41988.924016203702</v>
      </c>
      <c r="J363" s="6" t="s">
        <v>103</v>
      </c>
      <c r="K363" s="6" t="s">
        <v>105</v>
      </c>
      <c r="L363" s="6" t="s">
        <v>2234</v>
      </c>
      <c r="M363" s="6" t="s">
        <v>374</v>
      </c>
      <c r="N363" s="6" t="s">
        <v>2235</v>
      </c>
      <c r="P363" s="6" t="s">
        <v>215</v>
      </c>
      <c r="Q363" s="6">
        <v>840</v>
      </c>
      <c r="R363" s="6" t="s">
        <v>359</v>
      </c>
      <c r="S363" s="7">
        <v>840</v>
      </c>
      <c r="T363" s="7" t="s">
        <v>2518</v>
      </c>
      <c r="U363" s="6" t="s">
        <v>66</v>
      </c>
      <c r="V363" s="6" t="s">
        <v>158</v>
      </c>
      <c r="W363" s="6" t="s">
        <v>384</v>
      </c>
      <c r="X363" s="6" t="s">
        <v>2234</v>
      </c>
      <c r="Y363" s="8" t="s">
        <v>3775</v>
      </c>
      <c r="Z363" s="8" t="s">
        <v>3776</v>
      </c>
      <c r="AA363" s="8" t="s">
        <v>3777</v>
      </c>
      <c r="AB363" s="6">
        <v>39908</v>
      </c>
      <c r="AE363" s="6" t="s">
        <v>478</v>
      </c>
      <c r="AF363" s="6" t="s">
        <v>178</v>
      </c>
      <c r="AG363" s="6" t="s">
        <v>180</v>
      </c>
      <c r="AH363" s="6" t="s">
        <v>187</v>
      </c>
      <c r="AI363" s="6" t="s">
        <v>182</v>
      </c>
      <c r="AJ363" s="6" t="s">
        <v>393</v>
      </c>
      <c r="AK363" s="6" t="s">
        <v>189</v>
      </c>
      <c r="AL363" s="6" t="s">
        <v>178</v>
      </c>
      <c r="AM363" s="6" t="s">
        <v>189</v>
      </c>
      <c r="AN363" s="6" t="s">
        <v>247</v>
      </c>
      <c r="AO363" s="6" t="s">
        <v>244</v>
      </c>
      <c r="AP363" s="6" t="s">
        <v>648</v>
      </c>
      <c r="AQ363" s="6" t="s">
        <v>189</v>
      </c>
      <c r="AR363" s="6" t="s">
        <v>189</v>
      </c>
      <c r="AS363" s="6" t="s">
        <v>244</v>
      </c>
      <c r="AT363" s="6" t="s">
        <v>244</v>
      </c>
      <c r="AU363" s="6" t="s">
        <v>288</v>
      </c>
      <c r="AV363" s="6" t="s">
        <v>630</v>
      </c>
      <c r="AW363" s="6" t="s">
        <v>442</v>
      </c>
      <c r="AX363" s="6" t="s">
        <v>428</v>
      </c>
    </row>
    <row r="364" spans="1:50">
      <c r="A364" s="6">
        <v>482</v>
      </c>
      <c r="B364" s="5" t="s">
        <v>3778</v>
      </c>
      <c r="C364" s="6">
        <v>3</v>
      </c>
      <c r="D364" s="6" t="s">
        <v>98</v>
      </c>
      <c r="E364" s="6">
        <v>1</v>
      </c>
      <c r="F364" s="6" t="s">
        <v>2236</v>
      </c>
      <c r="G364" s="6">
        <v>41988.924016203702</v>
      </c>
      <c r="H364" s="6">
        <v>41988.924016203702</v>
      </c>
      <c r="I364" s="6">
        <v>41988.924016203702</v>
      </c>
      <c r="J364" s="6" t="s">
        <v>103</v>
      </c>
      <c r="K364" s="6" t="s">
        <v>105</v>
      </c>
      <c r="L364" s="6" t="s">
        <v>2237</v>
      </c>
      <c r="M364" s="6" t="s">
        <v>374</v>
      </c>
      <c r="P364" s="6" t="s">
        <v>215</v>
      </c>
      <c r="Q364" s="6">
        <v>840</v>
      </c>
      <c r="R364" s="6" t="s">
        <v>359</v>
      </c>
      <c r="S364" s="7">
        <v>840</v>
      </c>
      <c r="T364" s="7" t="s">
        <v>2518</v>
      </c>
      <c r="U364" s="6" t="s">
        <v>66</v>
      </c>
      <c r="V364" s="6" t="s">
        <v>158</v>
      </c>
      <c r="W364" s="6" t="s">
        <v>364</v>
      </c>
      <c r="X364" s="6" t="s">
        <v>2237</v>
      </c>
      <c r="Y364" s="8" t="s">
        <v>3779</v>
      </c>
      <c r="Z364" s="8" t="s">
        <v>3780</v>
      </c>
      <c r="AA364" s="8" t="s">
        <v>3781</v>
      </c>
      <c r="AB364" s="6">
        <v>40909</v>
      </c>
      <c r="AE364" s="6" t="s">
        <v>244</v>
      </c>
      <c r="AF364" s="6" t="s">
        <v>178</v>
      </c>
      <c r="AG364" s="6" t="s">
        <v>180</v>
      </c>
      <c r="AH364" s="6" t="s">
        <v>187</v>
      </c>
      <c r="AI364" s="6" t="s">
        <v>182</v>
      </c>
      <c r="AJ364" s="6" t="s">
        <v>393</v>
      </c>
      <c r="AK364" s="6" t="s">
        <v>185</v>
      </c>
      <c r="AL364" s="6" t="s">
        <v>178</v>
      </c>
      <c r="AM364" s="6" t="s">
        <v>244</v>
      </c>
      <c r="AN364" s="6" t="s">
        <v>378</v>
      </c>
      <c r="AO364" s="6" t="s">
        <v>244</v>
      </c>
      <c r="AP364" s="6" t="s">
        <v>394</v>
      </c>
      <c r="AQ364" s="6" t="s">
        <v>288</v>
      </c>
      <c r="AR364" s="6" t="s">
        <v>185</v>
      </c>
      <c r="AS364" s="6" t="s">
        <v>395</v>
      </c>
      <c r="AT364" s="6" t="s">
        <v>395</v>
      </c>
      <c r="AU364" s="6" t="s">
        <v>244</v>
      </c>
      <c r="AV364" s="6" t="s">
        <v>339</v>
      </c>
      <c r="AW364" s="6" t="s">
        <v>244</v>
      </c>
      <c r="AX364" s="6" t="s">
        <v>247</v>
      </c>
    </row>
    <row r="365" spans="1:50">
      <c r="A365" s="6">
        <v>486</v>
      </c>
      <c r="B365" s="5" t="s">
        <v>3782</v>
      </c>
      <c r="C365" s="6">
        <v>3</v>
      </c>
      <c r="D365" s="6" t="s">
        <v>98</v>
      </c>
      <c r="E365" s="6">
        <v>1</v>
      </c>
      <c r="F365" s="6" t="s">
        <v>2248</v>
      </c>
      <c r="G365" s="6">
        <v>41988.924027777779</v>
      </c>
      <c r="H365" s="6">
        <v>41988.924027777779</v>
      </c>
      <c r="I365" s="6">
        <v>41988.924027777779</v>
      </c>
      <c r="J365" s="6" t="s">
        <v>103</v>
      </c>
      <c r="K365" s="6" t="s">
        <v>105</v>
      </c>
      <c r="L365" s="6" t="s">
        <v>2249</v>
      </c>
      <c r="M365" s="6" t="s">
        <v>374</v>
      </c>
      <c r="N365" s="6" t="s">
        <v>2250</v>
      </c>
      <c r="O365" s="6" t="s">
        <v>2251</v>
      </c>
      <c r="P365" s="6" t="s">
        <v>215</v>
      </c>
      <c r="Q365" s="6">
        <v>840</v>
      </c>
      <c r="R365" s="6" t="s">
        <v>359</v>
      </c>
      <c r="S365" s="7">
        <v>840</v>
      </c>
      <c r="T365" s="7" t="s">
        <v>2518</v>
      </c>
      <c r="U365" s="6" t="s">
        <v>66</v>
      </c>
      <c r="V365" s="6" t="s">
        <v>158</v>
      </c>
      <c r="W365" s="6" t="s">
        <v>160</v>
      </c>
      <c r="X365" s="6" t="s">
        <v>2249</v>
      </c>
      <c r="Y365" s="8" t="s">
        <v>3783</v>
      </c>
      <c r="Z365" s="8" t="s">
        <v>3784</v>
      </c>
      <c r="AA365" s="8" t="s">
        <v>3785</v>
      </c>
      <c r="AB365" s="6">
        <v>39890</v>
      </c>
      <c r="AC365" s="6">
        <v>39890</v>
      </c>
      <c r="AE365" s="6" t="s">
        <v>478</v>
      </c>
      <c r="AF365" s="6" t="s">
        <v>178</v>
      </c>
      <c r="AG365" s="6" t="s">
        <v>180</v>
      </c>
      <c r="AH365" s="6" t="s">
        <v>392</v>
      </c>
      <c r="AI365" s="6" t="s">
        <v>182</v>
      </c>
      <c r="AJ365" s="6" t="s">
        <v>393</v>
      </c>
      <c r="AK365" s="6" t="s">
        <v>189</v>
      </c>
      <c r="AL365" s="6" t="s">
        <v>178</v>
      </c>
      <c r="AM365" s="6" t="s">
        <v>189</v>
      </c>
      <c r="AN365" s="6" t="s">
        <v>392</v>
      </c>
      <c r="AO365" s="6" t="s">
        <v>244</v>
      </c>
      <c r="AP365" s="6" t="s">
        <v>394</v>
      </c>
      <c r="AQ365" s="6" t="s">
        <v>288</v>
      </c>
      <c r="AR365" s="6" t="s">
        <v>189</v>
      </c>
      <c r="AS365" s="6" t="s">
        <v>244</v>
      </c>
      <c r="AT365" s="6" t="s">
        <v>244</v>
      </c>
      <c r="AU365" s="6" t="s">
        <v>288</v>
      </c>
      <c r="AV365" s="6" t="s">
        <v>371</v>
      </c>
      <c r="AW365" s="6" t="s">
        <v>244</v>
      </c>
      <c r="AX365" s="6" t="s">
        <v>428</v>
      </c>
    </row>
    <row r="366" spans="1:50">
      <c r="A366" s="6">
        <v>487</v>
      </c>
      <c r="B366" s="5" t="s">
        <v>3786</v>
      </c>
      <c r="C366" s="6">
        <v>5</v>
      </c>
      <c r="D366" s="6" t="s">
        <v>98</v>
      </c>
      <c r="E366" s="6">
        <v>1</v>
      </c>
      <c r="F366" s="6" t="s">
        <v>2252</v>
      </c>
      <c r="G366" s="6">
        <v>41988.924027777779</v>
      </c>
      <c r="H366" s="6">
        <v>41988.924027777779</v>
      </c>
      <c r="I366" s="6">
        <v>41988.924027777779</v>
      </c>
      <c r="J366" s="6" t="s">
        <v>103</v>
      </c>
      <c r="K366" s="6" t="s">
        <v>105</v>
      </c>
      <c r="L366" s="6" t="s">
        <v>2253</v>
      </c>
      <c r="M366" s="6" t="s">
        <v>374</v>
      </c>
      <c r="N366" s="6" t="s">
        <v>2254</v>
      </c>
      <c r="O366" s="6" t="s">
        <v>2255</v>
      </c>
      <c r="P366" s="6" t="s">
        <v>215</v>
      </c>
      <c r="Q366" s="6">
        <v>840</v>
      </c>
      <c r="R366" s="6" t="s">
        <v>359</v>
      </c>
      <c r="S366" s="7">
        <v>840</v>
      </c>
      <c r="T366" s="7" t="s">
        <v>2518</v>
      </c>
      <c r="U366" s="6" t="s">
        <v>66</v>
      </c>
      <c r="V366" s="6" t="s">
        <v>158</v>
      </c>
      <c r="W366" s="6" t="s">
        <v>384</v>
      </c>
      <c r="X366" s="6" t="s">
        <v>2253</v>
      </c>
      <c r="Y366" s="8" t="s">
        <v>3787</v>
      </c>
      <c r="Z366" s="8" t="s">
        <v>3788</v>
      </c>
      <c r="AA366" s="8" t="s">
        <v>3789</v>
      </c>
      <c r="AB366" s="6">
        <v>41017</v>
      </c>
      <c r="AE366" s="6" t="s">
        <v>478</v>
      </c>
      <c r="AF366" s="6" t="s">
        <v>178</v>
      </c>
      <c r="AG366" s="6" t="s">
        <v>180</v>
      </c>
      <c r="AH366" s="6" t="s">
        <v>392</v>
      </c>
      <c r="AI366" s="6" t="s">
        <v>182</v>
      </c>
      <c r="AJ366" s="6" t="s">
        <v>393</v>
      </c>
      <c r="AK366" s="6" t="s">
        <v>189</v>
      </c>
      <c r="AL366" s="6" t="s">
        <v>178</v>
      </c>
      <c r="AM366" s="6" t="s">
        <v>189</v>
      </c>
      <c r="AN366" s="6" t="s">
        <v>181</v>
      </c>
      <c r="AO366" s="6" t="s">
        <v>244</v>
      </c>
      <c r="AP366" s="6" t="s">
        <v>394</v>
      </c>
      <c r="AQ366" s="6" t="s">
        <v>288</v>
      </c>
      <c r="AR366" s="6" t="s">
        <v>189</v>
      </c>
      <c r="AS366" s="6" t="s">
        <v>244</v>
      </c>
      <c r="AT366" s="6" t="s">
        <v>244</v>
      </c>
      <c r="AU366" s="6" t="s">
        <v>288</v>
      </c>
      <c r="AV366" s="6" t="s">
        <v>371</v>
      </c>
      <c r="AW366" s="6" t="s">
        <v>244</v>
      </c>
      <c r="AX366" s="6" t="s">
        <v>247</v>
      </c>
    </row>
    <row r="367" spans="1:50">
      <c r="A367" s="6">
        <v>488</v>
      </c>
      <c r="B367" s="5" t="s">
        <v>3790</v>
      </c>
      <c r="C367" s="6">
        <v>4</v>
      </c>
      <c r="D367" s="6" t="s">
        <v>98</v>
      </c>
      <c r="E367" s="6">
        <v>1</v>
      </c>
      <c r="F367" s="6" t="s">
        <v>2256</v>
      </c>
      <c r="G367" s="6">
        <v>41988.924027777779</v>
      </c>
      <c r="H367" s="6">
        <v>42029.86074074074</v>
      </c>
      <c r="I367" s="6">
        <v>41988.924027777779</v>
      </c>
      <c r="J367" s="6" t="s">
        <v>103</v>
      </c>
      <c r="K367" s="6" t="s">
        <v>105</v>
      </c>
      <c r="L367" s="6" t="s">
        <v>2257</v>
      </c>
      <c r="M367" s="6" t="s">
        <v>374</v>
      </c>
      <c r="N367" s="6" t="s">
        <v>2258</v>
      </c>
      <c r="P367" s="6" t="s">
        <v>215</v>
      </c>
      <c r="Q367" s="6">
        <v>840</v>
      </c>
      <c r="R367" s="6" t="s">
        <v>359</v>
      </c>
      <c r="S367" s="7">
        <v>840</v>
      </c>
      <c r="T367" s="7" t="s">
        <v>2518</v>
      </c>
      <c r="U367" s="6" t="s">
        <v>66</v>
      </c>
      <c r="V367" s="6" t="s">
        <v>158</v>
      </c>
      <c r="W367" s="6" t="s">
        <v>364</v>
      </c>
      <c r="X367" s="6" t="s">
        <v>2257</v>
      </c>
      <c r="Y367" s="8" t="s">
        <v>3791</v>
      </c>
      <c r="Z367" s="8" t="s">
        <v>3792</v>
      </c>
      <c r="AB367" s="6">
        <v>41640</v>
      </c>
      <c r="AE367" s="6" t="s">
        <v>177</v>
      </c>
      <c r="AF367" s="6" t="s">
        <v>178</v>
      </c>
      <c r="AG367" s="6" t="s">
        <v>180</v>
      </c>
      <c r="AH367" s="6" t="s">
        <v>244</v>
      </c>
      <c r="AI367" s="6" t="s">
        <v>244</v>
      </c>
      <c r="AJ367" s="6" t="s">
        <v>244</v>
      </c>
      <c r="AK367" s="6" t="s">
        <v>244</v>
      </c>
      <c r="AL367" s="6" t="s">
        <v>247</v>
      </c>
      <c r="AM367" s="6" t="s">
        <v>244</v>
      </c>
      <c r="AN367" s="6" t="s">
        <v>247</v>
      </c>
      <c r="AO367" s="6" t="s">
        <v>244</v>
      </c>
      <c r="AP367" s="6" t="s">
        <v>190</v>
      </c>
      <c r="AQ367" s="6" t="s">
        <v>288</v>
      </c>
      <c r="AR367" s="6" t="s">
        <v>288</v>
      </c>
      <c r="AS367" s="6" t="s">
        <v>244</v>
      </c>
      <c r="AT367" s="6" t="s">
        <v>244</v>
      </c>
      <c r="AU367" s="6" t="s">
        <v>288</v>
      </c>
      <c r="AV367" s="6" t="s">
        <v>371</v>
      </c>
      <c r="AW367" s="6" t="s">
        <v>244</v>
      </c>
      <c r="AX367" s="6" t="s">
        <v>247</v>
      </c>
    </row>
    <row r="368" spans="1:50">
      <c r="A368" s="6">
        <v>491</v>
      </c>
      <c r="B368" s="5" t="s">
        <v>3793</v>
      </c>
      <c r="C368" s="6">
        <v>3</v>
      </c>
      <c r="D368" s="6" t="s">
        <v>98</v>
      </c>
      <c r="E368" s="6">
        <v>1</v>
      </c>
      <c r="F368" s="6" t="s">
        <v>2268</v>
      </c>
      <c r="G368" s="6">
        <v>41988.924039351848</v>
      </c>
      <c r="H368" s="6">
        <v>41988.924039351848</v>
      </c>
      <c r="I368" s="6">
        <v>41988.924039351848</v>
      </c>
      <c r="J368" s="6" t="s">
        <v>103</v>
      </c>
      <c r="K368" s="6" t="s">
        <v>105</v>
      </c>
      <c r="L368" s="6" t="s">
        <v>2269</v>
      </c>
      <c r="M368" s="6" t="s">
        <v>374</v>
      </c>
      <c r="N368" s="6" t="s">
        <v>2270</v>
      </c>
      <c r="P368" s="6" t="s">
        <v>215</v>
      </c>
      <c r="Q368" s="6">
        <v>840</v>
      </c>
      <c r="R368" s="6" t="s">
        <v>359</v>
      </c>
      <c r="S368" s="7">
        <v>840</v>
      </c>
      <c r="T368" s="7" t="s">
        <v>2518</v>
      </c>
      <c r="U368" s="6" t="s">
        <v>66</v>
      </c>
      <c r="V368" s="6" t="s">
        <v>158</v>
      </c>
      <c r="W368" s="6" t="s">
        <v>364</v>
      </c>
      <c r="X368" s="6" t="s">
        <v>2269</v>
      </c>
      <c r="Y368" s="8" t="s">
        <v>3794</v>
      </c>
      <c r="Z368" s="8" t="s">
        <v>3795</v>
      </c>
      <c r="AA368" s="8" t="s">
        <v>3796</v>
      </c>
      <c r="AC368" s="6">
        <v>39545</v>
      </c>
      <c r="AE368" s="6" t="s">
        <v>177</v>
      </c>
      <c r="AF368" s="6" t="s">
        <v>178</v>
      </c>
      <c r="AG368" s="6" t="s">
        <v>463</v>
      </c>
      <c r="AH368" s="6" t="s">
        <v>392</v>
      </c>
      <c r="AI368" s="6" t="s">
        <v>182</v>
      </c>
      <c r="AJ368" s="6" t="s">
        <v>393</v>
      </c>
      <c r="AK368" s="6" t="s">
        <v>185</v>
      </c>
      <c r="AL368" s="6" t="s">
        <v>178</v>
      </c>
      <c r="AM368" s="6" t="s">
        <v>185</v>
      </c>
      <c r="AN368" s="6" t="s">
        <v>378</v>
      </c>
      <c r="AO368" s="6" t="s">
        <v>189</v>
      </c>
      <c r="AP368" s="6" t="s">
        <v>394</v>
      </c>
      <c r="AQ368" s="6" t="s">
        <v>288</v>
      </c>
      <c r="AR368" s="6" t="s">
        <v>185</v>
      </c>
      <c r="AS368" s="6" t="s">
        <v>395</v>
      </c>
      <c r="AT368" s="6" t="s">
        <v>244</v>
      </c>
      <c r="AU368" s="6" t="s">
        <v>244</v>
      </c>
      <c r="AV368" s="6" t="s">
        <v>371</v>
      </c>
      <c r="AW368" s="6" t="s">
        <v>442</v>
      </c>
      <c r="AX368" s="6" t="s">
        <v>198</v>
      </c>
    </row>
    <row r="369" spans="1:50">
      <c r="A369" s="6">
        <v>492</v>
      </c>
      <c r="B369" s="5" t="s">
        <v>3797</v>
      </c>
      <c r="C369" s="6">
        <v>3</v>
      </c>
      <c r="D369" s="6" t="s">
        <v>98</v>
      </c>
      <c r="E369" s="6">
        <v>1</v>
      </c>
      <c r="F369" s="6" t="s">
        <v>2271</v>
      </c>
      <c r="G369" s="6">
        <v>41988.924039351848</v>
      </c>
      <c r="H369" s="6">
        <v>41988.924039351848</v>
      </c>
      <c r="I369" s="6">
        <v>41988.924039351848</v>
      </c>
      <c r="J369" s="6" t="s">
        <v>103</v>
      </c>
      <c r="K369" s="6" t="s">
        <v>105</v>
      </c>
      <c r="L369" s="6" t="s">
        <v>2272</v>
      </c>
      <c r="M369" s="6" t="s">
        <v>374</v>
      </c>
      <c r="N369" s="6" t="s">
        <v>2273</v>
      </c>
      <c r="P369" s="6" t="s">
        <v>215</v>
      </c>
      <c r="Q369" s="6">
        <v>840</v>
      </c>
      <c r="R369" s="6" t="s">
        <v>359</v>
      </c>
      <c r="S369" s="7">
        <v>840</v>
      </c>
      <c r="T369" s="7" t="s">
        <v>2518</v>
      </c>
      <c r="U369" s="6" t="s">
        <v>66</v>
      </c>
      <c r="V369" s="6" t="s">
        <v>158</v>
      </c>
      <c r="W369" s="6" t="s">
        <v>160</v>
      </c>
      <c r="X369" s="6" t="s">
        <v>2272</v>
      </c>
      <c r="Y369" s="8" t="s">
        <v>3798</v>
      </c>
      <c r="Z369" s="8" t="s">
        <v>3799</v>
      </c>
      <c r="AA369" s="8" t="s">
        <v>3800</v>
      </c>
      <c r="AB369" s="6">
        <v>40135</v>
      </c>
      <c r="AE369" s="6" t="s">
        <v>478</v>
      </c>
      <c r="AF369" s="6" t="s">
        <v>178</v>
      </c>
      <c r="AG369" s="6" t="s">
        <v>180</v>
      </c>
      <c r="AH369" s="6" t="s">
        <v>392</v>
      </c>
      <c r="AI369" s="6" t="s">
        <v>182</v>
      </c>
      <c r="AJ369" s="6" t="s">
        <v>393</v>
      </c>
      <c r="AK369" s="6" t="s">
        <v>189</v>
      </c>
      <c r="AL369" s="6" t="s">
        <v>479</v>
      </c>
      <c r="AM369" s="6" t="s">
        <v>189</v>
      </c>
      <c r="AN369" s="6" t="s">
        <v>247</v>
      </c>
      <c r="AO369" s="6" t="s">
        <v>244</v>
      </c>
      <c r="AP369" s="6" t="s">
        <v>394</v>
      </c>
      <c r="AQ369" s="6" t="s">
        <v>288</v>
      </c>
      <c r="AR369" s="6" t="s">
        <v>189</v>
      </c>
      <c r="AS369" s="6" t="s">
        <v>244</v>
      </c>
      <c r="AT369" s="6" t="s">
        <v>244</v>
      </c>
      <c r="AU369" s="6" t="s">
        <v>288</v>
      </c>
      <c r="AV369" s="6" t="s">
        <v>371</v>
      </c>
      <c r="AW369" s="6" t="s">
        <v>244</v>
      </c>
      <c r="AX369" s="6" t="s">
        <v>247</v>
      </c>
    </row>
    <row r="370" spans="1:50">
      <c r="A370" s="6">
        <v>493</v>
      </c>
      <c r="B370" s="5" t="s">
        <v>3801</v>
      </c>
      <c r="C370" s="6">
        <v>6</v>
      </c>
      <c r="D370" s="6" t="s">
        <v>98</v>
      </c>
      <c r="E370" s="6">
        <v>328</v>
      </c>
      <c r="F370" s="6" t="s">
        <v>2274</v>
      </c>
      <c r="G370" s="6">
        <v>41988.924039351848</v>
      </c>
      <c r="H370" s="6">
        <v>42046.981736111113</v>
      </c>
      <c r="I370" s="6">
        <v>41988.924039351848</v>
      </c>
      <c r="J370" s="6" t="s">
        <v>103</v>
      </c>
      <c r="K370" s="6" t="s">
        <v>105</v>
      </c>
      <c r="L370" s="6" t="s">
        <v>2275</v>
      </c>
      <c r="M370" s="6" t="s">
        <v>374</v>
      </c>
      <c r="N370" s="6" t="s">
        <v>2276</v>
      </c>
      <c r="O370" s="6" t="s">
        <v>2277</v>
      </c>
      <c r="P370" s="6" t="s">
        <v>215</v>
      </c>
      <c r="Q370" s="6">
        <v>840</v>
      </c>
      <c r="R370" s="6" t="s">
        <v>359</v>
      </c>
      <c r="S370" s="7">
        <v>840</v>
      </c>
      <c r="T370" s="7" t="s">
        <v>2518</v>
      </c>
      <c r="U370" s="6" t="s">
        <v>66</v>
      </c>
      <c r="V370" s="6" t="s">
        <v>158</v>
      </c>
      <c r="W370" s="6" t="s">
        <v>160</v>
      </c>
      <c r="X370" s="6" t="s">
        <v>2275</v>
      </c>
      <c r="Y370" s="8" t="s">
        <v>3802</v>
      </c>
      <c r="Z370" s="8" t="s">
        <v>3803</v>
      </c>
      <c r="AA370" s="8" t="s">
        <v>3804</v>
      </c>
      <c r="AB370" s="6">
        <v>41438</v>
      </c>
      <c r="AC370" s="6">
        <v>41438</v>
      </c>
      <c r="AD370" s="6">
        <v>41438</v>
      </c>
      <c r="AE370" s="6" t="s">
        <v>478</v>
      </c>
      <c r="AF370" s="6" t="s">
        <v>178</v>
      </c>
      <c r="AG370" s="6" t="s">
        <v>180</v>
      </c>
      <c r="AH370" s="6" t="s">
        <v>244</v>
      </c>
      <c r="AI370" s="6" t="s">
        <v>182</v>
      </c>
      <c r="AJ370" s="6" t="s">
        <v>393</v>
      </c>
      <c r="AK370" s="6" t="s">
        <v>189</v>
      </c>
      <c r="AL370" s="6" t="s">
        <v>178</v>
      </c>
      <c r="AM370" s="6" t="s">
        <v>189</v>
      </c>
      <c r="AN370" s="6" t="s">
        <v>621</v>
      </c>
      <c r="AO370" s="6" t="s">
        <v>244</v>
      </c>
      <c r="AP370" s="6" t="s">
        <v>648</v>
      </c>
      <c r="AQ370" s="6" t="s">
        <v>189</v>
      </c>
      <c r="AR370" s="6" t="s">
        <v>244</v>
      </c>
      <c r="AS370" s="6" t="s">
        <v>244</v>
      </c>
      <c r="AT370" s="6" t="s">
        <v>244</v>
      </c>
      <c r="AU370" s="6" t="s">
        <v>244</v>
      </c>
      <c r="AV370" s="6" t="s">
        <v>371</v>
      </c>
      <c r="AW370" s="6" t="s">
        <v>244</v>
      </c>
      <c r="AX370" s="6" t="s">
        <v>247</v>
      </c>
    </row>
    <row r="371" spans="1:50">
      <c r="A371" s="6">
        <v>497</v>
      </c>
      <c r="B371" s="5" t="s">
        <v>3805</v>
      </c>
      <c r="C371" s="6">
        <v>6</v>
      </c>
      <c r="D371" s="6" t="s">
        <v>98</v>
      </c>
      <c r="E371" s="6">
        <v>329</v>
      </c>
      <c r="F371" s="6" t="s">
        <v>2292</v>
      </c>
      <c r="G371" s="6">
        <v>41988.924050925925</v>
      </c>
      <c r="H371" s="6">
        <v>42046.981736111113</v>
      </c>
      <c r="I371" s="6">
        <v>41988.924050925925</v>
      </c>
      <c r="J371" s="6" t="s">
        <v>103</v>
      </c>
      <c r="K371" s="6" t="s">
        <v>105</v>
      </c>
      <c r="L371" s="6" t="s">
        <v>2293</v>
      </c>
      <c r="M371" s="6" t="s">
        <v>374</v>
      </c>
      <c r="O371" s="6" t="s">
        <v>2294</v>
      </c>
      <c r="P371" s="6" t="s">
        <v>215</v>
      </c>
      <c r="Q371" s="6">
        <v>840</v>
      </c>
      <c r="R371" s="6" t="s">
        <v>359</v>
      </c>
      <c r="S371" s="7">
        <v>840</v>
      </c>
      <c r="T371" s="7" t="s">
        <v>2518</v>
      </c>
      <c r="U371" s="6" t="s">
        <v>66</v>
      </c>
      <c r="V371" s="6" t="s">
        <v>158</v>
      </c>
      <c r="W371" s="6" t="s">
        <v>160</v>
      </c>
      <c r="X371" s="6" t="s">
        <v>2293</v>
      </c>
      <c r="Y371" s="8" t="s">
        <v>3806</v>
      </c>
      <c r="Z371" s="8" t="s">
        <v>3807</v>
      </c>
      <c r="AA371" s="8" t="s">
        <v>3808</v>
      </c>
      <c r="AB371" s="6">
        <v>41017</v>
      </c>
      <c r="AC371" s="6">
        <v>41017</v>
      </c>
      <c r="AE371" s="6" t="s">
        <v>478</v>
      </c>
      <c r="AF371" s="6" t="s">
        <v>178</v>
      </c>
      <c r="AG371" s="6" t="s">
        <v>180</v>
      </c>
      <c r="AH371" s="6" t="s">
        <v>392</v>
      </c>
      <c r="AI371" s="6" t="s">
        <v>182</v>
      </c>
      <c r="AJ371" s="6" t="s">
        <v>393</v>
      </c>
      <c r="AK371" s="6" t="s">
        <v>189</v>
      </c>
      <c r="AL371" s="6" t="s">
        <v>178</v>
      </c>
      <c r="AM371" s="6" t="s">
        <v>189</v>
      </c>
      <c r="AN371" s="6" t="s">
        <v>392</v>
      </c>
      <c r="AO371" s="6" t="s">
        <v>185</v>
      </c>
      <c r="AP371" s="6" t="s">
        <v>394</v>
      </c>
      <c r="AQ371" s="6" t="s">
        <v>244</v>
      </c>
      <c r="AR371" s="6" t="s">
        <v>189</v>
      </c>
      <c r="AS371" s="6" t="s">
        <v>244</v>
      </c>
      <c r="AT371" s="6" t="s">
        <v>244</v>
      </c>
      <c r="AU371" s="6" t="s">
        <v>244</v>
      </c>
      <c r="AV371" s="6" t="s">
        <v>339</v>
      </c>
      <c r="AW371" s="6" t="s">
        <v>244</v>
      </c>
      <c r="AX371" s="6" t="s">
        <v>198</v>
      </c>
    </row>
    <row r="372" spans="1:50">
      <c r="A372" s="6">
        <v>498</v>
      </c>
      <c r="B372" s="5" t="s">
        <v>3809</v>
      </c>
      <c r="C372" s="6">
        <v>5</v>
      </c>
      <c r="D372" s="6" t="s">
        <v>98</v>
      </c>
      <c r="E372" s="6">
        <v>1</v>
      </c>
      <c r="F372" s="6" t="s">
        <v>2295</v>
      </c>
      <c r="G372" s="6">
        <v>41988.924050925925</v>
      </c>
      <c r="H372" s="6">
        <v>41988.924050925925</v>
      </c>
      <c r="I372" s="6">
        <v>41988.924050925925</v>
      </c>
      <c r="J372" s="6" t="s">
        <v>103</v>
      </c>
      <c r="K372" s="6" t="s">
        <v>105</v>
      </c>
      <c r="L372" s="6" t="s">
        <v>2296</v>
      </c>
      <c r="M372" s="6" t="s">
        <v>374</v>
      </c>
      <c r="N372" s="6" t="s">
        <v>2297</v>
      </c>
      <c r="O372" s="6" t="s">
        <v>2298</v>
      </c>
      <c r="P372" s="6" t="s">
        <v>215</v>
      </c>
      <c r="Q372" s="6">
        <v>840</v>
      </c>
      <c r="R372" s="6" t="s">
        <v>359</v>
      </c>
      <c r="S372" s="7">
        <v>840</v>
      </c>
      <c r="T372" s="7" t="s">
        <v>2518</v>
      </c>
      <c r="U372" s="6" t="s">
        <v>66</v>
      </c>
      <c r="V372" s="6" t="s">
        <v>158</v>
      </c>
      <c r="W372" s="6" t="s">
        <v>160</v>
      </c>
      <c r="X372" s="6" t="s">
        <v>2296</v>
      </c>
      <c r="Y372" s="8" t="s">
        <v>3810</v>
      </c>
      <c r="Z372" s="8" t="s">
        <v>3811</v>
      </c>
      <c r="AA372" s="8" t="s">
        <v>3812</v>
      </c>
      <c r="AB372" s="6">
        <v>40234</v>
      </c>
      <c r="AC372" s="6">
        <v>40234</v>
      </c>
      <c r="AD372" s="6">
        <v>40234</v>
      </c>
      <c r="AE372" s="6" t="s">
        <v>478</v>
      </c>
      <c r="AF372" s="6" t="s">
        <v>178</v>
      </c>
      <c r="AG372" s="6" t="s">
        <v>180</v>
      </c>
      <c r="AH372" s="6" t="s">
        <v>244</v>
      </c>
      <c r="AI372" s="6" t="s">
        <v>182</v>
      </c>
      <c r="AJ372" s="6" t="s">
        <v>393</v>
      </c>
      <c r="AK372" s="6" t="s">
        <v>189</v>
      </c>
      <c r="AL372" s="6" t="s">
        <v>479</v>
      </c>
      <c r="AM372" s="6" t="s">
        <v>189</v>
      </c>
      <c r="AN372" s="6" t="s">
        <v>378</v>
      </c>
      <c r="AO372" s="6" t="s">
        <v>244</v>
      </c>
      <c r="AP372" s="6" t="s">
        <v>247</v>
      </c>
      <c r="AQ372" s="6" t="s">
        <v>244</v>
      </c>
      <c r="AR372" s="6" t="s">
        <v>244</v>
      </c>
      <c r="AS372" s="6" t="s">
        <v>193</v>
      </c>
      <c r="AT372" s="6" t="s">
        <v>193</v>
      </c>
      <c r="AU372" s="6" t="s">
        <v>244</v>
      </c>
      <c r="AV372" s="6" t="s">
        <v>244</v>
      </c>
      <c r="AW372" s="6" t="s">
        <v>244</v>
      </c>
      <c r="AX372" s="6" t="s">
        <v>247</v>
      </c>
    </row>
    <row r="373" spans="1:50">
      <c r="A373" s="6">
        <v>499</v>
      </c>
      <c r="B373" s="5" t="s">
        <v>3813</v>
      </c>
      <c r="C373" s="6">
        <v>6</v>
      </c>
      <c r="D373" s="6" t="s">
        <v>98</v>
      </c>
      <c r="E373" s="6">
        <v>330</v>
      </c>
      <c r="F373" s="6" t="s">
        <v>2299</v>
      </c>
      <c r="G373" s="6">
        <v>41988.924050925925</v>
      </c>
      <c r="H373" s="6">
        <v>42065.675208333334</v>
      </c>
      <c r="I373" s="6">
        <v>41988.924050925925</v>
      </c>
      <c r="J373" s="6" t="s">
        <v>103</v>
      </c>
      <c r="K373" s="6" t="s">
        <v>105</v>
      </c>
      <c r="L373" s="6" t="s">
        <v>2300</v>
      </c>
      <c r="M373" s="6" t="s">
        <v>374</v>
      </c>
      <c r="N373" s="6" t="s">
        <v>2301</v>
      </c>
      <c r="P373" s="6" t="s">
        <v>215</v>
      </c>
      <c r="Q373" s="6">
        <v>840</v>
      </c>
      <c r="R373" s="6" t="s">
        <v>359</v>
      </c>
      <c r="S373" s="7">
        <v>840</v>
      </c>
      <c r="T373" s="7" t="s">
        <v>2518</v>
      </c>
      <c r="U373" s="6" t="s">
        <v>66</v>
      </c>
      <c r="V373" s="6" t="s">
        <v>158</v>
      </c>
      <c r="W373" s="6" t="s">
        <v>160</v>
      </c>
      <c r="X373" s="6" t="s">
        <v>2300</v>
      </c>
      <c r="Y373" s="8" t="s">
        <v>3814</v>
      </c>
      <c r="Z373" s="8" t="s">
        <v>3815</v>
      </c>
      <c r="AA373" s="8" t="s">
        <v>3816</v>
      </c>
      <c r="AB373" s="6">
        <v>41201</v>
      </c>
      <c r="AC373" s="6">
        <v>42248</v>
      </c>
      <c r="AD373" s="6">
        <v>41913</v>
      </c>
      <c r="AE373" s="6" t="s">
        <v>371</v>
      </c>
      <c r="AF373" s="6" t="s">
        <v>178</v>
      </c>
      <c r="AG373" s="6" t="s">
        <v>180</v>
      </c>
      <c r="AH373" s="6" t="s">
        <v>392</v>
      </c>
      <c r="AI373" s="6" t="s">
        <v>182</v>
      </c>
      <c r="AJ373" s="6" t="s">
        <v>393</v>
      </c>
      <c r="AK373" s="6" t="s">
        <v>189</v>
      </c>
      <c r="AL373" s="6" t="s">
        <v>479</v>
      </c>
      <c r="AM373" s="6" t="s">
        <v>189</v>
      </c>
      <c r="AN373" s="6" t="s">
        <v>181</v>
      </c>
      <c r="AO373" s="6" t="s">
        <v>185</v>
      </c>
      <c r="AP373" s="6" t="s">
        <v>648</v>
      </c>
      <c r="AQ373" s="6" t="s">
        <v>189</v>
      </c>
      <c r="AR373" s="6" t="s">
        <v>189</v>
      </c>
      <c r="AS373" s="6" t="s">
        <v>244</v>
      </c>
      <c r="AT373" s="6" t="s">
        <v>244</v>
      </c>
      <c r="AU373" s="6" t="s">
        <v>288</v>
      </c>
      <c r="AV373" s="6" t="s">
        <v>339</v>
      </c>
      <c r="AW373" s="6" t="s">
        <v>244</v>
      </c>
      <c r="AX373" s="6" t="s">
        <v>247</v>
      </c>
    </row>
    <row r="374" spans="1:50">
      <c r="A374" s="6">
        <v>502</v>
      </c>
      <c r="B374" s="5" t="s">
        <v>3817</v>
      </c>
      <c r="C374" s="6">
        <v>3</v>
      </c>
      <c r="D374" s="6" t="s">
        <v>98</v>
      </c>
      <c r="E374" s="6">
        <v>1</v>
      </c>
      <c r="F374" s="6" t="s">
        <v>2310</v>
      </c>
      <c r="G374" s="6">
        <v>41988.924050925925</v>
      </c>
      <c r="H374" s="6">
        <v>41988.924050925925</v>
      </c>
      <c r="I374" s="6">
        <v>41988.924050925925</v>
      </c>
      <c r="J374" s="6" t="s">
        <v>103</v>
      </c>
      <c r="K374" s="6" t="s">
        <v>105</v>
      </c>
      <c r="L374" s="6" t="s">
        <v>2311</v>
      </c>
      <c r="M374" s="6" t="s">
        <v>374</v>
      </c>
      <c r="N374" s="6" t="s">
        <v>2312</v>
      </c>
      <c r="P374" s="6" t="s">
        <v>215</v>
      </c>
      <c r="Q374" s="6">
        <v>840</v>
      </c>
      <c r="R374" s="6" t="s">
        <v>359</v>
      </c>
      <c r="S374" s="7">
        <v>840</v>
      </c>
      <c r="T374" s="7" t="s">
        <v>2518</v>
      </c>
      <c r="U374" s="6" t="s">
        <v>66</v>
      </c>
      <c r="V374" s="6" t="s">
        <v>158</v>
      </c>
      <c r="W374" s="6" t="s">
        <v>384</v>
      </c>
      <c r="X374" s="6" t="s">
        <v>2311</v>
      </c>
      <c r="Y374" s="8" t="s">
        <v>3818</v>
      </c>
      <c r="Z374" s="8" t="s">
        <v>3819</v>
      </c>
      <c r="AA374" s="8" t="s">
        <v>3820</v>
      </c>
      <c r="AB374" s="6">
        <v>39609</v>
      </c>
      <c r="AC374" s="6">
        <v>39624</v>
      </c>
      <c r="AE374" s="6" t="s">
        <v>478</v>
      </c>
      <c r="AF374" s="6" t="s">
        <v>178</v>
      </c>
      <c r="AG374" s="6" t="s">
        <v>180</v>
      </c>
      <c r="AH374" s="6" t="s">
        <v>392</v>
      </c>
      <c r="AI374" s="6" t="s">
        <v>182</v>
      </c>
      <c r="AJ374" s="6" t="s">
        <v>393</v>
      </c>
      <c r="AK374" s="6" t="s">
        <v>189</v>
      </c>
      <c r="AL374" s="6" t="s">
        <v>479</v>
      </c>
      <c r="AM374" s="6" t="s">
        <v>189</v>
      </c>
      <c r="AN374" s="6" t="s">
        <v>247</v>
      </c>
      <c r="AO374" s="6" t="s">
        <v>244</v>
      </c>
      <c r="AP374" s="6" t="s">
        <v>386</v>
      </c>
      <c r="AQ374" s="6" t="s">
        <v>288</v>
      </c>
      <c r="AR374" s="6" t="s">
        <v>189</v>
      </c>
      <c r="AS374" s="6" t="s">
        <v>244</v>
      </c>
      <c r="AT374" s="6" t="s">
        <v>244</v>
      </c>
      <c r="AU374" s="6" t="s">
        <v>288</v>
      </c>
      <c r="AV374" s="6" t="s">
        <v>339</v>
      </c>
      <c r="AW374" s="6" t="s">
        <v>244</v>
      </c>
      <c r="AX374" s="6" t="s">
        <v>247</v>
      </c>
    </row>
    <row r="375" spans="1:50">
      <c r="A375" s="6">
        <v>503</v>
      </c>
      <c r="B375" s="5" t="s">
        <v>3821</v>
      </c>
      <c r="C375" s="6">
        <v>3</v>
      </c>
      <c r="D375" s="6" t="s">
        <v>98</v>
      </c>
      <c r="E375" s="6">
        <v>1</v>
      </c>
      <c r="F375" s="6" t="s">
        <v>2313</v>
      </c>
      <c r="G375" s="6">
        <v>41988.924050925925</v>
      </c>
      <c r="H375" s="6">
        <v>41988.924050925925</v>
      </c>
      <c r="I375" s="6">
        <v>41988.924050925925</v>
      </c>
      <c r="J375" s="6" t="s">
        <v>103</v>
      </c>
      <c r="K375" s="6" t="s">
        <v>105</v>
      </c>
      <c r="L375" s="6" t="s">
        <v>2314</v>
      </c>
      <c r="M375" s="6" t="s">
        <v>352</v>
      </c>
      <c r="N375" s="6" t="s">
        <v>2315</v>
      </c>
      <c r="P375" s="6" t="s">
        <v>215</v>
      </c>
      <c r="Q375" s="6">
        <v>840</v>
      </c>
      <c r="R375" s="6" t="s">
        <v>359</v>
      </c>
      <c r="S375" s="7">
        <v>840</v>
      </c>
      <c r="T375" s="7" t="s">
        <v>2518</v>
      </c>
      <c r="U375" s="6" t="s">
        <v>66</v>
      </c>
      <c r="V375" s="6" t="s">
        <v>158</v>
      </c>
      <c r="W375" s="6" t="s">
        <v>384</v>
      </c>
      <c r="X375" s="6" t="s">
        <v>2314</v>
      </c>
      <c r="Y375" s="8" t="s">
        <v>3822</v>
      </c>
      <c r="Z375" s="8" t="s">
        <v>3823</v>
      </c>
      <c r="AA375" s="8" t="s">
        <v>3824</v>
      </c>
      <c r="AE375" s="6" t="s">
        <v>244</v>
      </c>
      <c r="AF375" s="6" t="s">
        <v>178</v>
      </c>
      <c r="AG375" s="6" t="s">
        <v>180</v>
      </c>
      <c r="AH375" s="6" t="s">
        <v>377</v>
      </c>
      <c r="AI375" s="6" t="s">
        <v>385</v>
      </c>
      <c r="AJ375" s="6" t="s">
        <v>183</v>
      </c>
      <c r="AK375" s="6" t="s">
        <v>185</v>
      </c>
      <c r="AL375" s="6" t="s">
        <v>178</v>
      </c>
      <c r="AM375" s="6" t="s">
        <v>189</v>
      </c>
      <c r="AN375" s="6" t="s">
        <v>378</v>
      </c>
      <c r="AO375" s="6" t="s">
        <v>244</v>
      </c>
      <c r="AP375" s="6" t="s">
        <v>247</v>
      </c>
      <c r="AQ375" s="6" t="s">
        <v>288</v>
      </c>
      <c r="AR375" s="6" t="s">
        <v>189</v>
      </c>
      <c r="AS375" s="6" t="s">
        <v>244</v>
      </c>
      <c r="AT375" s="6" t="s">
        <v>244</v>
      </c>
      <c r="AU375" s="6" t="s">
        <v>288</v>
      </c>
      <c r="AV375" s="6" t="s">
        <v>339</v>
      </c>
      <c r="AW375" s="6" t="s">
        <v>244</v>
      </c>
      <c r="AX375" s="6" t="s">
        <v>247</v>
      </c>
    </row>
    <row r="376" spans="1:50">
      <c r="A376" s="6">
        <v>504</v>
      </c>
      <c r="B376" s="5" t="s">
        <v>3825</v>
      </c>
      <c r="C376" s="6">
        <v>3</v>
      </c>
      <c r="D376" s="6" t="s">
        <v>98</v>
      </c>
      <c r="E376" s="6">
        <v>1</v>
      </c>
      <c r="F376" s="6" t="s">
        <v>2316</v>
      </c>
      <c r="G376" s="6">
        <v>41988.924050925925</v>
      </c>
      <c r="H376" s="6">
        <v>41988.924050925925</v>
      </c>
      <c r="I376" s="6">
        <v>41988.924050925925</v>
      </c>
      <c r="J376" s="6" t="s">
        <v>103</v>
      </c>
      <c r="K376" s="6" t="s">
        <v>105</v>
      </c>
      <c r="L376" s="6" t="s">
        <v>2317</v>
      </c>
      <c r="M376" s="6" t="s">
        <v>352</v>
      </c>
      <c r="N376" s="6" t="s">
        <v>2318</v>
      </c>
      <c r="P376" s="6" t="s">
        <v>215</v>
      </c>
      <c r="Q376" s="6">
        <v>840</v>
      </c>
      <c r="R376" s="6" t="s">
        <v>359</v>
      </c>
      <c r="S376" s="7">
        <v>840</v>
      </c>
      <c r="T376" s="7" t="s">
        <v>2518</v>
      </c>
      <c r="U376" s="6" t="s">
        <v>66</v>
      </c>
      <c r="V376" s="6" t="s">
        <v>158</v>
      </c>
      <c r="W376" s="6" t="s">
        <v>384</v>
      </c>
      <c r="X376" s="6" t="s">
        <v>2317</v>
      </c>
      <c r="Y376" s="8" t="s">
        <v>3826</v>
      </c>
      <c r="Z376" s="8" t="s">
        <v>3827</v>
      </c>
      <c r="AA376" s="8" t="s">
        <v>3828</v>
      </c>
      <c r="AE376" s="6" t="s">
        <v>244</v>
      </c>
      <c r="AF376" s="6" t="s">
        <v>178</v>
      </c>
      <c r="AG376" s="6" t="s">
        <v>180</v>
      </c>
      <c r="AH376" s="6" t="s">
        <v>377</v>
      </c>
      <c r="AI376" s="6" t="s">
        <v>385</v>
      </c>
      <c r="AJ376" s="6" t="s">
        <v>183</v>
      </c>
      <c r="AK376" s="6" t="s">
        <v>185</v>
      </c>
      <c r="AL376" s="6" t="s">
        <v>178</v>
      </c>
      <c r="AM376" s="6" t="s">
        <v>185</v>
      </c>
      <c r="AN376" s="6" t="s">
        <v>378</v>
      </c>
      <c r="AO376" s="6" t="s">
        <v>244</v>
      </c>
      <c r="AP376" s="6" t="s">
        <v>247</v>
      </c>
      <c r="AQ376" s="6" t="s">
        <v>288</v>
      </c>
      <c r="AR376" s="6" t="s">
        <v>185</v>
      </c>
      <c r="AS376" s="6" t="s">
        <v>244</v>
      </c>
      <c r="AT376" s="6" t="s">
        <v>244</v>
      </c>
      <c r="AU376" s="6" t="s">
        <v>288</v>
      </c>
      <c r="AV376" s="6" t="s">
        <v>339</v>
      </c>
      <c r="AW376" s="6" t="s">
        <v>244</v>
      </c>
      <c r="AX376" s="6" t="s">
        <v>247</v>
      </c>
    </row>
    <row r="377" spans="1:50">
      <c r="A377" s="6">
        <v>505</v>
      </c>
      <c r="B377" s="5" t="s">
        <v>3829</v>
      </c>
      <c r="C377" s="6">
        <v>4</v>
      </c>
      <c r="D377" s="6" t="s">
        <v>98</v>
      </c>
      <c r="E377" s="6">
        <v>331</v>
      </c>
      <c r="F377" s="6" t="s">
        <v>2319</v>
      </c>
      <c r="G377" s="6">
        <v>41988.924050925925</v>
      </c>
      <c r="H377" s="6">
        <v>42046.981736111113</v>
      </c>
      <c r="I377" s="6">
        <v>41988.924050925925</v>
      </c>
      <c r="J377" s="6" t="s">
        <v>103</v>
      </c>
      <c r="K377" s="6" t="s">
        <v>105</v>
      </c>
      <c r="L377" s="6" t="s">
        <v>2320</v>
      </c>
      <c r="M377" s="6" t="s">
        <v>374</v>
      </c>
      <c r="N377" s="6" t="s">
        <v>2312</v>
      </c>
      <c r="P377" s="6" t="s">
        <v>215</v>
      </c>
      <c r="Q377" s="6">
        <v>840</v>
      </c>
      <c r="R377" s="6" t="s">
        <v>359</v>
      </c>
      <c r="S377" s="7">
        <v>840</v>
      </c>
      <c r="T377" s="7" t="s">
        <v>2518</v>
      </c>
      <c r="U377" s="6" t="s">
        <v>66</v>
      </c>
      <c r="V377" s="6" t="s">
        <v>158</v>
      </c>
      <c r="W377" s="6" t="s">
        <v>160</v>
      </c>
      <c r="X377" s="6" t="s">
        <v>2320</v>
      </c>
      <c r="Y377" s="8" t="s">
        <v>3830</v>
      </c>
      <c r="Z377" s="8" t="s">
        <v>3831</v>
      </c>
      <c r="AA377" s="8" t="s">
        <v>3832</v>
      </c>
      <c r="AB377" s="6">
        <v>41337</v>
      </c>
      <c r="AE377" s="6" t="s">
        <v>478</v>
      </c>
      <c r="AF377" s="6" t="s">
        <v>178</v>
      </c>
      <c r="AG377" s="6" t="s">
        <v>180</v>
      </c>
      <c r="AH377" s="6" t="s">
        <v>392</v>
      </c>
      <c r="AI377" s="6" t="s">
        <v>182</v>
      </c>
      <c r="AJ377" s="6" t="s">
        <v>393</v>
      </c>
      <c r="AK377" s="6" t="s">
        <v>189</v>
      </c>
      <c r="AL377" s="6" t="s">
        <v>479</v>
      </c>
      <c r="AM377" s="6" t="s">
        <v>189</v>
      </c>
      <c r="AN377" s="6" t="s">
        <v>247</v>
      </c>
      <c r="AO377" s="6" t="s">
        <v>244</v>
      </c>
      <c r="AP377" s="6" t="s">
        <v>386</v>
      </c>
      <c r="AQ377" s="6" t="s">
        <v>288</v>
      </c>
      <c r="AR377" s="6" t="s">
        <v>189</v>
      </c>
      <c r="AS377" s="6" t="s">
        <v>244</v>
      </c>
      <c r="AT377" s="6" t="s">
        <v>244</v>
      </c>
      <c r="AU377" s="6" t="s">
        <v>288</v>
      </c>
      <c r="AV377" s="6" t="s">
        <v>339</v>
      </c>
      <c r="AW377" s="6" t="s">
        <v>244</v>
      </c>
      <c r="AX377" s="6" t="s">
        <v>247</v>
      </c>
    </row>
    <row r="378" spans="1:50">
      <c r="A378" s="6">
        <v>506</v>
      </c>
      <c r="B378" s="5" t="s">
        <v>3833</v>
      </c>
      <c r="C378" s="6">
        <v>3</v>
      </c>
      <c r="D378" s="6" t="s">
        <v>98</v>
      </c>
      <c r="E378" s="6">
        <v>1</v>
      </c>
      <c r="F378" s="6" t="s">
        <v>2321</v>
      </c>
      <c r="G378" s="6">
        <v>41988.924062500002</v>
      </c>
      <c r="H378" s="6">
        <v>41988.924062500002</v>
      </c>
      <c r="I378" s="6">
        <v>41988.924062500002</v>
      </c>
      <c r="J378" s="6" t="s">
        <v>103</v>
      </c>
      <c r="K378" s="6" t="s">
        <v>105</v>
      </c>
      <c r="L378" s="6" t="s">
        <v>2322</v>
      </c>
      <c r="M378" s="6" t="s">
        <v>374</v>
      </c>
      <c r="N378" s="6" t="s">
        <v>2323</v>
      </c>
      <c r="P378" s="6" t="s">
        <v>215</v>
      </c>
      <c r="Q378" s="6">
        <v>840</v>
      </c>
      <c r="R378" s="6" t="s">
        <v>359</v>
      </c>
      <c r="S378" s="7">
        <v>840</v>
      </c>
      <c r="T378" s="7" t="s">
        <v>2518</v>
      </c>
      <c r="U378" s="6" t="s">
        <v>66</v>
      </c>
      <c r="V378" s="6" t="s">
        <v>158</v>
      </c>
      <c r="W378" s="6" t="s">
        <v>160</v>
      </c>
      <c r="X378" s="6" t="s">
        <v>2322</v>
      </c>
      <c r="Y378" s="8" t="s">
        <v>3834</v>
      </c>
      <c r="Z378" s="8" t="s">
        <v>3835</v>
      </c>
      <c r="AB378" s="6">
        <v>40081</v>
      </c>
      <c r="AE378" s="6" t="s">
        <v>478</v>
      </c>
      <c r="AF378" s="6" t="s">
        <v>178</v>
      </c>
      <c r="AG378" s="6" t="s">
        <v>370</v>
      </c>
      <c r="AH378" s="6" t="s">
        <v>244</v>
      </c>
      <c r="AI378" s="6" t="s">
        <v>182</v>
      </c>
      <c r="AJ378" s="6" t="s">
        <v>393</v>
      </c>
      <c r="AK378" s="6" t="s">
        <v>189</v>
      </c>
      <c r="AL378" s="6" t="s">
        <v>479</v>
      </c>
      <c r="AM378" s="6" t="s">
        <v>189</v>
      </c>
      <c r="AN378" s="6" t="s">
        <v>378</v>
      </c>
      <c r="AO378" s="6" t="s">
        <v>244</v>
      </c>
      <c r="AP378" s="6" t="s">
        <v>386</v>
      </c>
      <c r="AQ378" s="6" t="s">
        <v>288</v>
      </c>
      <c r="AR378" s="6" t="s">
        <v>189</v>
      </c>
      <c r="AS378" s="6" t="s">
        <v>244</v>
      </c>
      <c r="AT378" s="6" t="s">
        <v>244</v>
      </c>
      <c r="AU378" s="6" t="s">
        <v>288</v>
      </c>
      <c r="AV378" s="6" t="s">
        <v>339</v>
      </c>
      <c r="AW378" s="6" t="s">
        <v>341</v>
      </c>
      <c r="AX378" s="6" t="s">
        <v>247</v>
      </c>
    </row>
    <row r="379" spans="1:50">
      <c r="A379" s="6">
        <v>507</v>
      </c>
      <c r="B379" s="5" t="s">
        <v>3836</v>
      </c>
      <c r="C379" s="6">
        <v>5</v>
      </c>
      <c r="D379" s="6" t="s">
        <v>98</v>
      </c>
      <c r="E379" s="6">
        <v>1</v>
      </c>
      <c r="F379" s="6" t="s">
        <v>2324</v>
      </c>
      <c r="G379" s="6">
        <v>41988.924062500002</v>
      </c>
      <c r="H379" s="6">
        <v>42066.698067129626</v>
      </c>
      <c r="I379" s="6">
        <v>41988.924062500002</v>
      </c>
      <c r="J379" s="6" t="s">
        <v>103</v>
      </c>
      <c r="K379" s="6" t="s">
        <v>105</v>
      </c>
      <c r="L379" s="6" t="s">
        <v>2325</v>
      </c>
      <c r="M379" s="6" t="s">
        <v>307</v>
      </c>
      <c r="P379" s="6" t="s">
        <v>215</v>
      </c>
      <c r="Q379" s="6">
        <v>840</v>
      </c>
      <c r="R379" s="6" t="s">
        <v>359</v>
      </c>
      <c r="S379" s="7">
        <v>840</v>
      </c>
      <c r="T379" s="7" t="s">
        <v>2518</v>
      </c>
      <c r="U379" s="6" t="s">
        <v>66</v>
      </c>
      <c r="V379" s="6" t="s">
        <v>158</v>
      </c>
      <c r="W379" s="6" t="s">
        <v>364</v>
      </c>
      <c r="X379" s="6" t="s">
        <v>2325</v>
      </c>
      <c r="Y379" s="8" t="s">
        <v>3837</v>
      </c>
      <c r="Z379" s="8" t="s">
        <v>3838</v>
      </c>
      <c r="AA379" s="8" t="s">
        <v>3796</v>
      </c>
      <c r="AB379" s="6">
        <v>41327</v>
      </c>
      <c r="AE379" s="6" t="s">
        <v>177</v>
      </c>
      <c r="AF379" s="6" t="s">
        <v>178</v>
      </c>
      <c r="AG379" s="6" t="s">
        <v>463</v>
      </c>
      <c r="AH379" s="6" t="s">
        <v>244</v>
      </c>
      <c r="AI379" s="6" t="s">
        <v>182</v>
      </c>
      <c r="AJ379" s="6" t="s">
        <v>393</v>
      </c>
      <c r="AK379" s="6" t="s">
        <v>244</v>
      </c>
      <c r="AL379" s="6" t="s">
        <v>247</v>
      </c>
      <c r="AM379" s="6" t="s">
        <v>244</v>
      </c>
      <c r="AN379" s="6" t="s">
        <v>247</v>
      </c>
      <c r="AO379" s="6" t="s">
        <v>189</v>
      </c>
      <c r="AP379" s="6" t="s">
        <v>247</v>
      </c>
      <c r="AQ379" s="6" t="s">
        <v>244</v>
      </c>
      <c r="AR379" s="6" t="s">
        <v>244</v>
      </c>
      <c r="AS379" s="6" t="s">
        <v>395</v>
      </c>
      <c r="AT379" s="6" t="s">
        <v>395</v>
      </c>
      <c r="AU379" s="6" t="s">
        <v>244</v>
      </c>
      <c r="AV379" s="6" t="s">
        <v>244</v>
      </c>
      <c r="AW379" s="6" t="s">
        <v>244</v>
      </c>
      <c r="AX379" s="6" t="s">
        <v>247</v>
      </c>
    </row>
    <row r="380" spans="1:50">
      <c r="A380" s="6">
        <v>531</v>
      </c>
      <c r="B380" s="5" t="s">
        <v>3369</v>
      </c>
      <c r="C380" s="6">
        <v>3</v>
      </c>
      <c r="D380" s="6" t="s">
        <v>98</v>
      </c>
      <c r="E380" s="6">
        <v>1</v>
      </c>
      <c r="F380" s="6" t="s">
        <v>2332</v>
      </c>
      <c r="G380" s="6">
        <v>41988.924097222225</v>
      </c>
      <c r="H380" s="6">
        <v>41988.924097222225</v>
      </c>
      <c r="I380" s="6">
        <v>41988.924097222225</v>
      </c>
      <c r="J380" s="6" t="s">
        <v>103</v>
      </c>
      <c r="K380" s="6" t="s">
        <v>105</v>
      </c>
      <c r="L380" s="6" t="s">
        <v>2333</v>
      </c>
      <c r="M380" s="6" t="s">
        <v>637</v>
      </c>
      <c r="N380" s="6" t="s">
        <v>2334</v>
      </c>
      <c r="P380" s="6" t="s">
        <v>215</v>
      </c>
      <c r="Q380" s="6">
        <v>840</v>
      </c>
      <c r="R380" s="6" t="s">
        <v>359</v>
      </c>
      <c r="S380" s="7">
        <v>840</v>
      </c>
      <c r="T380" s="7" t="s">
        <v>2518</v>
      </c>
      <c r="U380" s="6" t="s">
        <v>66</v>
      </c>
      <c r="V380" s="6" t="s">
        <v>158</v>
      </c>
      <c r="W380" s="6" t="s">
        <v>364</v>
      </c>
      <c r="X380" s="6" t="s">
        <v>2333</v>
      </c>
      <c r="Y380" s="8" t="s">
        <v>3839</v>
      </c>
      <c r="Z380" s="8" t="s">
        <v>3840</v>
      </c>
      <c r="AA380" s="6" t="s">
        <v>2335</v>
      </c>
      <c r="AB380" s="6">
        <v>41654</v>
      </c>
      <c r="AE380" s="6" t="s">
        <v>177</v>
      </c>
      <c r="AF380" s="6" t="s">
        <v>178</v>
      </c>
      <c r="AG380" s="6" t="s">
        <v>370</v>
      </c>
      <c r="AH380" s="6" t="s">
        <v>244</v>
      </c>
      <c r="AI380" s="6" t="s">
        <v>182</v>
      </c>
      <c r="AJ380" s="6" t="s">
        <v>393</v>
      </c>
      <c r="AK380" s="6" t="s">
        <v>244</v>
      </c>
      <c r="AL380" s="6" t="s">
        <v>247</v>
      </c>
      <c r="AM380" s="6" t="s">
        <v>244</v>
      </c>
      <c r="AN380" s="6" t="s">
        <v>378</v>
      </c>
      <c r="AO380" s="6" t="s">
        <v>244</v>
      </c>
      <c r="AP380" s="6" t="s">
        <v>247</v>
      </c>
      <c r="AQ380" s="6" t="s">
        <v>288</v>
      </c>
      <c r="AR380" s="6" t="s">
        <v>244</v>
      </c>
      <c r="AS380" s="6" t="s">
        <v>395</v>
      </c>
      <c r="AT380" s="6" t="s">
        <v>395</v>
      </c>
      <c r="AU380" s="6" t="s">
        <v>244</v>
      </c>
      <c r="AV380" s="6" t="s">
        <v>339</v>
      </c>
      <c r="AW380" s="6" t="s">
        <v>244</v>
      </c>
      <c r="AX380" s="6" t="s">
        <v>247</v>
      </c>
    </row>
    <row r="381" spans="1:50">
      <c r="A381" s="6">
        <v>512</v>
      </c>
      <c r="B381" s="5" t="s">
        <v>3841</v>
      </c>
      <c r="C381" s="6">
        <v>4</v>
      </c>
      <c r="D381" s="6" t="s">
        <v>98</v>
      </c>
      <c r="E381" s="6">
        <v>1</v>
      </c>
      <c r="F381" s="6" t="s">
        <v>2342</v>
      </c>
      <c r="G381" s="6">
        <v>41988.924074074072</v>
      </c>
      <c r="H381" s="6">
        <v>42066.692164351851</v>
      </c>
      <c r="I381" s="6">
        <v>41988.924074074072</v>
      </c>
      <c r="J381" s="6" t="s">
        <v>103</v>
      </c>
      <c r="K381" s="6" t="s">
        <v>105</v>
      </c>
      <c r="L381" s="6" t="s">
        <v>2343</v>
      </c>
      <c r="M381" s="6" t="s">
        <v>307</v>
      </c>
      <c r="P381" s="6" t="s">
        <v>215</v>
      </c>
      <c r="Q381" s="6">
        <v>840</v>
      </c>
      <c r="R381" s="6" t="s">
        <v>359</v>
      </c>
      <c r="S381" s="7">
        <v>840</v>
      </c>
      <c r="T381" s="7" t="s">
        <v>2518</v>
      </c>
      <c r="U381" s="6" t="s">
        <v>66</v>
      </c>
      <c r="V381" s="6" t="s">
        <v>158</v>
      </c>
      <c r="W381" s="6" t="s">
        <v>364</v>
      </c>
      <c r="X381" s="6" t="s">
        <v>2343</v>
      </c>
      <c r="Y381" s="8" t="s">
        <v>3842</v>
      </c>
      <c r="Z381" s="8" t="s">
        <v>3843</v>
      </c>
      <c r="AA381" s="8" t="s">
        <v>3844</v>
      </c>
      <c r="AB381" s="6">
        <v>41829</v>
      </c>
      <c r="AE381" s="6" t="s">
        <v>177</v>
      </c>
      <c r="AF381" s="6" t="s">
        <v>178</v>
      </c>
      <c r="AG381" s="6" t="s">
        <v>180</v>
      </c>
      <c r="AH381" s="6" t="s">
        <v>187</v>
      </c>
      <c r="AI381" s="6" t="s">
        <v>182</v>
      </c>
      <c r="AJ381" s="6" t="s">
        <v>393</v>
      </c>
      <c r="AK381" s="6" t="s">
        <v>244</v>
      </c>
      <c r="AL381" s="6" t="s">
        <v>247</v>
      </c>
      <c r="AM381" s="6" t="s">
        <v>244</v>
      </c>
      <c r="AN381" s="6" t="s">
        <v>247</v>
      </c>
      <c r="AO381" s="6" t="s">
        <v>244</v>
      </c>
      <c r="AP381" s="6" t="s">
        <v>247</v>
      </c>
      <c r="AQ381" s="6" t="s">
        <v>288</v>
      </c>
      <c r="AR381" s="6" t="s">
        <v>244</v>
      </c>
      <c r="AS381" s="6" t="s">
        <v>395</v>
      </c>
      <c r="AT381" s="6" t="s">
        <v>395</v>
      </c>
      <c r="AU381" s="6" t="s">
        <v>244</v>
      </c>
      <c r="AV381" s="6" t="s">
        <v>244</v>
      </c>
      <c r="AW381" s="6" t="s">
        <v>244</v>
      </c>
      <c r="AX381" s="6" t="s">
        <v>247</v>
      </c>
    </row>
    <row r="382" spans="1:50">
      <c r="A382" s="6">
        <v>528</v>
      </c>
      <c r="B382" s="5" t="s">
        <v>3845</v>
      </c>
      <c r="C382" s="6">
        <v>5</v>
      </c>
      <c r="D382" s="6" t="s">
        <v>98</v>
      </c>
      <c r="E382" s="6">
        <v>1</v>
      </c>
      <c r="F382" s="6" t="s">
        <v>2390</v>
      </c>
      <c r="G382" s="6">
        <v>41988.924097222225</v>
      </c>
      <c r="H382" s="6">
        <v>42093.582835648151</v>
      </c>
      <c r="I382" s="6">
        <v>41988.924097222225</v>
      </c>
      <c r="J382" s="6" t="s">
        <v>103</v>
      </c>
      <c r="K382" s="6" t="s">
        <v>105</v>
      </c>
      <c r="L382" s="6" t="s">
        <v>2391</v>
      </c>
      <c r="M382" s="6" t="s">
        <v>307</v>
      </c>
      <c r="P382" s="6" t="s">
        <v>215</v>
      </c>
      <c r="Q382" s="6">
        <v>840</v>
      </c>
      <c r="R382" s="6" t="s">
        <v>359</v>
      </c>
      <c r="S382" s="7">
        <v>840</v>
      </c>
      <c r="T382" s="7" t="s">
        <v>2518</v>
      </c>
      <c r="U382" s="6" t="s">
        <v>66</v>
      </c>
      <c r="V382" s="6" t="s">
        <v>158</v>
      </c>
      <c r="W382" s="6" t="s">
        <v>364</v>
      </c>
      <c r="X382" s="6" t="s">
        <v>2391</v>
      </c>
      <c r="Y382" s="8" t="s">
        <v>3846</v>
      </c>
      <c r="Z382" s="8" t="s">
        <v>3847</v>
      </c>
      <c r="AB382" s="6">
        <v>41508</v>
      </c>
      <c r="AD382" s="6">
        <v>42081</v>
      </c>
      <c r="AE382" s="6" t="s">
        <v>177</v>
      </c>
      <c r="AF382" s="6" t="s">
        <v>178</v>
      </c>
      <c r="AG382" s="6" t="s">
        <v>463</v>
      </c>
      <c r="AH382" s="6" t="s">
        <v>377</v>
      </c>
      <c r="AI382" s="6" t="s">
        <v>182</v>
      </c>
      <c r="AJ382" s="6" t="s">
        <v>393</v>
      </c>
      <c r="AK382" s="6" t="s">
        <v>244</v>
      </c>
      <c r="AL382" s="6" t="s">
        <v>247</v>
      </c>
      <c r="AM382" s="6" t="s">
        <v>244</v>
      </c>
      <c r="AN382" s="6" t="s">
        <v>378</v>
      </c>
      <c r="AO382" s="6" t="s">
        <v>244</v>
      </c>
      <c r="AP382" s="6" t="s">
        <v>247</v>
      </c>
      <c r="AQ382" s="6" t="s">
        <v>288</v>
      </c>
      <c r="AR382" s="6" t="s">
        <v>244</v>
      </c>
      <c r="AS382" s="6" t="s">
        <v>395</v>
      </c>
      <c r="AT382" s="6" t="s">
        <v>395</v>
      </c>
      <c r="AU382" s="6" t="s">
        <v>244</v>
      </c>
      <c r="AV382" s="6" t="s">
        <v>244</v>
      </c>
      <c r="AW382" s="6" t="s">
        <v>244</v>
      </c>
      <c r="AX382" s="6" t="s">
        <v>247</v>
      </c>
    </row>
    <row r="383" spans="1:50">
      <c r="A383" s="6">
        <v>529</v>
      </c>
      <c r="B383" s="5" t="s">
        <v>3848</v>
      </c>
      <c r="C383" s="6">
        <v>3</v>
      </c>
      <c r="D383" s="6" t="s">
        <v>98</v>
      </c>
      <c r="E383" s="6">
        <v>1</v>
      </c>
      <c r="F383" s="6" t="s">
        <v>2392</v>
      </c>
      <c r="G383" s="6">
        <v>41988.924097222225</v>
      </c>
      <c r="H383" s="6">
        <v>41988.924097222225</v>
      </c>
      <c r="I383" s="6">
        <v>41988.924097222225</v>
      </c>
      <c r="J383" s="6" t="s">
        <v>103</v>
      </c>
      <c r="K383" s="6" t="s">
        <v>105</v>
      </c>
      <c r="L383" s="6" t="s">
        <v>2393</v>
      </c>
      <c r="M383" s="6" t="s">
        <v>374</v>
      </c>
      <c r="N383" s="6" t="s">
        <v>2394</v>
      </c>
      <c r="P383" s="6" t="s">
        <v>215</v>
      </c>
      <c r="Q383" s="6">
        <v>840</v>
      </c>
      <c r="R383" s="6" t="s">
        <v>359</v>
      </c>
      <c r="S383" s="7">
        <v>840</v>
      </c>
      <c r="T383" s="7" t="s">
        <v>2518</v>
      </c>
      <c r="U383" s="6" t="s">
        <v>66</v>
      </c>
      <c r="V383" s="6" t="s">
        <v>158</v>
      </c>
      <c r="W383" s="6" t="s">
        <v>364</v>
      </c>
      <c r="X383" s="6" t="s">
        <v>2393</v>
      </c>
      <c r="Y383" s="8" t="s">
        <v>3849</v>
      </c>
      <c r="Z383" s="8" t="s">
        <v>3850</v>
      </c>
      <c r="AA383" s="6" t="s">
        <v>2335</v>
      </c>
      <c r="AB383" s="6">
        <v>41327</v>
      </c>
      <c r="AE383" s="6" t="s">
        <v>177</v>
      </c>
      <c r="AF383" s="6" t="s">
        <v>178</v>
      </c>
      <c r="AG383" s="6" t="s">
        <v>370</v>
      </c>
      <c r="AH383" s="6" t="s">
        <v>371</v>
      </c>
      <c r="AI383" s="6" t="s">
        <v>371</v>
      </c>
      <c r="AJ383" s="6" t="s">
        <v>371</v>
      </c>
      <c r="AK383" s="6" t="s">
        <v>244</v>
      </c>
      <c r="AL383" s="6" t="s">
        <v>247</v>
      </c>
      <c r="AM383" s="6" t="s">
        <v>244</v>
      </c>
      <c r="AN383" s="6" t="s">
        <v>378</v>
      </c>
      <c r="AO383" s="6" t="s">
        <v>244</v>
      </c>
      <c r="AP383" s="6" t="s">
        <v>247</v>
      </c>
      <c r="AQ383" s="6" t="s">
        <v>288</v>
      </c>
      <c r="AR383" s="6" t="s">
        <v>288</v>
      </c>
      <c r="AS383" s="6" t="s">
        <v>395</v>
      </c>
      <c r="AT383" s="6" t="s">
        <v>395</v>
      </c>
      <c r="AU383" s="6" t="s">
        <v>288</v>
      </c>
      <c r="AV383" s="6" t="s">
        <v>339</v>
      </c>
      <c r="AW383" s="6" t="s">
        <v>244</v>
      </c>
      <c r="AX383" s="6" t="s">
        <v>247</v>
      </c>
    </row>
    <row r="384" spans="1:50">
      <c r="A384" s="6">
        <v>532</v>
      </c>
      <c r="B384" s="5" t="s">
        <v>3851</v>
      </c>
      <c r="C384" s="6">
        <v>3</v>
      </c>
      <c r="D384" s="6" t="s">
        <v>98</v>
      </c>
      <c r="E384" s="6">
        <v>1</v>
      </c>
      <c r="F384" s="6" t="s">
        <v>2398</v>
      </c>
      <c r="G384" s="6">
        <v>41988.924097222225</v>
      </c>
      <c r="H384" s="6">
        <v>41988.924097222225</v>
      </c>
      <c r="I384" s="6">
        <v>41988.924097222225</v>
      </c>
      <c r="J384" s="6" t="s">
        <v>103</v>
      </c>
      <c r="K384" s="6" t="s">
        <v>105</v>
      </c>
      <c r="L384" s="6" t="s">
        <v>2399</v>
      </c>
      <c r="M384" s="6" t="s">
        <v>374</v>
      </c>
      <c r="N384" s="6" t="s">
        <v>2400</v>
      </c>
      <c r="P384" s="6" t="s">
        <v>215</v>
      </c>
      <c r="Q384" s="6">
        <v>840</v>
      </c>
      <c r="R384" s="6" t="s">
        <v>359</v>
      </c>
      <c r="S384" s="7">
        <v>840</v>
      </c>
      <c r="T384" s="7" t="s">
        <v>2518</v>
      </c>
      <c r="U384" s="6" t="s">
        <v>66</v>
      </c>
      <c r="V384" s="6" t="s">
        <v>158</v>
      </c>
      <c r="W384" s="6" t="s">
        <v>160</v>
      </c>
      <c r="X384" s="6" t="s">
        <v>2399</v>
      </c>
      <c r="Y384" s="8" t="s">
        <v>3852</v>
      </c>
      <c r="Z384" s="8" t="s">
        <v>3853</v>
      </c>
      <c r="AA384" s="8" t="s">
        <v>3854</v>
      </c>
      <c r="AB384" s="6">
        <v>41479</v>
      </c>
      <c r="AE384" s="6" t="s">
        <v>478</v>
      </c>
      <c r="AF384" s="6" t="s">
        <v>178</v>
      </c>
      <c r="AG384" s="6" t="s">
        <v>180</v>
      </c>
      <c r="AH384" s="6" t="s">
        <v>392</v>
      </c>
      <c r="AI384" s="6" t="s">
        <v>182</v>
      </c>
      <c r="AJ384" s="6" t="s">
        <v>393</v>
      </c>
      <c r="AK384" s="6" t="s">
        <v>189</v>
      </c>
      <c r="AL384" s="6" t="s">
        <v>247</v>
      </c>
      <c r="AM384" s="6" t="s">
        <v>244</v>
      </c>
      <c r="AN384" s="6" t="s">
        <v>247</v>
      </c>
      <c r="AO384" s="6" t="s">
        <v>244</v>
      </c>
      <c r="AP384" s="6" t="s">
        <v>386</v>
      </c>
      <c r="AQ384" s="6" t="s">
        <v>288</v>
      </c>
      <c r="AR384" s="6" t="s">
        <v>189</v>
      </c>
      <c r="AS384" s="6" t="s">
        <v>244</v>
      </c>
      <c r="AT384" s="6" t="s">
        <v>244</v>
      </c>
      <c r="AU384" s="6" t="s">
        <v>288</v>
      </c>
      <c r="AV384" s="6" t="s">
        <v>339</v>
      </c>
      <c r="AW384" s="6" t="s">
        <v>244</v>
      </c>
      <c r="AX384" s="6" t="s">
        <v>247</v>
      </c>
    </row>
    <row r="385" spans="1:50">
      <c r="A385" s="6">
        <v>533</v>
      </c>
      <c r="B385" s="5" t="s">
        <v>3855</v>
      </c>
      <c r="C385" s="6">
        <v>3</v>
      </c>
      <c r="D385" s="6" t="s">
        <v>98</v>
      </c>
      <c r="E385" s="6">
        <v>1</v>
      </c>
      <c r="F385" s="6" t="s">
        <v>2401</v>
      </c>
      <c r="G385" s="6">
        <v>41988.924097222225</v>
      </c>
      <c r="H385" s="6">
        <v>41988.924108796295</v>
      </c>
      <c r="I385" s="6">
        <v>41988.924097222225</v>
      </c>
      <c r="J385" s="6" t="s">
        <v>103</v>
      </c>
      <c r="K385" s="6" t="s">
        <v>105</v>
      </c>
      <c r="L385" s="6" t="s">
        <v>2402</v>
      </c>
      <c r="M385" s="6" t="s">
        <v>374</v>
      </c>
      <c r="N385" s="6" t="s">
        <v>2403</v>
      </c>
      <c r="P385" s="6" t="s">
        <v>215</v>
      </c>
      <c r="Q385" s="6">
        <v>840</v>
      </c>
      <c r="R385" s="6" t="s">
        <v>359</v>
      </c>
      <c r="S385" s="7">
        <v>840</v>
      </c>
      <c r="T385" s="7" t="s">
        <v>2518</v>
      </c>
      <c r="U385" s="6" t="s">
        <v>66</v>
      </c>
      <c r="V385" s="6" t="s">
        <v>158</v>
      </c>
      <c r="W385" s="6" t="s">
        <v>160</v>
      </c>
      <c r="X385" s="6" t="s">
        <v>2402</v>
      </c>
      <c r="Y385" s="8" t="s">
        <v>3856</v>
      </c>
      <c r="Z385" s="8" t="s">
        <v>3857</v>
      </c>
      <c r="AA385" s="8" t="s">
        <v>3854</v>
      </c>
      <c r="AB385" s="6">
        <v>41050</v>
      </c>
      <c r="AC385" s="6">
        <v>41579</v>
      </c>
      <c r="AE385" s="6" t="s">
        <v>478</v>
      </c>
      <c r="AF385" s="6" t="s">
        <v>178</v>
      </c>
      <c r="AG385" s="6" t="s">
        <v>180</v>
      </c>
      <c r="AH385" s="6" t="s">
        <v>392</v>
      </c>
      <c r="AI385" s="6" t="s">
        <v>182</v>
      </c>
      <c r="AJ385" s="6" t="s">
        <v>393</v>
      </c>
      <c r="AK385" s="6" t="s">
        <v>189</v>
      </c>
      <c r="AL385" s="6" t="s">
        <v>247</v>
      </c>
      <c r="AM385" s="6" t="s">
        <v>244</v>
      </c>
      <c r="AN385" s="6" t="s">
        <v>247</v>
      </c>
      <c r="AO385" s="6" t="s">
        <v>244</v>
      </c>
      <c r="AP385" s="6" t="s">
        <v>386</v>
      </c>
      <c r="AQ385" s="6" t="s">
        <v>288</v>
      </c>
      <c r="AR385" s="6" t="s">
        <v>189</v>
      </c>
      <c r="AS385" s="6" t="s">
        <v>244</v>
      </c>
      <c r="AT385" s="6" t="s">
        <v>244</v>
      </c>
      <c r="AU385" s="6" t="s">
        <v>288</v>
      </c>
      <c r="AV385" s="6" t="s">
        <v>339</v>
      </c>
      <c r="AW385" s="6" t="s">
        <v>244</v>
      </c>
      <c r="AX385" s="6" t="s">
        <v>247</v>
      </c>
    </row>
    <row r="386" spans="1:50">
      <c r="A386" s="6">
        <v>534</v>
      </c>
      <c r="B386" s="5" t="s">
        <v>3858</v>
      </c>
      <c r="C386" s="6">
        <v>3</v>
      </c>
      <c r="D386" s="6" t="s">
        <v>98</v>
      </c>
      <c r="E386" s="6">
        <v>1</v>
      </c>
      <c r="F386" s="6" t="s">
        <v>2404</v>
      </c>
      <c r="G386" s="6">
        <v>41988.924108796295</v>
      </c>
      <c r="H386" s="6">
        <v>41988.924108796295</v>
      </c>
      <c r="I386" s="6">
        <v>41988.924108796295</v>
      </c>
      <c r="J386" s="6" t="s">
        <v>103</v>
      </c>
      <c r="K386" s="6" t="s">
        <v>105</v>
      </c>
      <c r="L386" s="6" t="s">
        <v>2405</v>
      </c>
      <c r="M386" s="6" t="s">
        <v>352</v>
      </c>
      <c r="N386" s="6" t="s">
        <v>2406</v>
      </c>
      <c r="P386" s="6" t="s">
        <v>215</v>
      </c>
      <c r="Q386" s="6">
        <v>840</v>
      </c>
      <c r="R386" s="6" t="s">
        <v>359</v>
      </c>
      <c r="S386" s="7">
        <v>840</v>
      </c>
      <c r="T386" s="7" t="s">
        <v>2518</v>
      </c>
      <c r="U386" s="6" t="s">
        <v>66</v>
      </c>
      <c r="V386" s="6" t="s">
        <v>158</v>
      </c>
      <c r="W386" s="6" t="s">
        <v>160</v>
      </c>
      <c r="X386" s="6" t="s">
        <v>2405</v>
      </c>
      <c r="Y386" s="8" t="s">
        <v>3859</v>
      </c>
      <c r="Z386" s="6" t="s">
        <v>2407</v>
      </c>
      <c r="AE386" s="6" t="s">
        <v>244</v>
      </c>
      <c r="AF386" s="6" t="s">
        <v>178</v>
      </c>
      <c r="AG386" s="6" t="s">
        <v>244</v>
      </c>
      <c r="AH386" s="6" t="s">
        <v>244</v>
      </c>
      <c r="AI386" s="6" t="s">
        <v>385</v>
      </c>
      <c r="AJ386" s="6" t="s">
        <v>183</v>
      </c>
      <c r="AK386" s="6" t="s">
        <v>244</v>
      </c>
      <c r="AL386" s="6" t="s">
        <v>247</v>
      </c>
      <c r="AM386" s="6" t="s">
        <v>244</v>
      </c>
      <c r="AN386" s="6" t="s">
        <v>247</v>
      </c>
      <c r="AO386" s="6" t="s">
        <v>244</v>
      </c>
      <c r="AP386" s="6" t="s">
        <v>247</v>
      </c>
      <c r="AQ386" s="6" t="s">
        <v>288</v>
      </c>
      <c r="AR386" s="6" t="s">
        <v>288</v>
      </c>
      <c r="AS386" s="6" t="s">
        <v>193</v>
      </c>
      <c r="AT386" s="6" t="s">
        <v>193</v>
      </c>
      <c r="AU386" s="6" t="s">
        <v>244</v>
      </c>
      <c r="AV386" s="6" t="s">
        <v>339</v>
      </c>
      <c r="AW386" s="6" t="s">
        <v>244</v>
      </c>
      <c r="AX386" s="6" t="s">
        <v>247</v>
      </c>
    </row>
    <row r="387" spans="1:50">
      <c r="A387" s="6">
        <v>751</v>
      </c>
      <c r="B387" s="5" t="s">
        <v>3860</v>
      </c>
      <c r="C387" s="6">
        <v>6</v>
      </c>
      <c r="D387" s="6" t="s">
        <v>98</v>
      </c>
      <c r="E387" s="6">
        <v>727</v>
      </c>
      <c r="F387" s="6" t="s">
        <v>2415</v>
      </c>
      <c r="G387" s="6">
        <v>42121.441446759258</v>
      </c>
      <c r="H387" s="6">
        <v>42121.577314814815</v>
      </c>
      <c r="I387" s="6">
        <v>42121.441446759258</v>
      </c>
      <c r="J387" s="6" t="s">
        <v>103</v>
      </c>
      <c r="K387" s="6" t="s">
        <v>105</v>
      </c>
      <c r="L387" s="6" t="s">
        <v>2416</v>
      </c>
      <c r="P387" s="6" t="s">
        <v>215</v>
      </c>
      <c r="Q387" s="6">
        <v>840</v>
      </c>
      <c r="R387" s="6" t="s">
        <v>359</v>
      </c>
      <c r="S387" s="7">
        <v>840</v>
      </c>
      <c r="T387" s="7" t="s">
        <v>2518</v>
      </c>
      <c r="U387" s="6" t="s">
        <v>66</v>
      </c>
      <c r="V387" s="6" t="s">
        <v>158</v>
      </c>
      <c r="W387" s="6" t="s">
        <v>160</v>
      </c>
      <c r="X387" s="6" t="s">
        <v>2416</v>
      </c>
      <c r="Y387" s="8" t="s">
        <v>3861</v>
      </c>
      <c r="Z387" s="8" t="s">
        <v>3862</v>
      </c>
      <c r="AA387" s="8" t="s">
        <v>3863</v>
      </c>
      <c r="AB387" s="6">
        <v>42100</v>
      </c>
      <c r="AE387" s="6" t="s">
        <v>478</v>
      </c>
      <c r="AF387" s="6" t="s">
        <v>178</v>
      </c>
      <c r="AG387" s="6" t="s">
        <v>180</v>
      </c>
      <c r="AH387" s="6" t="s">
        <v>244</v>
      </c>
      <c r="AI387" s="6" t="s">
        <v>182</v>
      </c>
      <c r="AJ387" s="6" t="s">
        <v>393</v>
      </c>
      <c r="AK387" s="6" t="s">
        <v>189</v>
      </c>
      <c r="AL387" s="6" t="s">
        <v>178</v>
      </c>
      <c r="AM387" s="6" t="s">
        <v>189</v>
      </c>
      <c r="AN387" s="6" t="s">
        <v>247</v>
      </c>
      <c r="AO387" s="6" t="s">
        <v>244</v>
      </c>
      <c r="AP387" s="6" t="s">
        <v>648</v>
      </c>
      <c r="AQ387" s="6" t="s">
        <v>244</v>
      </c>
      <c r="AR387" s="6" t="s">
        <v>244</v>
      </c>
      <c r="AS387" s="6" t="s">
        <v>244</v>
      </c>
      <c r="AT387" s="6" t="s">
        <v>244</v>
      </c>
      <c r="AU387" s="6" t="s">
        <v>244</v>
      </c>
      <c r="AV387" s="6" t="s">
        <v>244</v>
      </c>
      <c r="AW387" s="6" t="s">
        <v>244</v>
      </c>
      <c r="AX387" s="6" t="s">
        <v>247</v>
      </c>
    </row>
    <row r="388" spans="1:50">
      <c r="A388" s="6">
        <v>537</v>
      </c>
      <c r="B388" s="5" t="s">
        <v>3864</v>
      </c>
      <c r="C388" s="6">
        <v>5</v>
      </c>
      <c r="D388" s="6" t="s">
        <v>98</v>
      </c>
      <c r="E388" s="6">
        <v>1</v>
      </c>
      <c r="F388" s="6" t="s">
        <v>2420</v>
      </c>
      <c r="G388" s="6">
        <v>41988.924108796295</v>
      </c>
      <c r="H388" s="6">
        <v>41988.924108796295</v>
      </c>
      <c r="I388" s="6">
        <v>41988.924108796295</v>
      </c>
      <c r="J388" s="6" t="s">
        <v>103</v>
      </c>
      <c r="K388" s="6" t="s">
        <v>105</v>
      </c>
      <c r="L388" s="6" t="s">
        <v>2421</v>
      </c>
      <c r="M388" s="6" t="s">
        <v>374</v>
      </c>
      <c r="N388" s="6" t="s">
        <v>2422</v>
      </c>
      <c r="O388" s="6" t="s">
        <v>2423</v>
      </c>
      <c r="P388" s="6" t="s">
        <v>215</v>
      </c>
      <c r="Q388" s="6">
        <v>840</v>
      </c>
      <c r="R388" s="6" t="s">
        <v>359</v>
      </c>
      <c r="S388" s="7">
        <v>840</v>
      </c>
      <c r="T388" s="7" t="s">
        <v>2518</v>
      </c>
      <c r="U388" s="6" t="s">
        <v>66</v>
      </c>
      <c r="V388" s="6" t="s">
        <v>158</v>
      </c>
      <c r="W388" s="6" t="s">
        <v>160</v>
      </c>
      <c r="X388" s="6" t="s">
        <v>2421</v>
      </c>
      <c r="Y388" s="8" t="s">
        <v>3865</v>
      </c>
      <c r="Z388" s="8" t="s">
        <v>3866</v>
      </c>
      <c r="AA388" s="8" t="s">
        <v>3867</v>
      </c>
      <c r="AB388" s="6">
        <v>41003</v>
      </c>
      <c r="AC388" s="6">
        <v>41143</v>
      </c>
      <c r="AE388" s="6" t="s">
        <v>478</v>
      </c>
      <c r="AF388" s="6" t="s">
        <v>178</v>
      </c>
      <c r="AG388" s="6" t="s">
        <v>370</v>
      </c>
      <c r="AH388" s="6" t="s">
        <v>187</v>
      </c>
      <c r="AI388" s="6" t="s">
        <v>182</v>
      </c>
      <c r="AJ388" s="6" t="s">
        <v>393</v>
      </c>
      <c r="AK388" s="6" t="s">
        <v>189</v>
      </c>
      <c r="AL388" s="6" t="s">
        <v>178</v>
      </c>
      <c r="AM388" s="6" t="s">
        <v>189</v>
      </c>
      <c r="AN388" s="6" t="s">
        <v>187</v>
      </c>
      <c r="AO388" s="6" t="s">
        <v>244</v>
      </c>
      <c r="AP388" s="6" t="s">
        <v>394</v>
      </c>
      <c r="AQ388" s="6" t="s">
        <v>288</v>
      </c>
      <c r="AR388" s="6" t="s">
        <v>189</v>
      </c>
      <c r="AS388" s="6" t="s">
        <v>244</v>
      </c>
      <c r="AT388" s="6" t="s">
        <v>244</v>
      </c>
      <c r="AU388" s="6" t="s">
        <v>288</v>
      </c>
      <c r="AV388" s="6" t="s">
        <v>244</v>
      </c>
      <c r="AW388" s="6" t="s">
        <v>244</v>
      </c>
      <c r="AX388" s="6" t="s">
        <v>247</v>
      </c>
    </row>
    <row r="389" spans="1:50">
      <c r="A389" s="6">
        <v>538</v>
      </c>
      <c r="B389" s="5" t="s">
        <v>3868</v>
      </c>
      <c r="C389" s="6">
        <v>3</v>
      </c>
      <c r="D389" s="6" t="s">
        <v>98</v>
      </c>
      <c r="E389" s="6">
        <v>1</v>
      </c>
      <c r="F389" s="6" t="s">
        <v>2424</v>
      </c>
      <c r="G389" s="6">
        <v>41988.924108796295</v>
      </c>
      <c r="H389" s="6">
        <v>41988.924108796295</v>
      </c>
      <c r="I389" s="6">
        <v>41988.924108796295</v>
      </c>
      <c r="J389" s="6" t="s">
        <v>103</v>
      </c>
      <c r="K389" s="6" t="s">
        <v>105</v>
      </c>
      <c r="L389" s="6" t="s">
        <v>2425</v>
      </c>
      <c r="M389" s="6" t="s">
        <v>352</v>
      </c>
      <c r="N389" s="6" t="s">
        <v>2426</v>
      </c>
      <c r="P389" s="6" t="s">
        <v>215</v>
      </c>
      <c r="Q389" s="6">
        <v>840</v>
      </c>
      <c r="R389" s="6" t="s">
        <v>359</v>
      </c>
      <c r="S389" s="7">
        <v>840</v>
      </c>
      <c r="T389" s="7" t="s">
        <v>2518</v>
      </c>
      <c r="U389" s="6" t="s">
        <v>66</v>
      </c>
      <c r="V389" s="6" t="s">
        <v>158</v>
      </c>
      <c r="W389" s="6" t="s">
        <v>384</v>
      </c>
      <c r="X389" s="6" t="s">
        <v>2425</v>
      </c>
      <c r="Y389" s="8" t="s">
        <v>3869</v>
      </c>
      <c r="Z389" s="8" t="s">
        <v>3870</v>
      </c>
      <c r="AA389" s="8" t="s">
        <v>3871</v>
      </c>
      <c r="AB389" s="6">
        <v>40868</v>
      </c>
      <c r="AD389" s="6">
        <v>41038</v>
      </c>
      <c r="AE389" s="6" t="s">
        <v>478</v>
      </c>
      <c r="AF389" s="6" t="s">
        <v>178</v>
      </c>
      <c r="AG389" s="6" t="s">
        <v>180</v>
      </c>
      <c r="AH389" s="6" t="s">
        <v>371</v>
      </c>
      <c r="AI389" s="6" t="s">
        <v>182</v>
      </c>
      <c r="AJ389" s="6" t="s">
        <v>244</v>
      </c>
      <c r="AK389" s="6" t="s">
        <v>189</v>
      </c>
      <c r="AL389" s="6" t="s">
        <v>371</v>
      </c>
      <c r="AM389" s="6" t="s">
        <v>189</v>
      </c>
      <c r="AN389" s="6" t="s">
        <v>371</v>
      </c>
      <c r="AO389" s="6" t="s">
        <v>244</v>
      </c>
      <c r="AP389" s="6" t="s">
        <v>386</v>
      </c>
      <c r="AQ389" s="6" t="s">
        <v>288</v>
      </c>
      <c r="AR389" s="6" t="s">
        <v>189</v>
      </c>
      <c r="AS389" s="6" t="s">
        <v>244</v>
      </c>
      <c r="AT389" s="6" t="s">
        <v>244</v>
      </c>
      <c r="AU389" s="6" t="s">
        <v>288</v>
      </c>
      <c r="AV389" s="6" t="s">
        <v>339</v>
      </c>
      <c r="AW389" s="6" t="s">
        <v>244</v>
      </c>
      <c r="AX389" s="6" t="s">
        <v>247</v>
      </c>
    </row>
    <row r="390" spans="1:50">
      <c r="A390" s="6">
        <v>540</v>
      </c>
      <c r="B390" s="5" t="s">
        <v>3872</v>
      </c>
      <c r="C390" s="6">
        <v>7</v>
      </c>
      <c r="D390" s="6" t="s">
        <v>98</v>
      </c>
      <c r="E390" s="6">
        <v>1</v>
      </c>
      <c r="F390" s="6" t="s">
        <v>2427</v>
      </c>
      <c r="G390" s="6">
        <v>41988.924108796295</v>
      </c>
      <c r="H390" s="6">
        <v>41988.924108796295</v>
      </c>
      <c r="I390" s="6">
        <v>41988.924108796295</v>
      </c>
      <c r="J390" s="6" t="s">
        <v>103</v>
      </c>
      <c r="K390" s="6" t="s">
        <v>105</v>
      </c>
      <c r="L390" s="6" t="s">
        <v>2428</v>
      </c>
      <c r="M390" s="6" t="s">
        <v>374</v>
      </c>
      <c r="N390" s="6" t="s">
        <v>2429</v>
      </c>
      <c r="O390" s="6" t="s">
        <v>2430</v>
      </c>
      <c r="P390" s="6" t="s">
        <v>215</v>
      </c>
      <c r="Q390" s="6">
        <v>840</v>
      </c>
      <c r="R390" s="6" t="s">
        <v>359</v>
      </c>
      <c r="S390" s="7">
        <v>840</v>
      </c>
      <c r="T390" s="7" t="s">
        <v>2518</v>
      </c>
      <c r="U390" s="6" t="s">
        <v>66</v>
      </c>
      <c r="V390" s="6" t="s">
        <v>158</v>
      </c>
      <c r="W390" s="6" t="s">
        <v>160</v>
      </c>
      <c r="X390" s="6" t="s">
        <v>2428</v>
      </c>
      <c r="Y390" s="8" t="s">
        <v>3873</v>
      </c>
      <c r="Z390" s="8" t="s">
        <v>3874</v>
      </c>
      <c r="AA390" s="8" t="s">
        <v>3875</v>
      </c>
      <c r="AB390" s="6">
        <v>39933</v>
      </c>
      <c r="AC390" s="6">
        <v>39933</v>
      </c>
      <c r="AD390" s="6">
        <v>40220</v>
      </c>
      <c r="AE390" s="6" t="s">
        <v>478</v>
      </c>
      <c r="AF390" s="6" t="s">
        <v>178</v>
      </c>
      <c r="AG390" s="6" t="s">
        <v>180</v>
      </c>
      <c r="AH390" s="6" t="s">
        <v>371</v>
      </c>
      <c r="AI390" s="6" t="s">
        <v>182</v>
      </c>
      <c r="AJ390" s="6" t="s">
        <v>244</v>
      </c>
      <c r="AK390" s="6" t="s">
        <v>189</v>
      </c>
      <c r="AL390" s="6" t="s">
        <v>178</v>
      </c>
      <c r="AM390" s="6" t="s">
        <v>244</v>
      </c>
      <c r="AN390" s="6" t="s">
        <v>621</v>
      </c>
      <c r="AO390" s="6" t="s">
        <v>185</v>
      </c>
      <c r="AP390" s="6" t="s">
        <v>394</v>
      </c>
      <c r="AQ390" s="6" t="s">
        <v>189</v>
      </c>
      <c r="AR390" s="6" t="s">
        <v>189</v>
      </c>
      <c r="AS390" s="6" t="s">
        <v>244</v>
      </c>
      <c r="AT390" s="6" t="s">
        <v>244</v>
      </c>
      <c r="AU390" s="6" t="s">
        <v>244</v>
      </c>
      <c r="AV390" s="6" t="s">
        <v>244</v>
      </c>
      <c r="AW390" s="6" t="s">
        <v>244</v>
      </c>
      <c r="AX390" s="6" t="s">
        <v>428</v>
      </c>
    </row>
    <row r="391" spans="1:50">
      <c r="A391" s="6">
        <v>542</v>
      </c>
      <c r="B391" s="5" t="s">
        <v>3876</v>
      </c>
      <c r="C391" s="6">
        <v>4</v>
      </c>
      <c r="D391" s="6" t="s">
        <v>98</v>
      </c>
      <c r="E391" s="6">
        <v>334</v>
      </c>
      <c r="F391" s="6" t="s">
        <v>2435</v>
      </c>
      <c r="G391" s="6">
        <v>41988.924120370371</v>
      </c>
      <c r="H391" s="6">
        <v>42046.981736111113</v>
      </c>
      <c r="I391" s="6">
        <v>41988.924120370371</v>
      </c>
      <c r="J391" s="6" t="s">
        <v>103</v>
      </c>
      <c r="K391" s="6" t="s">
        <v>105</v>
      </c>
      <c r="L391" s="6" t="s">
        <v>2436</v>
      </c>
      <c r="M391" s="6" t="s">
        <v>352</v>
      </c>
      <c r="N391" s="6" t="s">
        <v>2437</v>
      </c>
      <c r="O391" s="6" t="s">
        <v>2438</v>
      </c>
      <c r="P391" s="6" t="s">
        <v>215</v>
      </c>
      <c r="Q391" s="6">
        <v>840</v>
      </c>
      <c r="R391" s="6" t="s">
        <v>359</v>
      </c>
      <c r="S391" s="7">
        <v>840</v>
      </c>
      <c r="T391" s="7" t="s">
        <v>2518</v>
      </c>
      <c r="U391" s="6" t="s">
        <v>66</v>
      </c>
      <c r="V391" s="6" t="s">
        <v>158</v>
      </c>
      <c r="W391" s="6" t="s">
        <v>160</v>
      </c>
      <c r="X391" s="6" t="s">
        <v>2436</v>
      </c>
      <c r="Y391" s="8" t="s">
        <v>3877</v>
      </c>
      <c r="Z391" s="6" t="s">
        <v>2439</v>
      </c>
      <c r="AA391" s="8" t="s">
        <v>3878</v>
      </c>
      <c r="AE391" s="6" t="s">
        <v>244</v>
      </c>
      <c r="AF391" s="6" t="s">
        <v>178</v>
      </c>
      <c r="AG391" s="6" t="s">
        <v>180</v>
      </c>
      <c r="AH391" s="6" t="s">
        <v>371</v>
      </c>
      <c r="AI391" s="6" t="s">
        <v>385</v>
      </c>
      <c r="AJ391" s="6" t="s">
        <v>183</v>
      </c>
      <c r="AK391" s="6" t="s">
        <v>185</v>
      </c>
      <c r="AL391" s="6" t="s">
        <v>371</v>
      </c>
      <c r="AM391" s="6" t="s">
        <v>189</v>
      </c>
      <c r="AN391" s="6" t="s">
        <v>371</v>
      </c>
      <c r="AO391" s="6" t="s">
        <v>244</v>
      </c>
      <c r="AP391" s="6" t="s">
        <v>386</v>
      </c>
      <c r="AQ391" s="6" t="s">
        <v>288</v>
      </c>
      <c r="AR391" s="6" t="s">
        <v>288</v>
      </c>
      <c r="AS391" s="6" t="s">
        <v>193</v>
      </c>
      <c r="AT391" s="6" t="s">
        <v>193</v>
      </c>
      <c r="AU391" s="6" t="s">
        <v>288</v>
      </c>
      <c r="AV391" s="6" t="s">
        <v>339</v>
      </c>
      <c r="AW391" s="6" t="s">
        <v>244</v>
      </c>
      <c r="AX391" s="6" t="s">
        <v>247</v>
      </c>
    </row>
    <row r="392" spans="1:50">
      <c r="A392" s="6">
        <v>544</v>
      </c>
      <c r="B392" s="5" t="s">
        <v>3879</v>
      </c>
      <c r="C392" s="6">
        <v>4</v>
      </c>
      <c r="D392" s="6" t="s">
        <v>98</v>
      </c>
      <c r="E392" s="6">
        <v>335</v>
      </c>
      <c r="F392" s="6" t="s">
        <v>2440</v>
      </c>
      <c r="G392" s="6">
        <v>41988.924120370371</v>
      </c>
      <c r="H392" s="6">
        <v>42046.981747685182</v>
      </c>
      <c r="I392" s="6">
        <v>41988.924120370371</v>
      </c>
      <c r="J392" s="6" t="s">
        <v>103</v>
      </c>
      <c r="K392" s="6" t="s">
        <v>105</v>
      </c>
      <c r="L392" s="6" t="s">
        <v>2441</v>
      </c>
      <c r="M392" s="6" t="s">
        <v>352</v>
      </c>
      <c r="N392" s="6" t="s">
        <v>2442</v>
      </c>
      <c r="P392" s="6" t="s">
        <v>215</v>
      </c>
      <c r="Q392" s="6">
        <v>840</v>
      </c>
      <c r="R392" s="6" t="s">
        <v>359</v>
      </c>
      <c r="S392" s="7">
        <v>840</v>
      </c>
      <c r="T392" s="7" t="s">
        <v>2518</v>
      </c>
      <c r="U392" s="6" t="s">
        <v>66</v>
      </c>
      <c r="V392" s="6" t="s">
        <v>158</v>
      </c>
      <c r="W392" s="6" t="s">
        <v>384</v>
      </c>
      <c r="X392" s="6" t="s">
        <v>2441</v>
      </c>
      <c r="Y392" s="8" t="s">
        <v>3880</v>
      </c>
      <c r="Z392" s="8" t="s">
        <v>3881</v>
      </c>
      <c r="AA392" s="8" t="s">
        <v>3882</v>
      </c>
      <c r="AB392" s="6">
        <v>41338</v>
      </c>
      <c r="AE392" s="6" t="s">
        <v>478</v>
      </c>
      <c r="AF392" s="6" t="s">
        <v>178</v>
      </c>
      <c r="AG392" s="6" t="s">
        <v>180</v>
      </c>
      <c r="AH392" s="6" t="s">
        <v>371</v>
      </c>
      <c r="AI392" s="6" t="s">
        <v>371</v>
      </c>
      <c r="AJ392" s="6" t="s">
        <v>244</v>
      </c>
      <c r="AK392" s="6" t="s">
        <v>189</v>
      </c>
      <c r="AL392" s="6" t="s">
        <v>371</v>
      </c>
      <c r="AM392" s="6" t="s">
        <v>189</v>
      </c>
      <c r="AN392" s="6" t="s">
        <v>247</v>
      </c>
      <c r="AO392" s="6" t="s">
        <v>244</v>
      </c>
      <c r="AP392" s="6" t="s">
        <v>386</v>
      </c>
      <c r="AQ392" s="6" t="s">
        <v>288</v>
      </c>
      <c r="AR392" s="6" t="s">
        <v>189</v>
      </c>
      <c r="AS392" s="6" t="s">
        <v>244</v>
      </c>
      <c r="AT392" s="6" t="s">
        <v>244</v>
      </c>
      <c r="AU392" s="6" t="s">
        <v>288</v>
      </c>
      <c r="AV392" s="6" t="s">
        <v>339</v>
      </c>
      <c r="AW392" s="6" t="s">
        <v>341</v>
      </c>
      <c r="AX392" s="6" t="s">
        <v>247</v>
      </c>
    </row>
    <row r="393" spans="1:50">
      <c r="A393" s="6">
        <v>545</v>
      </c>
      <c r="B393" s="5" t="s">
        <v>3883</v>
      </c>
      <c r="C393" s="6">
        <v>4</v>
      </c>
      <c r="D393" s="6" t="s">
        <v>98</v>
      </c>
      <c r="E393" s="6">
        <v>336</v>
      </c>
      <c r="F393" s="6" t="s">
        <v>2443</v>
      </c>
      <c r="G393" s="6">
        <v>41988.924120370371</v>
      </c>
      <c r="H393" s="6">
        <v>42046.981747685182</v>
      </c>
      <c r="I393" s="6">
        <v>41988.924120370371</v>
      </c>
      <c r="J393" s="6" t="s">
        <v>103</v>
      </c>
      <c r="K393" s="6" t="s">
        <v>105</v>
      </c>
      <c r="L393" s="6" t="s">
        <v>2444</v>
      </c>
      <c r="M393" s="6" t="s">
        <v>352</v>
      </c>
      <c r="N393" s="6" t="s">
        <v>2445</v>
      </c>
      <c r="P393" s="6" t="s">
        <v>215</v>
      </c>
      <c r="Q393" s="6">
        <v>840</v>
      </c>
      <c r="R393" s="6" t="s">
        <v>359</v>
      </c>
      <c r="S393" s="7">
        <v>840</v>
      </c>
      <c r="T393" s="7" t="s">
        <v>2518</v>
      </c>
      <c r="U393" s="6" t="s">
        <v>66</v>
      </c>
      <c r="V393" s="6" t="s">
        <v>158</v>
      </c>
      <c r="W393" s="6" t="s">
        <v>160</v>
      </c>
      <c r="X393" s="6" t="s">
        <v>2444</v>
      </c>
      <c r="Y393" s="8" t="s">
        <v>3884</v>
      </c>
      <c r="Z393" s="8" t="s">
        <v>3885</v>
      </c>
      <c r="AA393" s="8" t="s">
        <v>3886</v>
      </c>
      <c r="AE393" s="6" t="s">
        <v>244</v>
      </c>
      <c r="AF393" s="6" t="s">
        <v>178</v>
      </c>
      <c r="AG393" s="6" t="s">
        <v>180</v>
      </c>
      <c r="AH393" s="6" t="s">
        <v>371</v>
      </c>
      <c r="AI393" s="6" t="s">
        <v>385</v>
      </c>
      <c r="AJ393" s="6" t="s">
        <v>183</v>
      </c>
      <c r="AK393" s="6" t="s">
        <v>189</v>
      </c>
      <c r="AL393" s="6" t="s">
        <v>479</v>
      </c>
      <c r="AM393" s="6" t="s">
        <v>189</v>
      </c>
      <c r="AN393" s="6" t="s">
        <v>247</v>
      </c>
      <c r="AO393" s="6" t="s">
        <v>244</v>
      </c>
      <c r="AP393" s="6" t="s">
        <v>386</v>
      </c>
      <c r="AQ393" s="6" t="s">
        <v>288</v>
      </c>
      <c r="AR393" s="6" t="s">
        <v>189</v>
      </c>
      <c r="AS393" s="6" t="s">
        <v>395</v>
      </c>
      <c r="AT393" s="6" t="s">
        <v>395</v>
      </c>
      <c r="AU393" s="6" t="s">
        <v>288</v>
      </c>
      <c r="AV393" s="6" t="s">
        <v>339</v>
      </c>
      <c r="AW393" s="6" t="s">
        <v>244</v>
      </c>
      <c r="AX393" s="6" t="s">
        <v>247</v>
      </c>
    </row>
    <row r="394" spans="1:50">
      <c r="A394" s="6">
        <v>546</v>
      </c>
      <c r="B394" s="5" t="s">
        <v>3887</v>
      </c>
      <c r="C394" s="6">
        <v>3</v>
      </c>
      <c r="D394" s="6" t="s">
        <v>98</v>
      </c>
      <c r="E394" s="6">
        <v>1</v>
      </c>
      <c r="F394" s="6" t="s">
        <v>2446</v>
      </c>
      <c r="G394" s="6">
        <v>41988.924120370371</v>
      </c>
      <c r="H394" s="6">
        <v>41988.924131944441</v>
      </c>
      <c r="I394" s="6">
        <v>41988.924120370371</v>
      </c>
      <c r="J394" s="6" t="s">
        <v>103</v>
      </c>
      <c r="K394" s="6" t="s">
        <v>105</v>
      </c>
      <c r="L394" s="6" t="s">
        <v>2447</v>
      </c>
      <c r="M394" s="6" t="s">
        <v>374</v>
      </c>
      <c r="N394" s="6" t="s">
        <v>2448</v>
      </c>
      <c r="O394" s="6" t="s">
        <v>2449</v>
      </c>
      <c r="P394" s="6" t="s">
        <v>215</v>
      </c>
      <c r="Q394" s="6">
        <v>840</v>
      </c>
      <c r="R394" s="6" t="s">
        <v>359</v>
      </c>
      <c r="S394" s="7">
        <v>840</v>
      </c>
      <c r="T394" s="7" t="s">
        <v>2518</v>
      </c>
      <c r="U394" s="6" t="s">
        <v>66</v>
      </c>
      <c r="V394" s="6" t="s">
        <v>158</v>
      </c>
      <c r="W394" s="6" t="s">
        <v>160</v>
      </c>
      <c r="X394" s="6" t="s">
        <v>2447</v>
      </c>
      <c r="Y394" s="8" t="s">
        <v>3888</v>
      </c>
      <c r="Z394" s="8" t="s">
        <v>3889</v>
      </c>
      <c r="AA394" s="8" t="s">
        <v>3890</v>
      </c>
      <c r="AB394" s="6">
        <v>40940</v>
      </c>
      <c r="AC394" s="6">
        <v>40940</v>
      </c>
      <c r="AE394" s="6" t="s">
        <v>478</v>
      </c>
      <c r="AF394" s="6" t="s">
        <v>178</v>
      </c>
      <c r="AG394" s="6" t="s">
        <v>180</v>
      </c>
      <c r="AH394" s="6" t="s">
        <v>392</v>
      </c>
      <c r="AI394" s="6" t="s">
        <v>182</v>
      </c>
      <c r="AJ394" s="6" t="s">
        <v>393</v>
      </c>
      <c r="AK394" s="6" t="s">
        <v>189</v>
      </c>
      <c r="AL394" s="6" t="s">
        <v>371</v>
      </c>
      <c r="AM394" s="6" t="s">
        <v>189</v>
      </c>
      <c r="AN394" s="6" t="s">
        <v>371</v>
      </c>
      <c r="AO394" s="6" t="s">
        <v>244</v>
      </c>
      <c r="AP394" s="6" t="s">
        <v>386</v>
      </c>
      <c r="AQ394" s="6" t="s">
        <v>288</v>
      </c>
      <c r="AR394" s="6" t="s">
        <v>189</v>
      </c>
      <c r="AS394" s="6" t="s">
        <v>244</v>
      </c>
      <c r="AT394" s="6" t="s">
        <v>244</v>
      </c>
      <c r="AU394" s="6" t="s">
        <v>288</v>
      </c>
      <c r="AV394" s="6" t="s">
        <v>339</v>
      </c>
      <c r="AW394" s="6" t="s">
        <v>244</v>
      </c>
      <c r="AX394" s="6" t="s">
        <v>247</v>
      </c>
    </row>
    <row r="395" spans="1:50">
      <c r="A395" s="6">
        <v>551</v>
      </c>
      <c r="B395" s="5" t="s">
        <v>3891</v>
      </c>
      <c r="C395" s="6">
        <v>3</v>
      </c>
      <c r="D395" s="6" t="s">
        <v>98</v>
      </c>
      <c r="E395" s="6">
        <v>1</v>
      </c>
      <c r="F395" s="6" t="s">
        <v>2462</v>
      </c>
      <c r="G395" s="6">
        <v>41988.924131944441</v>
      </c>
      <c r="H395" s="6">
        <v>41988.924131944441</v>
      </c>
      <c r="I395" s="6">
        <v>41988.924131944441</v>
      </c>
      <c r="J395" s="6" t="s">
        <v>103</v>
      </c>
      <c r="K395" s="6" t="s">
        <v>105</v>
      </c>
      <c r="L395" s="6" t="s">
        <v>2463</v>
      </c>
      <c r="M395" s="6" t="s">
        <v>352</v>
      </c>
      <c r="N395" s="6" t="s">
        <v>2464</v>
      </c>
      <c r="P395" s="6" t="s">
        <v>215</v>
      </c>
      <c r="Q395" s="6">
        <v>840</v>
      </c>
      <c r="R395" s="6" t="s">
        <v>359</v>
      </c>
      <c r="S395" s="7">
        <v>840</v>
      </c>
      <c r="T395" s="7" t="s">
        <v>2518</v>
      </c>
      <c r="U395" s="6" t="s">
        <v>66</v>
      </c>
      <c r="V395" s="6" t="s">
        <v>158</v>
      </c>
      <c r="W395" s="6" t="s">
        <v>384</v>
      </c>
      <c r="X395" s="6" t="s">
        <v>2463</v>
      </c>
      <c r="Y395" s="8" t="s">
        <v>3892</v>
      </c>
      <c r="Z395" s="8" t="s">
        <v>3893</v>
      </c>
      <c r="AA395" s="8" t="s">
        <v>3894</v>
      </c>
      <c r="AB395" s="6">
        <v>40261</v>
      </c>
      <c r="AE395" s="6" t="s">
        <v>478</v>
      </c>
      <c r="AF395" s="6" t="s">
        <v>178</v>
      </c>
      <c r="AG395" s="6" t="s">
        <v>180</v>
      </c>
      <c r="AH395" s="6" t="s">
        <v>392</v>
      </c>
      <c r="AI395" s="6" t="s">
        <v>182</v>
      </c>
      <c r="AJ395" s="6" t="s">
        <v>393</v>
      </c>
      <c r="AK395" s="6" t="s">
        <v>189</v>
      </c>
      <c r="AL395" s="6" t="s">
        <v>371</v>
      </c>
      <c r="AM395" s="6" t="s">
        <v>189</v>
      </c>
      <c r="AN395" s="6" t="s">
        <v>247</v>
      </c>
      <c r="AO395" s="6" t="s">
        <v>244</v>
      </c>
      <c r="AP395" s="6" t="s">
        <v>386</v>
      </c>
      <c r="AQ395" s="6" t="s">
        <v>288</v>
      </c>
      <c r="AR395" s="6" t="s">
        <v>189</v>
      </c>
      <c r="AS395" s="6" t="s">
        <v>244</v>
      </c>
      <c r="AT395" s="6" t="s">
        <v>244</v>
      </c>
      <c r="AU395" s="6" t="s">
        <v>288</v>
      </c>
      <c r="AV395" s="6" t="s">
        <v>339</v>
      </c>
      <c r="AW395" s="6" t="s">
        <v>244</v>
      </c>
      <c r="AX395" s="6" t="s">
        <v>247</v>
      </c>
    </row>
    <row r="396" spans="1:50">
      <c r="A396" s="6">
        <v>552</v>
      </c>
      <c r="B396" s="5" t="s">
        <v>3895</v>
      </c>
      <c r="C396" s="6">
        <v>4</v>
      </c>
      <c r="D396" s="6" t="s">
        <v>98</v>
      </c>
      <c r="E396" s="6">
        <v>338</v>
      </c>
      <c r="F396" s="6" t="s">
        <v>2465</v>
      </c>
      <c r="G396" s="6">
        <v>41988.924131944441</v>
      </c>
      <c r="H396" s="6">
        <v>42046.981747685182</v>
      </c>
      <c r="I396" s="6">
        <v>41988.924131944441</v>
      </c>
      <c r="J396" s="6" t="s">
        <v>103</v>
      </c>
      <c r="K396" s="6" t="s">
        <v>105</v>
      </c>
      <c r="L396" s="6" t="s">
        <v>2466</v>
      </c>
      <c r="M396" s="6" t="s">
        <v>374</v>
      </c>
      <c r="N396" s="6" t="s">
        <v>2467</v>
      </c>
      <c r="P396" s="6" t="s">
        <v>215</v>
      </c>
      <c r="Q396" s="6">
        <v>840</v>
      </c>
      <c r="R396" s="6" t="s">
        <v>359</v>
      </c>
      <c r="S396" s="7">
        <v>840</v>
      </c>
      <c r="T396" s="7" t="s">
        <v>2518</v>
      </c>
      <c r="U396" s="6" t="s">
        <v>66</v>
      </c>
      <c r="V396" s="6" t="s">
        <v>158</v>
      </c>
      <c r="W396" s="6" t="s">
        <v>160</v>
      </c>
      <c r="X396" s="6" t="s">
        <v>2466</v>
      </c>
      <c r="Y396" s="8" t="s">
        <v>3896</v>
      </c>
      <c r="Z396" s="8" t="s">
        <v>3897</v>
      </c>
      <c r="AA396" s="8" t="s">
        <v>3898</v>
      </c>
      <c r="AB396" s="6">
        <v>41354</v>
      </c>
      <c r="AC396" s="6">
        <v>41375</v>
      </c>
      <c r="AE396" s="6" t="s">
        <v>478</v>
      </c>
      <c r="AF396" s="6" t="s">
        <v>178</v>
      </c>
      <c r="AG396" s="6" t="s">
        <v>180</v>
      </c>
      <c r="AH396" s="6" t="s">
        <v>392</v>
      </c>
      <c r="AI396" s="6" t="s">
        <v>182</v>
      </c>
      <c r="AJ396" s="6" t="s">
        <v>393</v>
      </c>
      <c r="AK396" s="6" t="s">
        <v>189</v>
      </c>
      <c r="AL396" s="6" t="s">
        <v>371</v>
      </c>
      <c r="AM396" s="6" t="s">
        <v>189</v>
      </c>
      <c r="AN396" s="6" t="s">
        <v>247</v>
      </c>
      <c r="AO396" s="6" t="s">
        <v>244</v>
      </c>
      <c r="AP396" s="6" t="s">
        <v>386</v>
      </c>
      <c r="AQ396" s="6" t="s">
        <v>288</v>
      </c>
      <c r="AR396" s="6" t="s">
        <v>189</v>
      </c>
      <c r="AS396" s="6" t="s">
        <v>244</v>
      </c>
      <c r="AT396" s="6" t="s">
        <v>244</v>
      </c>
      <c r="AU396" s="6" t="s">
        <v>288</v>
      </c>
      <c r="AV396" s="6" t="s">
        <v>339</v>
      </c>
      <c r="AW396" s="6" t="s">
        <v>244</v>
      </c>
      <c r="AX396" s="6" t="s">
        <v>247</v>
      </c>
    </row>
    <row r="397" spans="1:50">
      <c r="A397" s="6">
        <v>553</v>
      </c>
      <c r="B397" s="5" t="s">
        <v>3899</v>
      </c>
      <c r="C397" s="6">
        <v>3</v>
      </c>
      <c r="D397" s="6" t="s">
        <v>98</v>
      </c>
      <c r="E397" s="6">
        <v>1</v>
      </c>
      <c r="F397" s="6" t="s">
        <v>2468</v>
      </c>
      <c r="G397" s="6">
        <v>41988.924131944441</v>
      </c>
      <c r="H397" s="6">
        <v>41988.924131944441</v>
      </c>
      <c r="I397" s="6">
        <v>41988.924131944441</v>
      </c>
      <c r="J397" s="6" t="s">
        <v>103</v>
      </c>
      <c r="K397" s="6" t="s">
        <v>105</v>
      </c>
      <c r="L397" s="6" t="s">
        <v>2469</v>
      </c>
      <c r="M397" s="6" t="s">
        <v>352</v>
      </c>
      <c r="N397" s="6" t="s">
        <v>2470</v>
      </c>
      <c r="P397" s="6" t="s">
        <v>215</v>
      </c>
      <c r="Q397" s="6">
        <v>840</v>
      </c>
      <c r="R397" s="6" t="s">
        <v>359</v>
      </c>
      <c r="S397" s="7">
        <v>840</v>
      </c>
      <c r="T397" s="7" t="s">
        <v>2518</v>
      </c>
      <c r="U397" s="6" t="s">
        <v>66</v>
      </c>
      <c r="V397" s="6" t="s">
        <v>158</v>
      </c>
      <c r="W397" s="6" t="s">
        <v>160</v>
      </c>
      <c r="X397" s="6" t="s">
        <v>2469</v>
      </c>
      <c r="Y397" s="8" t="s">
        <v>3900</v>
      </c>
      <c r="Z397" s="6" t="s">
        <v>2471</v>
      </c>
      <c r="AA397" s="8" t="s">
        <v>3901</v>
      </c>
      <c r="AE397" s="6" t="s">
        <v>244</v>
      </c>
      <c r="AF397" s="6" t="s">
        <v>178</v>
      </c>
      <c r="AG397" s="6" t="s">
        <v>180</v>
      </c>
      <c r="AH397" s="6" t="s">
        <v>377</v>
      </c>
      <c r="AI397" s="6" t="s">
        <v>385</v>
      </c>
      <c r="AJ397" s="6" t="s">
        <v>393</v>
      </c>
      <c r="AK397" s="6" t="s">
        <v>244</v>
      </c>
      <c r="AL397" s="6" t="s">
        <v>178</v>
      </c>
      <c r="AM397" s="6" t="s">
        <v>244</v>
      </c>
      <c r="AN397" s="6" t="s">
        <v>378</v>
      </c>
      <c r="AO397" s="6" t="s">
        <v>244</v>
      </c>
      <c r="AP397" s="6" t="s">
        <v>247</v>
      </c>
      <c r="AQ397" s="6" t="s">
        <v>288</v>
      </c>
      <c r="AR397" s="6" t="s">
        <v>288</v>
      </c>
      <c r="AS397" s="6" t="s">
        <v>193</v>
      </c>
      <c r="AT397" s="6" t="s">
        <v>459</v>
      </c>
      <c r="AU397" s="6" t="s">
        <v>244</v>
      </c>
      <c r="AV397" s="6" t="s">
        <v>339</v>
      </c>
      <c r="AW397" s="6" t="s">
        <v>244</v>
      </c>
      <c r="AX397" s="6" t="s">
        <v>247</v>
      </c>
    </row>
    <row r="398" spans="1:50">
      <c r="A398" s="6">
        <v>557</v>
      </c>
      <c r="B398" s="5" t="s">
        <v>3902</v>
      </c>
      <c r="C398" s="6">
        <v>4</v>
      </c>
      <c r="D398" s="6" t="s">
        <v>98</v>
      </c>
      <c r="E398" s="6">
        <v>340</v>
      </c>
      <c r="F398" s="6" t="s">
        <v>2481</v>
      </c>
      <c r="G398" s="6">
        <v>41988.924143518518</v>
      </c>
      <c r="H398" s="6">
        <v>42046.981747685182</v>
      </c>
      <c r="I398" s="6">
        <v>41988.924143518518</v>
      </c>
      <c r="J398" s="6" t="s">
        <v>103</v>
      </c>
      <c r="K398" s="6" t="s">
        <v>105</v>
      </c>
      <c r="L398" s="6" t="s">
        <v>2482</v>
      </c>
      <c r="M398" s="6" t="s">
        <v>352</v>
      </c>
      <c r="N398" s="6" t="s">
        <v>2483</v>
      </c>
      <c r="P398" s="6" t="s">
        <v>215</v>
      </c>
      <c r="Q398" s="6">
        <v>840</v>
      </c>
      <c r="R398" s="6" t="s">
        <v>359</v>
      </c>
      <c r="S398" s="7">
        <v>840</v>
      </c>
      <c r="T398" s="7" t="s">
        <v>2518</v>
      </c>
      <c r="U398" s="6" t="s">
        <v>66</v>
      </c>
      <c r="V398" s="6" t="s">
        <v>158</v>
      </c>
      <c r="W398" s="6" t="s">
        <v>384</v>
      </c>
      <c r="X398" s="6" t="s">
        <v>2482</v>
      </c>
      <c r="Y398" s="8" t="s">
        <v>3903</v>
      </c>
      <c r="Z398" s="8" t="s">
        <v>3904</v>
      </c>
      <c r="AA398" s="8" t="s">
        <v>3905</v>
      </c>
      <c r="AE398" s="6" t="s">
        <v>478</v>
      </c>
      <c r="AF398" s="6" t="s">
        <v>178</v>
      </c>
      <c r="AG398" s="6" t="s">
        <v>180</v>
      </c>
      <c r="AH398" s="6" t="s">
        <v>187</v>
      </c>
      <c r="AI398" s="6" t="s">
        <v>182</v>
      </c>
      <c r="AJ398" s="6" t="s">
        <v>244</v>
      </c>
      <c r="AK398" s="6" t="s">
        <v>189</v>
      </c>
      <c r="AL398" s="6" t="s">
        <v>479</v>
      </c>
      <c r="AM398" s="6" t="s">
        <v>189</v>
      </c>
      <c r="AN398" s="6" t="s">
        <v>371</v>
      </c>
      <c r="AO398" s="6" t="s">
        <v>244</v>
      </c>
      <c r="AP398" s="6" t="s">
        <v>386</v>
      </c>
      <c r="AQ398" s="6" t="s">
        <v>288</v>
      </c>
      <c r="AR398" s="6" t="s">
        <v>189</v>
      </c>
      <c r="AS398" s="6" t="s">
        <v>244</v>
      </c>
      <c r="AT398" s="6" t="s">
        <v>244</v>
      </c>
      <c r="AU398" s="6" t="s">
        <v>288</v>
      </c>
      <c r="AV398" s="6" t="s">
        <v>339</v>
      </c>
      <c r="AW398" s="6" t="s">
        <v>341</v>
      </c>
      <c r="AX398" s="6" t="s">
        <v>247</v>
      </c>
    </row>
    <row r="399" spans="1:50">
      <c r="A399" s="6">
        <v>558</v>
      </c>
      <c r="B399" s="5" t="s">
        <v>3906</v>
      </c>
      <c r="C399" s="6">
        <v>6</v>
      </c>
      <c r="D399" s="6" t="s">
        <v>98</v>
      </c>
      <c r="E399" s="6">
        <v>599</v>
      </c>
      <c r="F399" s="6" t="s">
        <v>2484</v>
      </c>
      <c r="G399" s="6">
        <v>41988.924143518518</v>
      </c>
      <c r="H399" s="6">
        <v>42108.584108796298</v>
      </c>
      <c r="I399" s="6">
        <v>41988.924143518518</v>
      </c>
      <c r="J399" s="6" t="s">
        <v>103</v>
      </c>
      <c r="K399" s="6" t="s">
        <v>105</v>
      </c>
      <c r="L399" s="6" t="s">
        <v>2485</v>
      </c>
      <c r="M399" s="6" t="s">
        <v>352</v>
      </c>
      <c r="N399" s="6" t="s">
        <v>2486</v>
      </c>
      <c r="O399" s="6" t="s">
        <v>2487</v>
      </c>
      <c r="P399" s="6" t="s">
        <v>215</v>
      </c>
      <c r="Q399" s="6">
        <v>840</v>
      </c>
      <c r="R399" s="6" t="s">
        <v>359</v>
      </c>
      <c r="S399" s="7">
        <v>840</v>
      </c>
      <c r="T399" s="7" t="s">
        <v>2518</v>
      </c>
      <c r="U399" s="6" t="s">
        <v>66</v>
      </c>
      <c r="V399" s="6" t="s">
        <v>158</v>
      </c>
      <c r="W399" s="6" t="s">
        <v>384</v>
      </c>
      <c r="X399" s="6" t="s">
        <v>2485</v>
      </c>
      <c r="Y399" s="8" t="s">
        <v>3907</v>
      </c>
      <c r="Z399" s="8" t="s">
        <v>3908</v>
      </c>
      <c r="AA399" s="8" t="s">
        <v>3909</v>
      </c>
      <c r="AE399" s="6" t="s">
        <v>177</v>
      </c>
      <c r="AF399" s="6" t="s">
        <v>178</v>
      </c>
      <c r="AG399" s="6" t="s">
        <v>180</v>
      </c>
      <c r="AH399" s="6" t="s">
        <v>371</v>
      </c>
      <c r="AI399" s="6" t="s">
        <v>385</v>
      </c>
      <c r="AJ399" s="6" t="s">
        <v>183</v>
      </c>
      <c r="AK399" s="6" t="s">
        <v>244</v>
      </c>
      <c r="AL399" s="6" t="s">
        <v>178</v>
      </c>
      <c r="AM399" s="6" t="s">
        <v>244</v>
      </c>
      <c r="AN399" s="6" t="s">
        <v>247</v>
      </c>
      <c r="AO399" s="6" t="s">
        <v>244</v>
      </c>
      <c r="AP399" s="6" t="s">
        <v>247</v>
      </c>
      <c r="AQ399" s="6" t="s">
        <v>288</v>
      </c>
      <c r="AR399" s="6" t="s">
        <v>288</v>
      </c>
      <c r="AS399" s="6" t="s">
        <v>395</v>
      </c>
      <c r="AT399" s="6" t="s">
        <v>395</v>
      </c>
      <c r="AU399" s="6" t="s">
        <v>244</v>
      </c>
      <c r="AV399" s="6" t="s">
        <v>339</v>
      </c>
      <c r="AW399" s="6" t="s">
        <v>244</v>
      </c>
      <c r="AX399" s="6" t="s">
        <v>247</v>
      </c>
    </row>
    <row r="400" spans="1:50">
      <c r="A400" s="6">
        <v>559</v>
      </c>
      <c r="B400" s="5" t="s">
        <v>3910</v>
      </c>
      <c r="C400" s="6">
        <v>6</v>
      </c>
      <c r="D400" s="6" t="s">
        <v>98</v>
      </c>
      <c r="E400" s="6">
        <v>599</v>
      </c>
      <c r="F400" s="6" t="s">
        <v>2488</v>
      </c>
      <c r="G400" s="6">
        <v>41988.924143518518</v>
      </c>
      <c r="H400" s="6">
        <v>42108.629328703704</v>
      </c>
      <c r="I400" s="6">
        <v>41988.924143518518</v>
      </c>
      <c r="J400" s="6" t="s">
        <v>103</v>
      </c>
      <c r="K400" s="6" t="s">
        <v>105</v>
      </c>
      <c r="L400" s="6" t="s">
        <v>2489</v>
      </c>
      <c r="M400" s="6" t="s">
        <v>374</v>
      </c>
      <c r="N400" s="6" t="s">
        <v>2490</v>
      </c>
      <c r="P400" s="6" t="s">
        <v>215</v>
      </c>
      <c r="Q400" s="6">
        <v>840</v>
      </c>
      <c r="R400" s="6" t="s">
        <v>359</v>
      </c>
      <c r="S400" s="7">
        <v>840</v>
      </c>
      <c r="T400" s="7" t="s">
        <v>2518</v>
      </c>
      <c r="U400" s="6" t="s">
        <v>66</v>
      </c>
      <c r="V400" s="6" t="s">
        <v>158</v>
      </c>
      <c r="W400" s="6" t="s">
        <v>384</v>
      </c>
      <c r="X400" s="6" t="s">
        <v>2489</v>
      </c>
      <c r="Y400" s="8" t="s">
        <v>3911</v>
      </c>
      <c r="Z400" s="8" t="s">
        <v>3912</v>
      </c>
      <c r="AA400" s="8" t="s">
        <v>3909</v>
      </c>
      <c r="AB400" s="6">
        <v>41487</v>
      </c>
      <c r="AE400" s="6" t="s">
        <v>478</v>
      </c>
      <c r="AF400" s="6" t="s">
        <v>178</v>
      </c>
      <c r="AG400" s="6" t="s">
        <v>180</v>
      </c>
      <c r="AH400" s="6" t="s">
        <v>392</v>
      </c>
      <c r="AI400" s="6" t="s">
        <v>182</v>
      </c>
      <c r="AJ400" s="6" t="s">
        <v>393</v>
      </c>
      <c r="AK400" s="6" t="s">
        <v>185</v>
      </c>
      <c r="AL400" s="6" t="s">
        <v>479</v>
      </c>
      <c r="AM400" s="6" t="s">
        <v>189</v>
      </c>
      <c r="AN400" s="6" t="s">
        <v>247</v>
      </c>
      <c r="AO400" s="6" t="s">
        <v>185</v>
      </c>
      <c r="AP400" s="6" t="s">
        <v>648</v>
      </c>
      <c r="AQ400" s="6" t="s">
        <v>288</v>
      </c>
      <c r="AR400" s="6" t="s">
        <v>185</v>
      </c>
      <c r="AS400" s="6" t="s">
        <v>244</v>
      </c>
      <c r="AT400" s="6" t="s">
        <v>244</v>
      </c>
      <c r="AU400" s="6" t="s">
        <v>288</v>
      </c>
      <c r="AV400" s="6" t="s">
        <v>339</v>
      </c>
      <c r="AW400" s="6" t="s">
        <v>341</v>
      </c>
      <c r="AX400" s="6" t="s">
        <v>428</v>
      </c>
    </row>
    <row r="401" spans="1:50">
      <c r="A401" s="6">
        <v>560</v>
      </c>
      <c r="B401" s="5" t="s">
        <v>3913</v>
      </c>
      <c r="C401" s="6">
        <v>3</v>
      </c>
      <c r="D401" s="6" t="s">
        <v>98</v>
      </c>
      <c r="E401" s="6">
        <v>1</v>
      </c>
      <c r="F401" s="6" t="s">
        <v>2491</v>
      </c>
      <c r="G401" s="6">
        <v>41988.924143518518</v>
      </c>
      <c r="H401" s="6">
        <v>41988.924143518518</v>
      </c>
      <c r="I401" s="6">
        <v>41988.924143518518</v>
      </c>
      <c r="J401" s="6" t="s">
        <v>103</v>
      </c>
      <c r="K401" s="6" t="s">
        <v>105</v>
      </c>
      <c r="L401" s="6" t="s">
        <v>2492</v>
      </c>
      <c r="M401" s="6" t="s">
        <v>374</v>
      </c>
      <c r="N401" s="6" t="s">
        <v>2493</v>
      </c>
      <c r="P401" s="6" t="s">
        <v>215</v>
      </c>
      <c r="Q401" s="6">
        <v>840</v>
      </c>
      <c r="R401" s="6" t="s">
        <v>359</v>
      </c>
      <c r="S401" s="7">
        <v>840</v>
      </c>
      <c r="T401" s="7" t="s">
        <v>2518</v>
      </c>
      <c r="U401" s="6" t="s">
        <v>66</v>
      </c>
      <c r="V401" s="6" t="s">
        <v>158</v>
      </c>
      <c r="W401" s="6" t="s">
        <v>384</v>
      </c>
      <c r="X401" s="6" t="s">
        <v>2492</v>
      </c>
      <c r="Y401" s="8" t="s">
        <v>3914</v>
      </c>
      <c r="Z401" s="8" t="s">
        <v>3915</v>
      </c>
      <c r="AA401" s="8" t="s">
        <v>3916</v>
      </c>
      <c r="AB401" s="6">
        <v>40210</v>
      </c>
      <c r="AE401" s="6" t="s">
        <v>478</v>
      </c>
      <c r="AF401" s="6" t="s">
        <v>178</v>
      </c>
      <c r="AG401" s="6" t="s">
        <v>180</v>
      </c>
      <c r="AH401" s="6" t="s">
        <v>371</v>
      </c>
      <c r="AI401" s="6" t="s">
        <v>182</v>
      </c>
      <c r="AJ401" s="6" t="s">
        <v>393</v>
      </c>
      <c r="AK401" s="6" t="s">
        <v>189</v>
      </c>
      <c r="AL401" s="6" t="s">
        <v>479</v>
      </c>
      <c r="AM401" s="6" t="s">
        <v>189</v>
      </c>
      <c r="AN401" s="6" t="s">
        <v>378</v>
      </c>
      <c r="AO401" s="6" t="s">
        <v>244</v>
      </c>
      <c r="AP401" s="6" t="s">
        <v>386</v>
      </c>
      <c r="AQ401" s="6" t="s">
        <v>288</v>
      </c>
      <c r="AR401" s="6" t="s">
        <v>189</v>
      </c>
      <c r="AS401" s="6" t="s">
        <v>244</v>
      </c>
      <c r="AT401" s="6" t="s">
        <v>244</v>
      </c>
      <c r="AU401" s="6" t="s">
        <v>288</v>
      </c>
      <c r="AV401" s="6" t="s">
        <v>339</v>
      </c>
      <c r="AW401" s="6" t="s">
        <v>341</v>
      </c>
      <c r="AX401" s="6" t="s">
        <v>247</v>
      </c>
    </row>
    <row r="402" spans="1:50">
      <c r="A402" s="6">
        <v>561</v>
      </c>
      <c r="B402" s="5" t="s">
        <v>3917</v>
      </c>
      <c r="C402" s="6">
        <v>3</v>
      </c>
      <c r="D402" s="6" t="s">
        <v>98</v>
      </c>
      <c r="E402" s="6">
        <v>1</v>
      </c>
      <c r="F402" s="6" t="s">
        <v>2494</v>
      </c>
      <c r="G402" s="6">
        <v>41988.924143518518</v>
      </c>
      <c r="H402" s="6">
        <v>41988.924143518518</v>
      </c>
      <c r="I402" s="6">
        <v>41988.924143518518</v>
      </c>
      <c r="J402" s="6" t="s">
        <v>103</v>
      </c>
      <c r="K402" s="6" t="s">
        <v>105</v>
      </c>
      <c r="L402" s="6" t="s">
        <v>2495</v>
      </c>
      <c r="M402" s="6" t="s">
        <v>374</v>
      </c>
      <c r="N402" s="6" t="s">
        <v>2467</v>
      </c>
      <c r="P402" s="6" t="s">
        <v>215</v>
      </c>
      <c r="Q402" s="6">
        <v>840</v>
      </c>
      <c r="R402" s="6" t="s">
        <v>359</v>
      </c>
      <c r="S402" s="7">
        <v>840</v>
      </c>
      <c r="T402" s="7" t="s">
        <v>2518</v>
      </c>
      <c r="U402" s="6" t="s">
        <v>66</v>
      </c>
      <c r="V402" s="6" t="s">
        <v>158</v>
      </c>
      <c r="W402" s="6" t="s">
        <v>160</v>
      </c>
      <c r="X402" s="6" t="s">
        <v>2495</v>
      </c>
      <c r="Y402" s="8" t="s">
        <v>3918</v>
      </c>
      <c r="Z402" s="8" t="s">
        <v>3919</v>
      </c>
      <c r="AA402" s="8" t="s">
        <v>3920</v>
      </c>
      <c r="AB402" s="6">
        <v>41311</v>
      </c>
      <c r="AE402" s="6" t="s">
        <v>478</v>
      </c>
      <c r="AF402" s="6" t="s">
        <v>178</v>
      </c>
      <c r="AG402" s="6" t="s">
        <v>180</v>
      </c>
      <c r="AH402" s="6" t="s">
        <v>392</v>
      </c>
      <c r="AI402" s="6" t="s">
        <v>182</v>
      </c>
      <c r="AJ402" s="6" t="s">
        <v>393</v>
      </c>
      <c r="AK402" s="6" t="s">
        <v>189</v>
      </c>
      <c r="AL402" s="6" t="s">
        <v>479</v>
      </c>
      <c r="AM402" s="6" t="s">
        <v>189</v>
      </c>
      <c r="AN402" s="6" t="s">
        <v>247</v>
      </c>
      <c r="AO402" s="6" t="s">
        <v>244</v>
      </c>
      <c r="AP402" s="6" t="s">
        <v>386</v>
      </c>
      <c r="AQ402" s="6" t="s">
        <v>288</v>
      </c>
      <c r="AR402" s="6" t="s">
        <v>189</v>
      </c>
      <c r="AS402" s="6" t="s">
        <v>244</v>
      </c>
      <c r="AT402" s="6" t="s">
        <v>244</v>
      </c>
      <c r="AU402" s="6" t="s">
        <v>288</v>
      </c>
      <c r="AV402" s="6" t="s">
        <v>339</v>
      </c>
      <c r="AW402" s="6" t="s">
        <v>244</v>
      </c>
      <c r="AX402" s="6" t="s">
        <v>247</v>
      </c>
    </row>
    <row r="403" spans="1:50">
      <c r="A403" s="6">
        <v>562</v>
      </c>
      <c r="B403" s="5" t="s">
        <v>3921</v>
      </c>
      <c r="C403" s="6">
        <v>3</v>
      </c>
      <c r="D403" s="6" t="s">
        <v>98</v>
      </c>
      <c r="E403" s="6">
        <v>1</v>
      </c>
      <c r="F403" s="6" t="s">
        <v>2496</v>
      </c>
      <c r="G403" s="6">
        <v>41988.924155092594</v>
      </c>
      <c r="H403" s="6">
        <v>41988.924155092594</v>
      </c>
      <c r="I403" s="6">
        <v>41988.924155092594</v>
      </c>
      <c r="J403" s="6" t="s">
        <v>103</v>
      </c>
      <c r="K403" s="6" t="s">
        <v>105</v>
      </c>
      <c r="L403" s="6" t="s">
        <v>2497</v>
      </c>
      <c r="M403" s="6" t="s">
        <v>352</v>
      </c>
      <c r="N403" s="6" t="s">
        <v>2498</v>
      </c>
      <c r="P403" s="6" t="s">
        <v>215</v>
      </c>
      <c r="Q403" s="6">
        <v>840</v>
      </c>
      <c r="R403" s="6" t="s">
        <v>359</v>
      </c>
      <c r="S403" s="7">
        <v>840</v>
      </c>
      <c r="T403" s="7" t="s">
        <v>2518</v>
      </c>
      <c r="U403" s="6" t="s">
        <v>66</v>
      </c>
      <c r="V403" s="6" t="s">
        <v>158</v>
      </c>
      <c r="W403" s="6" t="s">
        <v>384</v>
      </c>
      <c r="X403" s="6" t="s">
        <v>2497</v>
      </c>
      <c r="Y403" s="8" t="s">
        <v>3922</v>
      </c>
      <c r="Z403" s="8" t="s">
        <v>3923</v>
      </c>
      <c r="AA403" s="8" t="s">
        <v>3924</v>
      </c>
      <c r="AB403" s="6">
        <v>35796</v>
      </c>
      <c r="AE403" s="6" t="s">
        <v>244</v>
      </c>
      <c r="AF403" s="6" t="s">
        <v>178</v>
      </c>
      <c r="AG403" s="6" t="s">
        <v>180</v>
      </c>
      <c r="AH403" s="6" t="s">
        <v>244</v>
      </c>
      <c r="AI403" s="6" t="s">
        <v>385</v>
      </c>
      <c r="AJ403" s="6" t="s">
        <v>244</v>
      </c>
      <c r="AK403" s="6" t="s">
        <v>189</v>
      </c>
      <c r="AL403" s="6" t="s">
        <v>479</v>
      </c>
      <c r="AM403" s="6" t="s">
        <v>189</v>
      </c>
      <c r="AN403" s="6" t="s">
        <v>247</v>
      </c>
      <c r="AO403" s="6" t="s">
        <v>244</v>
      </c>
      <c r="AP403" s="6" t="s">
        <v>386</v>
      </c>
      <c r="AQ403" s="6" t="s">
        <v>288</v>
      </c>
      <c r="AR403" s="6" t="s">
        <v>189</v>
      </c>
      <c r="AS403" s="6" t="s">
        <v>244</v>
      </c>
      <c r="AT403" s="6" t="s">
        <v>244</v>
      </c>
      <c r="AU403" s="6" t="s">
        <v>288</v>
      </c>
      <c r="AV403" s="6" t="s">
        <v>339</v>
      </c>
      <c r="AW403" s="6" t="s">
        <v>244</v>
      </c>
      <c r="AX403" s="6" t="s">
        <v>247</v>
      </c>
    </row>
    <row r="404" spans="1:50">
      <c r="A404" s="6">
        <v>720</v>
      </c>
      <c r="B404" s="5" t="s">
        <v>3925</v>
      </c>
      <c r="C404" s="6">
        <v>6</v>
      </c>
      <c r="D404" s="6" t="s">
        <v>98</v>
      </c>
      <c r="E404" s="6">
        <v>606</v>
      </c>
      <c r="F404" s="6" t="s">
        <v>2502</v>
      </c>
      <c r="G404" s="6">
        <v>42093.649756944447</v>
      </c>
      <c r="H404" s="6">
        <v>42108.64472222222</v>
      </c>
      <c r="I404" s="6">
        <v>42093.649756944447</v>
      </c>
      <c r="J404" s="6" t="s">
        <v>103</v>
      </c>
      <c r="K404" s="6" t="s">
        <v>105</v>
      </c>
      <c r="L404" s="6" t="s">
        <v>2503</v>
      </c>
      <c r="P404" s="6" t="s">
        <v>215</v>
      </c>
      <c r="Q404" s="6">
        <v>840</v>
      </c>
      <c r="R404" s="6" t="s">
        <v>359</v>
      </c>
      <c r="S404" s="7">
        <v>840</v>
      </c>
      <c r="T404" s="7" t="s">
        <v>2518</v>
      </c>
      <c r="U404" s="6" t="s">
        <v>66</v>
      </c>
      <c r="V404" s="6" t="s">
        <v>158</v>
      </c>
      <c r="W404" s="6" t="s">
        <v>364</v>
      </c>
      <c r="X404" s="6" t="s">
        <v>2503</v>
      </c>
      <c r="Y404" s="8" t="s">
        <v>3926</v>
      </c>
      <c r="Z404" s="8" t="s">
        <v>3927</v>
      </c>
      <c r="AB404" s="6">
        <v>42081</v>
      </c>
      <c r="AC404" s="6">
        <v>42081</v>
      </c>
      <c r="AE404" s="6" t="s">
        <v>177</v>
      </c>
      <c r="AF404" s="6" t="s">
        <v>178</v>
      </c>
      <c r="AG404" s="6" t="s">
        <v>370</v>
      </c>
      <c r="AH404" s="6" t="s">
        <v>392</v>
      </c>
      <c r="AI404" s="6" t="s">
        <v>182</v>
      </c>
      <c r="AJ404" s="6" t="s">
        <v>393</v>
      </c>
      <c r="AK404" s="6" t="s">
        <v>189</v>
      </c>
      <c r="AL404" s="6" t="s">
        <v>178</v>
      </c>
      <c r="AM404" s="6" t="s">
        <v>189</v>
      </c>
      <c r="AN404" s="6" t="s">
        <v>392</v>
      </c>
      <c r="AO404" s="6" t="s">
        <v>244</v>
      </c>
      <c r="AP404" s="6" t="s">
        <v>394</v>
      </c>
      <c r="AQ404" s="6" t="s">
        <v>189</v>
      </c>
      <c r="AR404" s="6" t="s">
        <v>189</v>
      </c>
      <c r="AS404" s="6" t="s">
        <v>244</v>
      </c>
      <c r="AT404" s="6" t="s">
        <v>244</v>
      </c>
      <c r="AU404" s="6" t="s">
        <v>244</v>
      </c>
      <c r="AV404" s="6" t="s">
        <v>908</v>
      </c>
      <c r="AW404" s="6" t="s">
        <v>442</v>
      </c>
      <c r="AX404" s="6" t="s">
        <v>371</v>
      </c>
    </row>
    <row r="405" spans="1:50">
      <c r="A405" s="6">
        <v>631</v>
      </c>
      <c r="B405" s="5" t="s">
        <v>3928</v>
      </c>
      <c r="C405" s="6">
        <v>3</v>
      </c>
      <c r="D405" s="6" t="s">
        <v>98</v>
      </c>
      <c r="E405" s="6">
        <v>1</v>
      </c>
      <c r="F405" s="6" t="s">
        <v>2504</v>
      </c>
      <c r="G405" s="6">
        <v>41988.924259259256</v>
      </c>
      <c r="H405" s="6">
        <v>41988.924259259256</v>
      </c>
      <c r="I405" s="6">
        <v>41988.924259259256</v>
      </c>
      <c r="J405" s="6" t="s">
        <v>103</v>
      </c>
      <c r="K405" s="6" t="s">
        <v>105</v>
      </c>
      <c r="L405" s="6" t="s">
        <v>2505</v>
      </c>
      <c r="M405" s="6" t="s">
        <v>374</v>
      </c>
      <c r="N405" s="6" t="s">
        <v>620</v>
      </c>
      <c r="O405" s="6" t="s">
        <v>2506</v>
      </c>
      <c r="P405" s="6" t="s">
        <v>215</v>
      </c>
      <c r="Q405" s="6">
        <v>862</v>
      </c>
      <c r="R405" s="6" t="s">
        <v>365</v>
      </c>
      <c r="S405" s="7">
        <v>862</v>
      </c>
      <c r="T405" s="7" t="s">
        <v>51</v>
      </c>
      <c r="U405" s="6" t="s">
        <v>59</v>
      </c>
      <c r="V405" s="6" t="s">
        <v>158</v>
      </c>
      <c r="W405" s="6" t="s">
        <v>160</v>
      </c>
      <c r="X405" s="6" t="s">
        <v>2505</v>
      </c>
      <c r="Y405" s="8" t="s">
        <v>3929</v>
      </c>
      <c r="Z405" s="8" t="s">
        <v>3930</v>
      </c>
      <c r="AA405" s="8" t="s">
        <v>3931</v>
      </c>
      <c r="AB405" s="6">
        <v>39510</v>
      </c>
      <c r="AE405" s="6" t="s">
        <v>177</v>
      </c>
      <c r="AF405" s="6" t="s">
        <v>178</v>
      </c>
      <c r="AG405" s="6" t="s">
        <v>180</v>
      </c>
      <c r="AH405" s="6" t="s">
        <v>244</v>
      </c>
      <c r="AI405" s="6" t="s">
        <v>182</v>
      </c>
      <c r="AJ405" s="6" t="s">
        <v>244</v>
      </c>
      <c r="AK405" s="6" t="s">
        <v>244</v>
      </c>
      <c r="AL405" s="6" t="s">
        <v>178</v>
      </c>
      <c r="AM405" s="6" t="s">
        <v>244</v>
      </c>
      <c r="AN405" s="6" t="s">
        <v>621</v>
      </c>
      <c r="AO405" s="6" t="s">
        <v>185</v>
      </c>
      <c r="AP405" s="6" t="s">
        <v>247</v>
      </c>
      <c r="AQ405" s="6" t="s">
        <v>288</v>
      </c>
      <c r="AR405" s="6" t="s">
        <v>189</v>
      </c>
      <c r="AS405" s="6" t="s">
        <v>244</v>
      </c>
      <c r="AT405" s="6" t="s">
        <v>244</v>
      </c>
      <c r="AU405" s="6" t="s">
        <v>288</v>
      </c>
      <c r="AV405" s="6" t="s">
        <v>339</v>
      </c>
      <c r="AW405" s="6" t="s">
        <v>244</v>
      </c>
      <c r="AX405" s="6" t="s">
        <v>247</v>
      </c>
    </row>
    <row r="406" spans="1:50">
      <c r="A406" s="6">
        <v>705</v>
      </c>
      <c r="B406" s="5" t="s">
        <v>3932</v>
      </c>
      <c r="C406" s="6">
        <v>5</v>
      </c>
      <c r="D406" s="6" t="s">
        <v>98</v>
      </c>
      <c r="E406" s="6">
        <v>443</v>
      </c>
      <c r="F406" s="6" t="s">
        <v>2509</v>
      </c>
      <c r="G406" s="6">
        <v>42093.547523148147</v>
      </c>
      <c r="H406" s="6">
        <v>42093.547523148147</v>
      </c>
      <c r="I406" s="6">
        <v>42093.547523148147</v>
      </c>
      <c r="J406" s="6" t="s">
        <v>103</v>
      </c>
      <c r="K406" s="6" t="s">
        <v>105</v>
      </c>
      <c r="L406" s="6" t="s">
        <v>2510</v>
      </c>
      <c r="Q406" s="6">
        <v>862</v>
      </c>
      <c r="R406" s="6" t="s">
        <v>365</v>
      </c>
      <c r="S406" s="7">
        <v>862</v>
      </c>
      <c r="T406" s="7" t="s">
        <v>51</v>
      </c>
      <c r="U406" s="6" t="s">
        <v>59</v>
      </c>
      <c r="V406" s="6" t="s">
        <v>158</v>
      </c>
      <c r="W406" s="6" t="s">
        <v>160</v>
      </c>
      <c r="X406" s="6" t="s">
        <v>2510</v>
      </c>
      <c r="Y406" s="8" t="s">
        <v>3933</v>
      </c>
      <c r="Z406" s="8" t="s">
        <v>3934</v>
      </c>
      <c r="AA406" s="8" t="s">
        <v>3935</v>
      </c>
      <c r="AB406" s="6">
        <v>41180</v>
      </c>
      <c r="AD406" s="6">
        <v>41974</v>
      </c>
      <c r="AE406" s="6" t="s">
        <v>177</v>
      </c>
      <c r="AF406" s="6" t="s">
        <v>178</v>
      </c>
      <c r="AG406" s="6" t="s">
        <v>180</v>
      </c>
      <c r="AH406" s="6" t="s">
        <v>244</v>
      </c>
      <c r="AI406" s="6" t="s">
        <v>182</v>
      </c>
      <c r="AJ406" s="6" t="s">
        <v>244</v>
      </c>
      <c r="AK406" s="6" t="s">
        <v>244</v>
      </c>
      <c r="AL406" s="6" t="s">
        <v>178</v>
      </c>
      <c r="AM406" s="6" t="s">
        <v>244</v>
      </c>
      <c r="AN406" s="6" t="s">
        <v>621</v>
      </c>
      <c r="AO406" s="6" t="s">
        <v>244</v>
      </c>
      <c r="AP406" s="6" t="s">
        <v>648</v>
      </c>
      <c r="AQ406" s="6" t="s">
        <v>288</v>
      </c>
      <c r="AR406" s="6" t="s">
        <v>288</v>
      </c>
      <c r="AS406" s="6" t="s">
        <v>244</v>
      </c>
      <c r="AT406" s="6" t="s">
        <v>244</v>
      </c>
      <c r="AU406" s="6" t="s">
        <v>288</v>
      </c>
      <c r="AV406" s="6" t="s">
        <v>244</v>
      </c>
      <c r="AW406" s="6" t="s">
        <v>341</v>
      </c>
      <c r="AX406" s="6" t="s">
        <v>371</v>
      </c>
    </row>
    <row r="407" spans="1:50">
      <c r="A407" s="6">
        <v>47</v>
      </c>
      <c r="B407" s="5" t="s">
        <v>3936</v>
      </c>
      <c r="C407" s="6">
        <v>4</v>
      </c>
      <c r="D407" s="6" t="s">
        <v>98</v>
      </c>
      <c r="E407" s="6">
        <v>1</v>
      </c>
      <c r="F407" s="6" t="s">
        <v>2511</v>
      </c>
      <c r="G407" s="6">
        <v>41988.923136574071</v>
      </c>
      <c r="H407" s="6">
        <v>42066.897326388891</v>
      </c>
      <c r="I407" s="6">
        <v>41988.923136574071</v>
      </c>
      <c r="J407" s="6" t="s">
        <v>103</v>
      </c>
      <c r="K407" s="6" t="s">
        <v>105</v>
      </c>
      <c r="L407" s="6" t="s">
        <v>2512</v>
      </c>
      <c r="M407" s="6" t="s">
        <v>637</v>
      </c>
      <c r="N407" s="6" t="s">
        <v>2513</v>
      </c>
      <c r="O407" s="6" t="s">
        <v>2514</v>
      </c>
      <c r="P407" s="6" t="s">
        <v>215</v>
      </c>
      <c r="Q407" s="6" t="s">
        <v>391</v>
      </c>
      <c r="R407" s="6" t="s">
        <v>2515</v>
      </c>
      <c r="S407" s="7" t="s">
        <v>391</v>
      </c>
      <c r="T407" s="7" t="s">
        <v>118</v>
      </c>
      <c r="U407" s="6" t="s">
        <v>70</v>
      </c>
      <c r="V407" s="6" t="s">
        <v>158</v>
      </c>
      <c r="W407" s="6" t="s">
        <v>160</v>
      </c>
      <c r="X407" s="6" t="s">
        <v>2512</v>
      </c>
      <c r="Y407" s="8" t="s">
        <v>3937</v>
      </c>
      <c r="AA407" s="8" t="s">
        <v>3938</v>
      </c>
      <c r="AE407" s="6" t="s">
        <v>371</v>
      </c>
      <c r="AF407" s="6" t="s">
        <v>178</v>
      </c>
      <c r="AG407" s="6" t="s">
        <v>180</v>
      </c>
      <c r="AH407" s="6" t="s">
        <v>187</v>
      </c>
      <c r="AI407" s="6" t="s">
        <v>385</v>
      </c>
      <c r="AJ407" s="6" t="s">
        <v>244</v>
      </c>
      <c r="AK407" s="6" t="s">
        <v>244</v>
      </c>
      <c r="AL407" s="6" t="s">
        <v>247</v>
      </c>
      <c r="AM407" s="6" t="s">
        <v>244</v>
      </c>
      <c r="AN407" s="6" t="s">
        <v>247</v>
      </c>
      <c r="AO407" s="6" t="s">
        <v>244</v>
      </c>
      <c r="AP407" s="6" t="s">
        <v>386</v>
      </c>
      <c r="AQ407" s="6" t="s">
        <v>288</v>
      </c>
      <c r="AR407" s="6" t="s">
        <v>288</v>
      </c>
      <c r="AS407" s="6" t="s">
        <v>244</v>
      </c>
      <c r="AT407" s="6" t="s">
        <v>244</v>
      </c>
      <c r="AU407" s="6" t="s">
        <v>288</v>
      </c>
      <c r="AV407" s="6" t="s">
        <v>371</v>
      </c>
      <c r="AW407" s="6" t="s">
        <v>244</v>
      </c>
      <c r="AX407" s="6" t="s">
        <v>247</v>
      </c>
    </row>
    <row r="408" spans="1:50" ht="15.75" customHeight="1">
      <c r="A408" s="6">
        <v>241</v>
      </c>
      <c r="B408" s="5" t="str">
        <f t="shared" ref="B408" si="0">CONCATENATE("http://roarmap.eprints.org/",A408,"/")</f>
        <v>http://roarmap.eprints.org/241/</v>
      </c>
      <c r="C408" s="6">
        <v>5</v>
      </c>
      <c r="D408" s="6" t="s">
        <v>98</v>
      </c>
      <c r="E408" s="6">
        <v>1</v>
      </c>
      <c r="F408" s="6" t="s">
        <v>1407</v>
      </c>
      <c r="G408" s="6">
        <v>41988.92355324074</v>
      </c>
      <c r="H408" s="6">
        <v>42046.485682870371</v>
      </c>
      <c r="I408" s="6">
        <v>41988.92355324074</v>
      </c>
      <c r="J408" s="6" t="s">
        <v>103</v>
      </c>
      <c r="K408" s="6" t="s">
        <v>105</v>
      </c>
      <c r="L408" s="6" t="s">
        <v>1408</v>
      </c>
      <c r="M408" s="6" t="s">
        <v>374</v>
      </c>
      <c r="N408" s="6" t="s">
        <v>1409</v>
      </c>
      <c r="P408" s="6" t="s">
        <v>966</v>
      </c>
      <c r="Q408" s="6">
        <v>528</v>
      </c>
      <c r="R408" s="6" t="str">
        <f>VLOOKUP(Q408,countries!A:B,2)</f>
        <v>Netherlands</v>
      </c>
      <c r="S408" s="7">
        <v>528</v>
      </c>
      <c r="T408" s="7" t="s">
        <v>123</v>
      </c>
      <c r="U408" s="6" t="str">
        <f>VLOOKUP(Q408,continents!A:B,2)</f>
        <v>Western Europe</v>
      </c>
      <c r="V408" s="6" t="s">
        <v>158</v>
      </c>
      <c r="W408" s="6" t="s">
        <v>160</v>
      </c>
      <c r="X408" s="6" t="s">
        <v>1408</v>
      </c>
      <c r="Y408" s="8" t="str">
        <f>HYPERLINK("http://www.nwo.nl/","http://www.nwo.nl/")</f>
        <v>http://www.nwo.nl/</v>
      </c>
      <c r="Z408" s="8" t="str">
        <f>HYPERLINK("http://www.nwo.nl/en/news-and-events/dossiers/open+access","http://www.nwo.nl/en/news-and-events/dossiers/open+access")</f>
        <v>http://www.nwo.nl/en/news-and-events/dossiers/open+access</v>
      </c>
      <c r="AB408" s="6">
        <v>2005</v>
      </c>
      <c r="AC408" s="6">
        <v>38530</v>
      </c>
      <c r="AE408" s="6" t="s">
        <v>177</v>
      </c>
      <c r="AF408" s="6" t="s">
        <v>244</v>
      </c>
      <c r="AG408" s="6" t="s">
        <v>180</v>
      </c>
      <c r="AH408" s="6" t="s">
        <v>371</v>
      </c>
      <c r="AI408" s="6" t="s">
        <v>182</v>
      </c>
      <c r="AJ408" s="6" t="s">
        <v>371</v>
      </c>
      <c r="AK408" s="6" t="s">
        <v>244</v>
      </c>
      <c r="AL408" s="6" t="s">
        <v>479</v>
      </c>
      <c r="AM408" s="6" t="s">
        <v>244</v>
      </c>
      <c r="AN408" s="6" t="s">
        <v>247</v>
      </c>
      <c r="AO408" s="6" t="s">
        <v>244</v>
      </c>
      <c r="AP408" s="6" t="s">
        <v>190</v>
      </c>
      <c r="AQ408" s="6" t="s">
        <v>288</v>
      </c>
      <c r="AR408" s="6" t="s">
        <v>288</v>
      </c>
      <c r="AS408" s="6" t="s">
        <v>244</v>
      </c>
      <c r="AT408" s="6" t="s">
        <v>244</v>
      </c>
      <c r="AU408" s="6" t="s">
        <v>288</v>
      </c>
      <c r="AV408" s="6" t="s">
        <v>195</v>
      </c>
      <c r="AW408" s="6" t="s">
        <v>178</v>
      </c>
      <c r="AX408" s="6" t="s">
        <v>521</v>
      </c>
    </row>
  </sheetData>
  <hyperlinks>
    <hyperlink ref="B2" r:id="rId1"/>
    <hyperlink ref="Y2" r:id="rId2"/>
    <hyperlink ref="AA2" r:id="rId3"/>
    <hyperlink ref="B3" r:id="rId4"/>
    <hyperlink ref="Y3" r:id="rId5"/>
    <hyperlink ref="B4" r:id="rId6"/>
    <hyperlink ref="Y4" r:id="rId7"/>
    <hyperlink ref="Z4" r:id="rId8"/>
    <hyperlink ref="AA4" r:id="rId9"/>
    <hyperlink ref="B5" r:id="rId10"/>
    <hyperlink ref="Y5" r:id="rId11"/>
    <hyperlink ref="Z5" r:id="rId12"/>
    <hyperlink ref="AA5" r:id="rId13"/>
    <hyperlink ref="B6" r:id="rId14"/>
    <hyperlink ref="Y6" r:id="rId15"/>
    <hyperlink ref="Z6" r:id="rId16"/>
    <hyperlink ref="AA6" r:id="rId17"/>
    <hyperlink ref="B7" r:id="rId18"/>
    <hyperlink ref="Y7" r:id="rId19"/>
    <hyperlink ref="Z7" r:id="rId20"/>
    <hyperlink ref="B8" r:id="rId21"/>
    <hyperlink ref="Y8" r:id="rId22"/>
    <hyperlink ref="Z8" r:id="rId23"/>
    <hyperlink ref="AA8" r:id="rId24"/>
    <hyperlink ref="B9" r:id="rId25"/>
    <hyperlink ref="Y9" r:id="rId26"/>
    <hyperlink ref="Z9" r:id="rId27"/>
    <hyperlink ref="AA9" r:id="rId28"/>
    <hyperlink ref="B10" r:id="rId29"/>
    <hyperlink ref="Y10" r:id="rId30"/>
    <hyperlink ref="Z10" r:id="rId31"/>
    <hyperlink ref="AA10" r:id="rId32"/>
    <hyperlink ref="B11" r:id="rId33"/>
    <hyperlink ref="Y11" r:id="rId34"/>
    <hyperlink ref="Z11" r:id="rId35"/>
    <hyperlink ref="AA11" r:id="rId36"/>
    <hyperlink ref="B12" r:id="rId37"/>
    <hyperlink ref="Y12" r:id="rId38"/>
    <hyperlink ref="Z12" r:id="rId39"/>
    <hyperlink ref="AA12" r:id="rId40"/>
    <hyperlink ref="B13" r:id="rId41"/>
    <hyperlink ref="Y13" r:id="rId42"/>
    <hyperlink ref="Z13" r:id="rId43"/>
    <hyperlink ref="AA13" r:id="rId44"/>
    <hyperlink ref="B14" r:id="rId45"/>
    <hyperlink ref="Y14" r:id="rId46"/>
    <hyperlink ref="Z14" r:id="rId47"/>
    <hyperlink ref="AA14" r:id="rId48"/>
    <hyperlink ref="B15" r:id="rId49"/>
    <hyperlink ref="Y15" r:id="rId50"/>
    <hyperlink ref="Z15" r:id="rId51"/>
    <hyperlink ref="AA15" r:id="rId52"/>
    <hyperlink ref="B16" r:id="rId53"/>
    <hyperlink ref="Y16" r:id="rId54"/>
    <hyperlink ref="Z16" r:id="rId55"/>
    <hyperlink ref="AA16" r:id="rId56"/>
    <hyperlink ref="B17" r:id="rId57"/>
    <hyperlink ref="Y17" r:id="rId58"/>
    <hyperlink ref="Z17" r:id="rId59"/>
    <hyperlink ref="AA17" r:id="rId60"/>
    <hyperlink ref="B18" r:id="rId61"/>
    <hyperlink ref="Y18" r:id="rId62"/>
    <hyperlink ref="Z18" r:id="rId63"/>
    <hyperlink ref="AA18" r:id="rId64"/>
    <hyperlink ref="B19" r:id="rId65"/>
    <hyperlink ref="Y19" r:id="rId66"/>
    <hyperlink ref="Z19" r:id="rId67"/>
    <hyperlink ref="AA19" r:id="rId68"/>
    <hyperlink ref="B20" r:id="rId69"/>
    <hyperlink ref="Y20" r:id="rId70"/>
    <hyperlink ref="Z20" r:id="rId71"/>
    <hyperlink ref="AA20" r:id="rId72"/>
    <hyperlink ref="B21" r:id="rId73"/>
    <hyperlink ref="Y21" r:id="rId74"/>
    <hyperlink ref="Z21" r:id="rId75" location="submitting" display="http://www.is.uwa.edu.au/research/theses - submitting"/>
    <hyperlink ref="AA21" r:id="rId76"/>
    <hyperlink ref="B22" r:id="rId77"/>
    <hyperlink ref="Y22" r:id="rId78"/>
    <hyperlink ref="Z22" r:id="rId79"/>
    <hyperlink ref="AA22" r:id="rId80"/>
    <hyperlink ref="B23" r:id="rId81"/>
    <hyperlink ref="Y23" r:id="rId82"/>
    <hyperlink ref="Z23" r:id="rId83"/>
    <hyperlink ref="B24" r:id="rId84"/>
    <hyperlink ref="Y24" r:id="rId85"/>
    <hyperlink ref="Z24" r:id="rId86"/>
    <hyperlink ref="AA24" r:id="rId87"/>
    <hyperlink ref="B25" r:id="rId88"/>
    <hyperlink ref="Y25" r:id="rId89"/>
    <hyperlink ref="Z25" r:id="rId90"/>
    <hyperlink ref="AA25" r:id="rId91"/>
    <hyperlink ref="B26" r:id="rId92"/>
    <hyperlink ref="Y26" r:id="rId93"/>
    <hyperlink ref="Z26" r:id="rId94" location="q1-1" display="http://dial.academielouvain.be/vital/access/manager/FAQ - q1-1"/>
    <hyperlink ref="AA26" r:id="rId95"/>
    <hyperlink ref="B27" r:id="rId96"/>
    <hyperlink ref="Y27" r:id="rId97"/>
    <hyperlink ref="Z27" r:id="rId98"/>
    <hyperlink ref="B28" r:id="rId99"/>
    <hyperlink ref="Y28" r:id="rId100"/>
    <hyperlink ref="Z28" r:id="rId101"/>
    <hyperlink ref="AA28" r:id="rId102"/>
    <hyperlink ref="B29" r:id="rId103"/>
    <hyperlink ref="Y29" r:id="rId104"/>
    <hyperlink ref="Z29" r:id="rId105"/>
    <hyperlink ref="AA29" r:id="rId106"/>
    <hyperlink ref="B30" r:id="rId107"/>
    <hyperlink ref="Y30" r:id="rId108"/>
    <hyperlink ref="Z30" r:id="rId109"/>
    <hyperlink ref="B31" r:id="rId110"/>
    <hyperlink ref="Y31" r:id="rId111"/>
    <hyperlink ref="Z31" r:id="rId112" display="http://roarmap.eprints.org/992/1/DIAL et OA CR.pdf"/>
    <hyperlink ref="AA31" r:id="rId113"/>
    <hyperlink ref="B32" r:id="rId114"/>
    <hyperlink ref="Y32" r:id="rId115"/>
    <hyperlink ref="Z32" r:id="rId116"/>
    <hyperlink ref="B33" r:id="rId117"/>
    <hyperlink ref="Y33" r:id="rId118"/>
    <hyperlink ref="Z33" r:id="rId119"/>
    <hyperlink ref="AA33" r:id="rId120"/>
    <hyperlink ref="B34" r:id="rId121"/>
    <hyperlink ref="Y34" r:id="rId122"/>
    <hyperlink ref="Z34" r:id="rId123"/>
    <hyperlink ref="AA34" r:id="rId124"/>
    <hyperlink ref="B35" r:id="rId125"/>
    <hyperlink ref="Y35" r:id="rId126" display="http://www.umons.ac.be"/>
    <hyperlink ref="AA35" r:id="rId127"/>
    <hyperlink ref="B36" r:id="rId128"/>
    <hyperlink ref="Y36" r:id="rId129"/>
    <hyperlink ref="AA36" r:id="rId130"/>
    <hyperlink ref="B37" r:id="rId131"/>
    <hyperlink ref="Y37" r:id="rId132"/>
    <hyperlink ref="Z37" r:id="rId133" location="c12738" display="http://www.bib.ulb.ac.be/fr/bibliotheque-electronique/depot-institutionnel-di-fusion/contexte-et-objectifs/index.html - c12738"/>
    <hyperlink ref="AA37" r:id="rId134"/>
    <hyperlink ref="B38" r:id="rId135"/>
    <hyperlink ref="Y38" r:id="rId136"/>
    <hyperlink ref="Z38" r:id="rId137"/>
    <hyperlink ref="B39" r:id="rId138"/>
    <hyperlink ref="Y39" r:id="rId139"/>
    <hyperlink ref="Z39" r:id="rId140"/>
    <hyperlink ref="AA39" r:id="rId141"/>
    <hyperlink ref="B40" r:id="rId142"/>
    <hyperlink ref="Y40" r:id="rId143"/>
    <hyperlink ref="Z40" r:id="rId144"/>
    <hyperlink ref="AA40" r:id="rId145"/>
    <hyperlink ref="B41" r:id="rId146"/>
    <hyperlink ref="Y41" r:id="rId147"/>
    <hyperlink ref="Z41" r:id="rId148" display="https://repositorio.ufba.br/ri/about/politica institucional.pdf"/>
    <hyperlink ref="AA41" r:id="rId149"/>
    <hyperlink ref="B42" r:id="rId150"/>
    <hyperlink ref="Y42" r:id="rId151"/>
    <hyperlink ref="Z42" r:id="rId152"/>
    <hyperlink ref="AA42" r:id="rId153"/>
    <hyperlink ref="B43" r:id="rId154"/>
    <hyperlink ref="Y43" r:id="rId155"/>
    <hyperlink ref="Z43" r:id="rId156"/>
    <hyperlink ref="AA43" r:id="rId157"/>
    <hyperlink ref="B44" r:id="rId158"/>
    <hyperlink ref="Y44" r:id="rId159"/>
    <hyperlink ref="Z44" r:id="rId160"/>
    <hyperlink ref="AA44" r:id="rId161"/>
    <hyperlink ref="B45" r:id="rId162"/>
    <hyperlink ref="Y45" r:id="rId163"/>
    <hyperlink ref="Z45" r:id="rId164"/>
    <hyperlink ref="AA45" r:id="rId165"/>
    <hyperlink ref="B46" r:id="rId166"/>
    <hyperlink ref="Y46" r:id="rId167"/>
    <hyperlink ref="Z46" r:id="rId168"/>
    <hyperlink ref="AA46" r:id="rId169"/>
    <hyperlink ref="B47" r:id="rId170"/>
    <hyperlink ref="Y47" r:id="rId171"/>
    <hyperlink ref="Z47" r:id="rId172"/>
    <hyperlink ref="AA47" r:id="rId173"/>
    <hyperlink ref="B48" r:id="rId174"/>
    <hyperlink ref="Y48" r:id="rId175"/>
    <hyperlink ref="Z48" r:id="rId176"/>
    <hyperlink ref="AA48" r:id="rId177"/>
    <hyperlink ref="B49" r:id="rId178"/>
    <hyperlink ref="Y49" r:id="rId179"/>
    <hyperlink ref="Z49" r:id="rId180"/>
    <hyperlink ref="AA49" r:id="rId181"/>
    <hyperlink ref="B50" r:id="rId182"/>
    <hyperlink ref="Y50" r:id="rId183"/>
    <hyperlink ref="Z50" r:id="rId184"/>
    <hyperlink ref="AA50" r:id="rId185"/>
    <hyperlink ref="B51" r:id="rId186"/>
    <hyperlink ref="Y51" r:id="rId187"/>
    <hyperlink ref="AA51" r:id="rId188"/>
    <hyperlink ref="B52" r:id="rId189"/>
    <hyperlink ref="Y52" r:id="rId190"/>
    <hyperlink ref="Z52" r:id="rId191" display="http://roarmap.eprints.org/1001/1/%D0%9F%D0%BE%D0%BB%D0%BE%D0%B6%D0%B5%D0%BD%D0%B8%D0%B5 %D0%BE%D0%B1 %D0%AD%D0%91 %D0%91%D0%93%D0%A3.pdf"/>
    <hyperlink ref="AA52" r:id="rId192"/>
    <hyperlink ref="B53" r:id="rId193"/>
    <hyperlink ref="Y53" r:id="rId194"/>
    <hyperlink ref="Z53" r:id="rId195"/>
    <hyperlink ref="AA53" r:id="rId196"/>
    <hyperlink ref="B54" r:id="rId197"/>
    <hyperlink ref="Y54" r:id="rId198"/>
    <hyperlink ref="Z54" r:id="rId199"/>
    <hyperlink ref="AA54" r:id="rId200"/>
    <hyperlink ref="B55" r:id="rId201"/>
    <hyperlink ref="Y55" r:id="rId202"/>
    <hyperlink ref="Z55" r:id="rId203"/>
    <hyperlink ref="AA55" r:id="rId204"/>
    <hyperlink ref="B56" r:id="rId205"/>
    <hyperlink ref="Y56" r:id="rId206"/>
    <hyperlink ref="Z56" r:id="rId207"/>
    <hyperlink ref="AA56" r:id="rId208"/>
    <hyperlink ref="B57" r:id="rId209"/>
    <hyperlink ref="Y57" r:id="rId210"/>
    <hyperlink ref="Z57" r:id="rId211"/>
    <hyperlink ref="AA57" r:id="rId212"/>
    <hyperlink ref="B58" r:id="rId213"/>
    <hyperlink ref="Y58" r:id="rId214"/>
    <hyperlink ref="Z58" r:id="rId215"/>
    <hyperlink ref="AA58" r:id="rId216"/>
    <hyperlink ref="B59" r:id="rId217"/>
    <hyperlink ref="Y59" r:id="rId218"/>
    <hyperlink ref="Z59" r:id="rId219"/>
    <hyperlink ref="AA59" r:id="rId220"/>
    <hyperlink ref="B60" r:id="rId221"/>
    <hyperlink ref="Y60" r:id="rId222"/>
    <hyperlink ref="Z60" r:id="rId223"/>
    <hyperlink ref="AA60" r:id="rId224"/>
    <hyperlink ref="B61" r:id="rId225"/>
    <hyperlink ref="Y61" r:id="rId226"/>
    <hyperlink ref="Z61" r:id="rId227" display="http://oicr.on.ca/files/public/november2009cancerresearchfundpolicies.pdf"/>
    <hyperlink ref="AA61" r:id="rId228"/>
    <hyperlink ref="B62" r:id="rId229"/>
    <hyperlink ref="Y62" r:id="rId230"/>
    <hyperlink ref="Z62" r:id="rId231"/>
    <hyperlink ref="AA62" r:id="rId232"/>
    <hyperlink ref="B63" r:id="rId233"/>
    <hyperlink ref="Y63" r:id="rId234"/>
    <hyperlink ref="Z63" r:id="rId235"/>
    <hyperlink ref="B64" r:id="rId236"/>
    <hyperlink ref="Y64" r:id="rId237"/>
    <hyperlink ref="Z64" r:id="rId238"/>
    <hyperlink ref="AA64" r:id="rId239"/>
    <hyperlink ref="B65" r:id="rId240"/>
    <hyperlink ref="Y65" r:id="rId241"/>
    <hyperlink ref="Z65" r:id="rId242"/>
    <hyperlink ref="AA65" r:id="rId243"/>
    <hyperlink ref="B66" r:id="rId244"/>
    <hyperlink ref="Y66" r:id="rId245"/>
    <hyperlink ref="AA66" r:id="rId246"/>
    <hyperlink ref="B67" r:id="rId247"/>
    <hyperlink ref="Y67" r:id="rId248"/>
    <hyperlink ref="Z67" r:id="rId249"/>
    <hyperlink ref="B68" r:id="rId250"/>
    <hyperlink ref="Y68" r:id="rId251"/>
    <hyperlink ref="B69" r:id="rId252"/>
    <hyperlink ref="Y69" r:id="rId253"/>
    <hyperlink ref="Z69" r:id="rId254"/>
    <hyperlink ref="AA69" r:id="rId255"/>
    <hyperlink ref="B70" r:id="rId256"/>
    <hyperlink ref="Y70" r:id="rId257"/>
    <hyperlink ref="Z70" r:id="rId258"/>
    <hyperlink ref="AA70" r:id="rId259"/>
    <hyperlink ref="B71" r:id="rId260"/>
    <hyperlink ref="Y71" r:id="rId261"/>
    <hyperlink ref="Z71" r:id="rId262"/>
    <hyperlink ref="AA71" r:id="rId263"/>
    <hyperlink ref="B72" r:id="rId264"/>
    <hyperlink ref="Y72" r:id="rId265"/>
    <hyperlink ref="Z72" r:id="rId266"/>
    <hyperlink ref="AA72" r:id="rId267"/>
    <hyperlink ref="B73" r:id="rId268"/>
    <hyperlink ref="Y73" r:id="rId269"/>
    <hyperlink ref="Z73" r:id="rId270"/>
    <hyperlink ref="AA73" r:id="rId271"/>
    <hyperlink ref="B74" r:id="rId272"/>
    <hyperlink ref="Y74" r:id="rId273"/>
    <hyperlink ref="Z74" r:id="rId274"/>
    <hyperlink ref="AA74" r:id="rId275"/>
    <hyperlink ref="B75" r:id="rId276"/>
    <hyperlink ref="Y75" r:id="rId277"/>
    <hyperlink ref="Z75" r:id="rId278"/>
    <hyperlink ref="AA75" r:id="rId279"/>
    <hyperlink ref="B76" r:id="rId280"/>
    <hyperlink ref="Y76" r:id="rId281"/>
    <hyperlink ref="Z76" r:id="rId282" display="http://ufm.dk/en/research-and-innovation/cooperation-between-research-and-innovation/open-science/open-access-policy-for-public-research-councils-and-foundations?searchterm=open%0A               access"/>
    <hyperlink ref="B77" r:id="rId283"/>
    <hyperlink ref="Y77" r:id="rId284"/>
    <hyperlink ref="Z77" r:id="rId285"/>
    <hyperlink ref="AA77" r:id="rId286"/>
    <hyperlink ref="B78" r:id="rId287"/>
    <hyperlink ref="Y78" r:id="rId288"/>
    <hyperlink ref="Z78" r:id="rId289"/>
    <hyperlink ref="AA78" r:id="rId290"/>
    <hyperlink ref="B79" r:id="rId291"/>
    <hyperlink ref="Y79" r:id="rId292"/>
    <hyperlink ref="Z79" r:id="rId293"/>
    <hyperlink ref="AA79" r:id="rId294"/>
    <hyperlink ref="B80" r:id="rId295"/>
    <hyperlink ref="Y80" r:id="rId296"/>
    <hyperlink ref="Z80" r:id="rId297"/>
    <hyperlink ref="AA80" r:id="rId298" display="http://www.etis.ee"/>
    <hyperlink ref="B81" r:id="rId299"/>
    <hyperlink ref="Y81" r:id="rId300"/>
    <hyperlink ref="Z81" r:id="rId301" display="http://www.arene.fi/data/dokumentit/52bd599d-66f6-41a9-8cb7-6e151ec677d5_open access julkilausuma.pdf"/>
    <hyperlink ref="AA81" r:id="rId302"/>
    <hyperlink ref="B82" r:id="rId303"/>
    <hyperlink ref="Y82" r:id="rId304"/>
    <hyperlink ref="Z82" r:id="rId305" display="http://www.arene.fi/data/dokumentit/52bd599d-66f6-41a9-8cb7-6e151ec677d5_open access julkilausuma.pdf"/>
    <hyperlink ref="AA82" r:id="rId306"/>
    <hyperlink ref="B83" r:id="rId307"/>
    <hyperlink ref="Y83" r:id="rId308"/>
    <hyperlink ref="Z83" r:id="rId309" display="http://www.arene.fi/data/dokumentit/52bd599d-66f6-41a9-8cb7-6e151ec677d5_open access julkilausuma.pdf"/>
    <hyperlink ref="AA83" r:id="rId310"/>
    <hyperlink ref="B84" r:id="rId311"/>
    <hyperlink ref="Y84" r:id="rId312"/>
    <hyperlink ref="Z84" r:id="rId313" display="http://www.arene.fi/data/dokumentit/52bd599d-66f6-41a9-8cb7-6e151ec677d5_open access julkilausuma.pdf"/>
    <hyperlink ref="AA84" r:id="rId314"/>
    <hyperlink ref="B85" r:id="rId315"/>
    <hyperlink ref="Y85" r:id="rId316"/>
    <hyperlink ref="Z85" r:id="rId317" display="http://www.arene.fi/data/dokumentit/52bd599d-66f6-41a9-8cb7-6e151ec677d5_open access julkilausuma.pdf"/>
    <hyperlink ref="AA85" r:id="rId318"/>
    <hyperlink ref="B86" r:id="rId319"/>
    <hyperlink ref="Y86" r:id="rId320"/>
    <hyperlink ref="Z86" r:id="rId321" display="http://www.arene.fi/data/dokumentit/52bd599d-66f6-41a9-8cb7-6e151ec677d5_open access julkilausuma.pdf"/>
    <hyperlink ref="AA86" r:id="rId322"/>
    <hyperlink ref="B87" r:id="rId323"/>
    <hyperlink ref="Y87" r:id="rId324"/>
    <hyperlink ref="Z87" r:id="rId325" display="http://www.arene.fi/data/dokumentit/52bd599d-66f6-41a9-8cb7-6e151ec677d5_open access julkilausuma.pdf"/>
    <hyperlink ref="AA87" r:id="rId326"/>
    <hyperlink ref="B88" r:id="rId327"/>
    <hyperlink ref="Y88" r:id="rId328"/>
    <hyperlink ref="Z88" r:id="rId329" display="http://www.arene.fi/data/dokumentit/52bd599d-66f6-41a9-8cb7-6e151ec677d5_open access julkilausuma.pdf"/>
    <hyperlink ref="AA88" r:id="rId330"/>
    <hyperlink ref="B89" r:id="rId331"/>
    <hyperlink ref="Y89" r:id="rId332"/>
    <hyperlink ref="Z89" r:id="rId333" display="http://www.arene.fi/data/dokumentit/52bd599d-66f6-41a9-8cb7-6e151ec677d5_open access julkilausuma.pdf"/>
    <hyperlink ref="AA89" r:id="rId334"/>
    <hyperlink ref="B90" r:id="rId335"/>
    <hyperlink ref="Y90" r:id="rId336"/>
    <hyperlink ref="Z90" r:id="rId337" display="http://www.arene.fi/data/dokumentit/52bd599d-66f6-41a9-8cb7-6e151ec677d5_open access julkilausuma.pdf"/>
    <hyperlink ref="AA90" r:id="rId338"/>
    <hyperlink ref="B91" r:id="rId339"/>
    <hyperlink ref="Y91" r:id="rId340"/>
    <hyperlink ref="Z91" r:id="rId341" display="http://www.arene.fi/data/dokumentit/52bd599d-66f6-41a9-8cb7-6e151ec677d5_open access julkilausuma.pdf"/>
    <hyperlink ref="AA91" r:id="rId342"/>
    <hyperlink ref="B92" r:id="rId343"/>
    <hyperlink ref="Y92" r:id="rId344"/>
    <hyperlink ref="Z92" r:id="rId345" display="http://www.arene.fi/data/dokumentit/52bd599d-66f6-41a9-8cb7-6e151ec677d5_open access julkilausuma.pdf"/>
    <hyperlink ref="AA92" r:id="rId346"/>
    <hyperlink ref="B93" r:id="rId347"/>
    <hyperlink ref="Y93" r:id="rId348"/>
    <hyperlink ref="Z93" r:id="rId349" display="http://www.arene.fi/data/dokumentit/52bd599d-66f6-41a9-8cb7-6e151ec677d5_open access julkilausuma.pdf"/>
    <hyperlink ref="AA93" r:id="rId350"/>
    <hyperlink ref="B94" r:id="rId351"/>
    <hyperlink ref="Y94" r:id="rId352"/>
    <hyperlink ref="Z94" r:id="rId353" display="http://www.arene.fi/data/dokumentit/52bd599d-66f6-41a9-8cb7-6e151ec677d5_open access julkilausuma.pdf"/>
    <hyperlink ref="AA94" r:id="rId354"/>
    <hyperlink ref="B95" r:id="rId355"/>
    <hyperlink ref="Y95" r:id="rId356"/>
    <hyperlink ref="Z95" r:id="rId357" display="http://www.arene.fi/data/dokumentit/52bd599d-66f6-41a9-8cb7-6e151ec677d5_open access julkilausuma.pdf"/>
    <hyperlink ref="AA95" r:id="rId358"/>
    <hyperlink ref="B96" r:id="rId359"/>
    <hyperlink ref="Y96" r:id="rId360"/>
    <hyperlink ref="Z96" r:id="rId361" display="http://www.arene.fi/data/dokumentit/52bd599d-66f6-41a9-8cb7-6e151ec677d5_open access julkilausuma.pdf"/>
    <hyperlink ref="AA96" r:id="rId362"/>
    <hyperlink ref="B97" r:id="rId363"/>
    <hyperlink ref="Y97" r:id="rId364"/>
    <hyperlink ref="Z97" r:id="rId365" display="http://www.arene.fi/data/dokumentit/52bd599d-66f6-41a9-8cb7-6e151ec677d5_open access julkilausuma.pdf"/>
    <hyperlink ref="AA97" r:id="rId366"/>
    <hyperlink ref="B98" r:id="rId367"/>
    <hyperlink ref="Y98" r:id="rId368"/>
    <hyperlink ref="Z98" r:id="rId369" display="http://www.arene.fi/data/dokumentit/52bd599d-66f6-41a9-8cb7-6e151ec677d5_open access julkilausuma.pdf"/>
    <hyperlink ref="AA98" r:id="rId370"/>
    <hyperlink ref="B99" r:id="rId371"/>
    <hyperlink ref="Y99" r:id="rId372"/>
    <hyperlink ref="Z99" r:id="rId373" display="http://www.arene.fi/data/dokumentit/52bd599d-66f6-41a9-8cb7-6e151ec677d5_open access julkilausuma.pdf"/>
    <hyperlink ref="AA99" r:id="rId374"/>
    <hyperlink ref="B100" r:id="rId375"/>
    <hyperlink ref="Y100" r:id="rId376"/>
    <hyperlink ref="Z100" r:id="rId377" display="http://www.arene.fi/data/dokumentit/52bd599d-66f6-41a9-8cb7-6e151ec677d5_open access julkilausuma.pdf"/>
    <hyperlink ref="AA100" r:id="rId378"/>
    <hyperlink ref="B101" r:id="rId379"/>
    <hyperlink ref="Y101" r:id="rId380"/>
    <hyperlink ref="Z101" r:id="rId381" display="http://www.arene.fi/data/dokumentit/52bd599d-66f6-41a9-8cb7-6e151ec677d5_open access julkilausuma.pdf"/>
    <hyperlink ref="AA101" r:id="rId382"/>
    <hyperlink ref="B102" r:id="rId383"/>
    <hyperlink ref="Y102" r:id="rId384"/>
    <hyperlink ref="Z102" r:id="rId385" display="http://www.arene.fi/data/dokumentit/52bd599d-66f6-41a9-8cb7-6e151ec677d5_open access julkilausuma.pdf"/>
    <hyperlink ref="AA102" r:id="rId386"/>
    <hyperlink ref="B103" r:id="rId387"/>
    <hyperlink ref="Y103" r:id="rId388"/>
    <hyperlink ref="Z103" r:id="rId389" display="http://www.helsinki.fi/openaccess/open access/english/decision260508_eng.pdf"/>
    <hyperlink ref="AA103" r:id="rId390"/>
    <hyperlink ref="B104" r:id="rId391"/>
    <hyperlink ref="Y104" r:id="rId392"/>
    <hyperlink ref="Z104" r:id="rId393" display="http://www.arene.fi/data/dokumentit/52bd599d-66f6-41a9-8cb7-6e151ec677d5_open access julkilausuma.pdf"/>
    <hyperlink ref="AA104" r:id="rId394"/>
    <hyperlink ref="B105" r:id="rId395"/>
    <hyperlink ref="Y105" r:id="rId396"/>
    <hyperlink ref="AA105" r:id="rId397"/>
    <hyperlink ref="B106" r:id="rId398"/>
    <hyperlink ref="Y106" r:id="rId399"/>
    <hyperlink ref="AA106" r:id="rId400"/>
    <hyperlink ref="B107" r:id="rId401"/>
    <hyperlink ref="Y107" r:id="rId402"/>
    <hyperlink ref="Z107" r:id="rId403"/>
    <hyperlink ref="AA107" r:id="rId404"/>
    <hyperlink ref="B108" r:id="rId405"/>
    <hyperlink ref="Y108" r:id="rId406"/>
    <hyperlink ref="AA108" r:id="rId407"/>
    <hyperlink ref="B109" r:id="rId408"/>
    <hyperlink ref="Y109" r:id="rId409"/>
    <hyperlink ref="Z109" r:id="rId410"/>
    <hyperlink ref="B110" r:id="rId411"/>
    <hyperlink ref="Y110" r:id="rId412"/>
    <hyperlink ref="Z110" r:id="rId413"/>
    <hyperlink ref="AA110" r:id="rId414"/>
    <hyperlink ref="B111" r:id="rId415"/>
    <hyperlink ref="Y111" r:id="rId416"/>
    <hyperlink ref="AA111" r:id="rId417"/>
    <hyperlink ref="B112" r:id="rId418"/>
    <hyperlink ref="Y112" r:id="rId419"/>
    <hyperlink ref="Z112" r:id="rId420" display="http://www.eprints.org/openaccess/policysignup/fullinfo.php?inst=Institut Jean Nicod"/>
    <hyperlink ref="AA112" r:id="rId421"/>
    <hyperlink ref="B113" r:id="rId422"/>
    <hyperlink ref="Y113" r:id="rId423"/>
    <hyperlink ref="Z113" r:id="rId424"/>
    <hyperlink ref="AA113" r:id="rId425"/>
    <hyperlink ref="B114" r:id="rId426"/>
    <hyperlink ref="Y114" r:id="rId427"/>
    <hyperlink ref="AA114" r:id="rId428"/>
    <hyperlink ref="B115" r:id="rId429"/>
    <hyperlink ref="Y115" r:id="rId430"/>
    <hyperlink ref="AA115" r:id="rId431"/>
    <hyperlink ref="B116" r:id="rId432"/>
    <hyperlink ref="Y116" r:id="rId433"/>
    <hyperlink ref="Z116" r:id="rId434"/>
    <hyperlink ref="B117" r:id="rId435"/>
    <hyperlink ref="Y117" r:id="rId436"/>
    <hyperlink ref="Z117" r:id="rId437"/>
    <hyperlink ref="AA117" r:id="rId438"/>
    <hyperlink ref="B118" r:id="rId439"/>
    <hyperlink ref="Y118" r:id="rId440"/>
    <hyperlink ref="Z118" r:id="rId441"/>
    <hyperlink ref="AA118" r:id="rId442"/>
    <hyperlink ref="B119" r:id="rId443"/>
    <hyperlink ref="Y119" r:id="rId444"/>
    <hyperlink ref="Z119" r:id="rId445"/>
    <hyperlink ref="AA119" r:id="rId446"/>
    <hyperlink ref="B120" r:id="rId447"/>
    <hyperlink ref="Y120" r:id="rId448"/>
    <hyperlink ref="Z120" r:id="rId449" display="http://www.eprints.org/openaccess/policysignup/fullinfo.php?inst=The University of Hong Kong"/>
    <hyperlink ref="AA120" r:id="rId450"/>
    <hyperlink ref="B121" r:id="rId451"/>
    <hyperlink ref="Y121" r:id="rId452"/>
    <hyperlink ref="Z121" r:id="rId453"/>
    <hyperlink ref="AA121" r:id="rId454"/>
    <hyperlink ref="B122" r:id="rId455"/>
    <hyperlink ref="Y122" r:id="rId456"/>
    <hyperlink ref="B123" r:id="rId457"/>
    <hyperlink ref="Y123" r:id="rId458"/>
    <hyperlink ref="Z123" r:id="rId459"/>
    <hyperlink ref="AA123" r:id="rId460"/>
    <hyperlink ref="B124" r:id="rId461"/>
    <hyperlink ref="Y124" r:id="rId462"/>
    <hyperlink ref="Z124" r:id="rId463"/>
    <hyperlink ref="AA124" r:id="rId464"/>
    <hyperlink ref="B125" r:id="rId465"/>
    <hyperlink ref="Y125" r:id="rId466"/>
    <hyperlink ref="AA125" r:id="rId467"/>
    <hyperlink ref="B126" r:id="rId468"/>
    <hyperlink ref="Y126" r:id="rId469"/>
    <hyperlink ref="Z126" r:id="rId470"/>
    <hyperlink ref="B127" r:id="rId471"/>
    <hyperlink ref="Y127" r:id="rId472"/>
    <hyperlink ref="Z127" r:id="rId473"/>
    <hyperlink ref="AA127" r:id="rId474"/>
    <hyperlink ref="B128" r:id="rId475"/>
    <hyperlink ref="Y128" r:id="rId476"/>
    <hyperlink ref="Z128" r:id="rId477" display="http://dst.gov.in/whats_new/whats_new14/APPROVED OPEN ACCESS POLICY-DBT&amp;DST(12.12.2014).pdf"/>
    <hyperlink ref="B129" r:id="rId478"/>
    <hyperlink ref="Y129" r:id="rId479"/>
    <hyperlink ref="Z129" r:id="rId480"/>
    <hyperlink ref="B130" r:id="rId481"/>
    <hyperlink ref="Y130" r:id="rId482"/>
    <hyperlink ref="Z130" r:id="rId483"/>
    <hyperlink ref="AA130" r:id="rId484"/>
    <hyperlink ref="B131" r:id="rId485"/>
    <hyperlink ref="Y131" r:id="rId486"/>
    <hyperlink ref="AA131" r:id="rId487"/>
    <hyperlink ref="B132" r:id="rId488"/>
    <hyperlink ref="Y132" r:id="rId489"/>
    <hyperlink ref="AA132" r:id="rId490"/>
    <hyperlink ref="B133" r:id="rId491"/>
    <hyperlink ref="Y133" r:id="rId492"/>
    <hyperlink ref="AA133" r:id="rId493"/>
    <hyperlink ref="B134" r:id="rId494"/>
    <hyperlink ref="Y134" r:id="rId495"/>
    <hyperlink ref="Z134" r:id="rId496"/>
    <hyperlink ref="AA134" r:id="rId497"/>
    <hyperlink ref="B135" r:id="rId498"/>
    <hyperlink ref="Y135" r:id="rId499"/>
    <hyperlink ref="Z135" r:id="rId500"/>
    <hyperlink ref="AA135" r:id="rId501"/>
    <hyperlink ref="B136" r:id="rId502"/>
    <hyperlink ref="Y136" r:id="rId503"/>
    <hyperlink ref="Z136" r:id="rId504"/>
    <hyperlink ref="AA136" r:id="rId505"/>
    <hyperlink ref="B137" r:id="rId506"/>
    <hyperlink ref="Y137" r:id="rId507"/>
    <hyperlink ref="Z137" r:id="rId508"/>
    <hyperlink ref="AA137" r:id="rId509"/>
    <hyperlink ref="B138" r:id="rId510"/>
    <hyperlink ref="Y138" r:id="rId511"/>
    <hyperlink ref="Z138" r:id="rId512"/>
    <hyperlink ref="B139" r:id="rId513"/>
    <hyperlink ref="Y139" r:id="rId514"/>
    <hyperlink ref="Z139" r:id="rId515"/>
    <hyperlink ref="B140" r:id="rId516"/>
    <hyperlink ref="Y140" r:id="rId517"/>
    <hyperlink ref="Z140" r:id="rId518"/>
    <hyperlink ref="AA140" r:id="rId519"/>
    <hyperlink ref="B141" r:id="rId520"/>
    <hyperlink ref="Y141" r:id="rId521"/>
    <hyperlink ref="Z141" r:id="rId522" display="http://www.sfi.ie/assets/files/downloads/Funding/grant_policies/open access dec 10.pdf"/>
    <hyperlink ref="B142" r:id="rId523"/>
    <hyperlink ref="Y142" r:id="rId524"/>
    <hyperlink ref="Z142" r:id="rId525"/>
    <hyperlink ref="AA142" r:id="rId526"/>
    <hyperlink ref="B143" r:id="rId527"/>
    <hyperlink ref="Y143" r:id="rId528"/>
    <hyperlink ref="Z143" r:id="rId529"/>
    <hyperlink ref="B144" r:id="rId530"/>
    <hyperlink ref="Y144" r:id="rId531"/>
    <hyperlink ref="Z144" r:id="rId532"/>
    <hyperlink ref="AA144" r:id="rId533"/>
    <hyperlink ref="B145" r:id="rId534"/>
    <hyperlink ref="Y145" r:id="rId535"/>
    <hyperlink ref="AA145" r:id="rId536"/>
    <hyperlink ref="B146" r:id="rId537"/>
    <hyperlink ref="Y146" r:id="rId538"/>
    <hyperlink ref="Z146" r:id="rId539"/>
    <hyperlink ref="AA146" r:id="rId540"/>
    <hyperlink ref="B147" r:id="rId541"/>
    <hyperlink ref="Y147" r:id="rId542"/>
    <hyperlink ref="Z147" r:id="rId543"/>
    <hyperlink ref="AA147" r:id="rId544"/>
    <hyperlink ref="B148" r:id="rId545"/>
    <hyperlink ref="Y148" r:id="rId546"/>
    <hyperlink ref="Z148" r:id="rId547"/>
    <hyperlink ref="AA148" r:id="rId548"/>
    <hyperlink ref="B149" r:id="rId549"/>
    <hyperlink ref="Y149" r:id="rId550"/>
    <hyperlink ref="Z149" r:id="rId551"/>
    <hyperlink ref="AA149" r:id="rId552"/>
    <hyperlink ref="B150" r:id="rId553"/>
    <hyperlink ref="Y150" r:id="rId554"/>
    <hyperlink ref="Z150" r:id="rId555"/>
    <hyperlink ref="AA150" r:id="rId556"/>
    <hyperlink ref="B151" r:id="rId557"/>
    <hyperlink ref="Y151" r:id="rId558"/>
    <hyperlink ref="Z151" r:id="rId559"/>
    <hyperlink ref="AA151" r:id="rId560"/>
    <hyperlink ref="B152" r:id="rId561"/>
    <hyperlink ref="Y152" r:id="rId562"/>
    <hyperlink ref="Z152" r:id="rId563"/>
    <hyperlink ref="B153" r:id="rId564"/>
    <hyperlink ref="Y153" r:id="rId565"/>
    <hyperlink ref="AA153" r:id="rId566"/>
    <hyperlink ref="B154" r:id="rId567"/>
    <hyperlink ref="Y154" r:id="rId568"/>
    <hyperlink ref="Z154" r:id="rId569"/>
    <hyperlink ref="AA154" r:id="rId570"/>
    <hyperlink ref="B155" r:id="rId571"/>
    <hyperlink ref="Y155" r:id="rId572"/>
    <hyperlink ref="Z155" r:id="rId573"/>
    <hyperlink ref="AA155" r:id="rId574"/>
    <hyperlink ref="B156" r:id="rId575"/>
    <hyperlink ref="Y156" r:id="rId576"/>
    <hyperlink ref="Z156" r:id="rId577"/>
    <hyperlink ref="B157" r:id="rId578"/>
    <hyperlink ref="Y157" r:id="rId579"/>
    <hyperlink ref="AA157" r:id="rId580"/>
    <hyperlink ref="B158" r:id="rId581"/>
    <hyperlink ref="Y158" r:id="rId582"/>
    <hyperlink ref="Z158" r:id="rId583"/>
    <hyperlink ref="AA158" r:id="rId584"/>
    <hyperlink ref="B159" r:id="rId585"/>
    <hyperlink ref="Y159" r:id="rId586"/>
    <hyperlink ref="AA159" r:id="rId587"/>
    <hyperlink ref="B160" r:id="rId588"/>
    <hyperlink ref="Y160" r:id="rId589"/>
    <hyperlink ref="Z160" r:id="rId590"/>
    <hyperlink ref="B161" r:id="rId591"/>
    <hyperlink ref="Y161" r:id="rId592"/>
    <hyperlink ref="Z161" r:id="rId593"/>
    <hyperlink ref="AA161" r:id="rId594"/>
    <hyperlink ref="B162" r:id="rId595"/>
    <hyperlink ref="Y162" r:id="rId596"/>
    <hyperlink ref="Z162" r:id="rId597"/>
    <hyperlink ref="AA162" r:id="rId598"/>
    <hyperlink ref="B163" r:id="rId599"/>
    <hyperlink ref="Y163" r:id="rId600"/>
    <hyperlink ref="Z163" r:id="rId601"/>
    <hyperlink ref="AA163" r:id="rId602"/>
    <hyperlink ref="B164" r:id="rId603"/>
    <hyperlink ref="Y164" r:id="rId604"/>
    <hyperlink ref="Z164" r:id="rId605"/>
    <hyperlink ref="AA164" r:id="rId606"/>
    <hyperlink ref="B165" r:id="rId607"/>
    <hyperlink ref="Y165" r:id="rId608"/>
    <hyperlink ref="AA165" r:id="rId609"/>
    <hyperlink ref="B166" r:id="rId610"/>
    <hyperlink ref="Y166" r:id="rId611"/>
    <hyperlink ref="Z166" r:id="rId612"/>
    <hyperlink ref="AA166" r:id="rId613"/>
    <hyperlink ref="B167" r:id="rId614"/>
    <hyperlink ref="Y167" r:id="rId615"/>
    <hyperlink ref="Z167" r:id="rId616"/>
    <hyperlink ref="AA167" r:id="rId617"/>
    <hyperlink ref="B168" r:id="rId618"/>
    <hyperlink ref="Y168" r:id="rId619"/>
    <hyperlink ref="Z168" r:id="rId620"/>
    <hyperlink ref="AA168" r:id="rId621"/>
    <hyperlink ref="B169" r:id="rId622"/>
    <hyperlink ref="Y169" r:id="rId623"/>
    <hyperlink ref="Z169" r:id="rId624"/>
    <hyperlink ref="AA169" r:id="rId625"/>
    <hyperlink ref="B170" r:id="rId626"/>
    <hyperlink ref="Y170" r:id="rId627"/>
    <hyperlink ref="Z170" r:id="rId628"/>
    <hyperlink ref="AA170" r:id="rId629"/>
    <hyperlink ref="B171" r:id="rId630"/>
    <hyperlink ref="Y171" r:id="rId631"/>
    <hyperlink ref="Z171" r:id="rId632"/>
    <hyperlink ref="AA171" r:id="rId633"/>
    <hyperlink ref="B172" r:id="rId634"/>
    <hyperlink ref="Y172" r:id="rId635"/>
    <hyperlink ref="Z172" r:id="rId636"/>
    <hyperlink ref="AA172" r:id="rId637"/>
    <hyperlink ref="B173" r:id="rId638"/>
    <hyperlink ref="Y173" r:id="rId639"/>
    <hyperlink ref="Z173" r:id="rId640"/>
    <hyperlink ref="AA173" r:id="rId641"/>
    <hyperlink ref="B174" r:id="rId642"/>
    <hyperlink ref="Y174" r:id="rId643"/>
    <hyperlink ref="Z174" r:id="rId644"/>
    <hyperlink ref="AA174" r:id="rId645"/>
    <hyperlink ref="B175" r:id="rId646"/>
    <hyperlink ref="Y175" r:id="rId647"/>
    <hyperlink ref="Z175" r:id="rId648"/>
    <hyperlink ref="AA175" r:id="rId649"/>
    <hyperlink ref="B176" r:id="rId650"/>
    <hyperlink ref="Y176" r:id="rId651"/>
    <hyperlink ref="Z176" r:id="rId652" location=".U31IKq1dWwE" display="http://eprints.covenantuniversity.edu.ng/policies.html - .U31IKq1dWwE"/>
    <hyperlink ref="AA176" r:id="rId653"/>
    <hyperlink ref="B177" r:id="rId654"/>
    <hyperlink ref="Y177" r:id="rId655"/>
    <hyperlink ref="Z177" r:id="rId656"/>
    <hyperlink ref="AA177" r:id="rId657"/>
    <hyperlink ref="B178" r:id="rId658"/>
    <hyperlink ref="Y178" r:id="rId659"/>
    <hyperlink ref="Z178" r:id="rId660"/>
    <hyperlink ref="AA178" r:id="rId661"/>
    <hyperlink ref="B179" r:id="rId662"/>
    <hyperlink ref="Y179" r:id="rId663"/>
    <hyperlink ref="Z179" r:id="rId664" display="http://uit.no/Content/375533/OA policy UiT 141010.pdf"/>
    <hyperlink ref="AA179" r:id="rId665"/>
    <hyperlink ref="B180" r:id="rId666"/>
    <hyperlink ref="Y180" r:id="rId667"/>
    <hyperlink ref="Z180" r:id="rId668"/>
    <hyperlink ref="AA180" r:id="rId669"/>
    <hyperlink ref="B181" r:id="rId670"/>
    <hyperlink ref="Y181" r:id="rId671"/>
    <hyperlink ref="Z181" r:id="rId672"/>
    <hyperlink ref="AA181" r:id="rId673"/>
    <hyperlink ref="B182" r:id="rId674"/>
    <hyperlink ref="Y182" r:id="rId675"/>
    <hyperlink ref="B183" r:id="rId676"/>
    <hyperlink ref="Y183" r:id="rId677"/>
    <hyperlink ref="Z183" r:id="rId678"/>
    <hyperlink ref="AA183" r:id="rId679"/>
    <hyperlink ref="B184" r:id="rId680"/>
    <hyperlink ref="Y184" r:id="rId681"/>
    <hyperlink ref="B185" r:id="rId682"/>
    <hyperlink ref="Y185" r:id="rId683"/>
    <hyperlink ref="Z185" r:id="rId684"/>
    <hyperlink ref="AA185" r:id="rId685"/>
    <hyperlink ref="B186" r:id="rId686"/>
    <hyperlink ref="Y186" r:id="rId687"/>
    <hyperlink ref="Z186" r:id="rId688"/>
    <hyperlink ref="AA186" r:id="rId689"/>
    <hyperlink ref="B187" r:id="rId690"/>
    <hyperlink ref="Y187" r:id="rId691"/>
    <hyperlink ref="AA187" r:id="rId692"/>
    <hyperlink ref="B188" r:id="rId693"/>
    <hyperlink ref="Y188" r:id="rId694"/>
    <hyperlink ref="Z188" r:id="rId695"/>
    <hyperlink ref="AA188" r:id="rId696"/>
    <hyperlink ref="B189" r:id="rId697"/>
    <hyperlink ref="Y189" r:id="rId698"/>
    <hyperlink ref="Z189" r:id="rId699"/>
    <hyperlink ref="AA189" r:id="rId700"/>
    <hyperlink ref="B190" r:id="rId701"/>
    <hyperlink ref="Y190" r:id="rId702"/>
    <hyperlink ref="Z190" r:id="rId703" display="http://repositorio.ual.pt/Pol%C3%ADtica de Dep%C3%B3sito de Publica%C3%A7%C3%B5es.pdf"/>
    <hyperlink ref="AA190" r:id="rId704"/>
    <hyperlink ref="B191" r:id="rId705"/>
    <hyperlink ref="Y191" r:id="rId706"/>
    <hyperlink ref="Z191" r:id="rId707"/>
    <hyperlink ref="AA191" r:id="rId708"/>
    <hyperlink ref="B192" r:id="rId709"/>
    <hyperlink ref="Y192" r:id="rId710"/>
    <hyperlink ref="Z192" r:id="rId711"/>
    <hyperlink ref="B193" r:id="rId712"/>
    <hyperlink ref="Y193" r:id="rId713"/>
    <hyperlink ref="Z193" r:id="rId714" display="http://roarmap.eprints.org/877/1/%D0%BF%D1%80%D0%B8%D0%BA%D0%B0%D0%B7 %D0%BE%D0%B1 %D1%83%D0%BD%D0%B8%D0%B2%D0%B5%D1%80 %D0%BC%D0%B0%D0%BD%D0%B4%D0%B0%D1%82%D0%B5.pdf"/>
    <hyperlink ref="B194" r:id="rId715"/>
    <hyperlink ref="Y194" r:id="rId716"/>
    <hyperlink ref="AA194" r:id="rId717"/>
    <hyperlink ref="B195" r:id="rId718"/>
    <hyperlink ref="Y195" r:id="rId719"/>
    <hyperlink ref="AA195" r:id="rId720"/>
    <hyperlink ref="B196" r:id="rId721"/>
    <hyperlink ref="Y196" r:id="rId722"/>
    <hyperlink ref="AA196" r:id="rId723"/>
    <hyperlink ref="B197" r:id="rId724"/>
    <hyperlink ref="Y197" r:id="rId725"/>
    <hyperlink ref="Z197" r:id="rId726"/>
    <hyperlink ref="AA197" r:id="rId727"/>
    <hyperlink ref="B198" r:id="rId728"/>
    <hyperlink ref="Y198" r:id="rId729"/>
    <hyperlink ref="Z198" r:id="rId730"/>
    <hyperlink ref="AA198" r:id="rId731"/>
    <hyperlink ref="B199" r:id="rId732"/>
    <hyperlink ref="Y199" r:id="rId733"/>
    <hyperlink ref="Z199" r:id="rId734"/>
    <hyperlink ref="AA199" r:id="rId735"/>
    <hyperlink ref="B200" r:id="rId736"/>
    <hyperlink ref="Y200" r:id="rId737"/>
    <hyperlink ref="Z200" r:id="rId738"/>
    <hyperlink ref="AA200" r:id="rId739"/>
    <hyperlink ref="B201" r:id="rId740"/>
    <hyperlink ref="Y201" r:id="rId741"/>
    <hyperlink ref="AA201" r:id="rId742"/>
    <hyperlink ref="B202" r:id="rId743"/>
    <hyperlink ref="Y202" r:id="rId744"/>
    <hyperlink ref="Z202" r:id="rId745" location="!/Dopolnitev-Statuta-Univerze-v-Ljubljani" display="http://www.uradni-list.si/1/content?id=114726 - !/Dopolnitev-Statuta-Univerze-v-Ljubljani"/>
    <hyperlink ref="AA202" r:id="rId746"/>
    <hyperlink ref="B203" r:id="rId747"/>
    <hyperlink ref="Y203" r:id="rId748"/>
    <hyperlink ref="Z203" r:id="rId749"/>
    <hyperlink ref="AA203" r:id="rId750"/>
    <hyperlink ref="B204" r:id="rId751"/>
    <hyperlink ref="Y204" r:id="rId752"/>
    <hyperlink ref="Z204" r:id="rId753"/>
    <hyperlink ref="AA204" r:id="rId754"/>
    <hyperlink ref="B205" r:id="rId755"/>
    <hyperlink ref="Y205" r:id="rId756" display="http://www.up.ac.za/"/>
    <hyperlink ref="Z205" r:id="rId757"/>
    <hyperlink ref="AA205" r:id="rId758"/>
    <hyperlink ref="B206" r:id="rId759"/>
    <hyperlink ref="Y206" r:id="rId760"/>
    <hyperlink ref="AA206" r:id="rId761"/>
    <hyperlink ref="B207" r:id="rId762"/>
    <hyperlink ref="Y207" r:id="rId763"/>
    <hyperlink ref="AA207" r:id="rId764"/>
    <hyperlink ref="B208" r:id="rId765"/>
    <hyperlink ref="Y208" r:id="rId766"/>
    <hyperlink ref="Z208" r:id="rId767"/>
    <hyperlink ref="AA208" r:id="rId768"/>
    <hyperlink ref="B209" r:id="rId769"/>
    <hyperlink ref="O209" r:id="rId770"/>
    <hyperlink ref="Y209" r:id="rId771"/>
    <hyperlink ref="Z209" r:id="rId772"/>
    <hyperlink ref="B210" r:id="rId773"/>
    <hyperlink ref="Y210" r:id="rId774"/>
    <hyperlink ref="Z210" r:id="rId775"/>
    <hyperlink ref="AA210" r:id="rId776"/>
    <hyperlink ref="B211" r:id="rId777"/>
    <hyperlink ref="Y211" r:id="rId778"/>
    <hyperlink ref="Z211" r:id="rId779"/>
    <hyperlink ref="AA211" r:id="rId780"/>
    <hyperlink ref="B212" r:id="rId781"/>
    <hyperlink ref="Y212" r:id="rId782"/>
    <hyperlink ref="Z212" r:id="rId783"/>
    <hyperlink ref="AA212" r:id="rId784"/>
    <hyperlink ref="B213" r:id="rId785"/>
    <hyperlink ref="Y213" r:id="rId786"/>
    <hyperlink ref="Z213" r:id="rId787"/>
    <hyperlink ref="AA213" r:id="rId788"/>
    <hyperlink ref="B214" r:id="rId789"/>
    <hyperlink ref="Y214" r:id="rId790"/>
    <hyperlink ref="Z214" r:id="rId791"/>
    <hyperlink ref="AA214" r:id="rId792"/>
    <hyperlink ref="B215" r:id="rId793"/>
    <hyperlink ref="Y215" r:id="rId794"/>
    <hyperlink ref="Z215" r:id="rId795"/>
    <hyperlink ref="AA215" r:id="rId796"/>
    <hyperlink ref="B216" r:id="rId797"/>
    <hyperlink ref="Y216" r:id="rId798"/>
    <hyperlink ref="Z216" r:id="rId799"/>
    <hyperlink ref="AA216" r:id="rId800"/>
    <hyperlink ref="B217" r:id="rId801"/>
    <hyperlink ref="Y217" r:id="rId802"/>
    <hyperlink ref="Z217" r:id="rId803" display="http://bous.us.es/2014/BOUS-04-2014/numero 4/10"/>
    <hyperlink ref="AA217" r:id="rId804"/>
    <hyperlink ref="B218" r:id="rId805"/>
    <hyperlink ref="Y218" r:id="rId806"/>
    <hyperlink ref="Z218" r:id="rId807"/>
    <hyperlink ref="AA218" r:id="rId808"/>
    <hyperlink ref="B219" r:id="rId809"/>
    <hyperlink ref="Y219" r:id="rId810"/>
    <hyperlink ref="Z219" r:id="rId811"/>
    <hyperlink ref="AA219" r:id="rId812"/>
    <hyperlink ref="B220" r:id="rId813"/>
    <hyperlink ref="Y220" r:id="rId814"/>
    <hyperlink ref="Z220" r:id="rId815"/>
    <hyperlink ref="AA220" r:id="rId816"/>
    <hyperlink ref="B221" r:id="rId817"/>
    <hyperlink ref="Y221" r:id="rId818"/>
    <hyperlink ref="Z221" r:id="rId819"/>
    <hyperlink ref="AA221" r:id="rId820"/>
    <hyperlink ref="B222" r:id="rId821"/>
    <hyperlink ref="Y222" r:id="rId822"/>
    <hyperlink ref="Z222" r:id="rId823"/>
    <hyperlink ref="AA222" r:id="rId824"/>
    <hyperlink ref="B223" r:id="rId825"/>
    <hyperlink ref="Y223" r:id="rId826"/>
    <hyperlink ref="Z223" r:id="rId827"/>
    <hyperlink ref="AA223" r:id="rId828"/>
    <hyperlink ref="B224" r:id="rId829"/>
    <hyperlink ref="Y224" r:id="rId830"/>
    <hyperlink ref="Z224" r:id="rId831"/>
    <hyperlink ref="AA224" r:id="rId832"/>
    <hyperlink ref="B225" r:id="rId833"/>
    <hyperlink ref="Y225" r:id="rId834"/>
    <hyperlink ref="Z225" r:id="rId835"/>
    <hyperlink ref="AA225" r:id="rId836"/>
    <hyperlink ref="B226" r:id="rId837"/>
    <hyperlink ref="Y226" r:id="rId838"/>
    <hyperlink ref="Z226" r:id="rId839"/>
    <hyperlink ref="AA226" r:id="rId840"/>
    <hyperlink ref="B227" r:id="rId841"/>
    <hyperlink ref="Y227" r:id="rId842"/>
    <hyperlink ref="Z227" r:id="rId843" display="http://www.formas.se/Global/Handbook english/140306_Formas_Handbook_2014.pdf"/>
    <hyperlink ref="AA227" r:id="rId844"/>
    <hyperlink ref="B228" r:id="rId845"/>
    <hyperlink ref="Y228" r:id="rId846"/>
    <hyperlink ref="Z228" r:id="rId847"/>
    <hyperlink ref="B229" r:id="rId848"/>
    <hyperlink ref="Y229" r:id="rId849"/>
    <hyperlink ref="Z229" r:id="rId850"/>
    <hyperlink ref="AA229" r:id="rId851"/>
    <hyperlink ref="B230" r:id="rId852"/>
    <hyperlink ref="Y230" r:id="rId853"/>
    <hyperlink ref="Z230" r:id="rId854"/>
    <hyperlink ref="AA230" r:id="rId855"/>
    <hyperlink ref="B231" r:id="rId856"/>
    <hyperlink ref="Y231" r:id="rId857"/>
    <hyperlink ref="Z231" r:id="rId858"/>
    <hyperlink ref="AA231" r:id="rId859"/>
    <hyperlink ref="B232" r:id="rId860"/>
    <hyperlink ref="Y232" r:id="rId861"/>
    <hyperlink ref="Z232" r:id="rId862"/>
    <hyperlink ref="AA232" r:id="rId863"/>
    <hyperlink ref="B233" r:id="rId864"/>
    <hyperlink ref="Y233" r:id="rId865"/>
    <hyperlink ref="Z233" r:id="rId866"/>
    <hyperlink ref="AA233" r:id="rId867"/>
    <hyperlink ref="B234" r:id="rId868"/>
    <hyperlink ref="Y234" r:id="rId869"/>
    <hyperlink ref="AA234" r:id="rId870"/>
    <hyperlink ref="B235" r:id="rId871"/>
    <hyperlink ref="Y235" r:id="rId872"/>
    <hyperlink ref="Z235" r:id="rId873"/>
    <hyperlink ref="AA235" r:id="rId874"/>
    <hyperlink ref="B236" r:id="rId875"/>
    <hyperlink ref="Y236" r:id="rId876"/>
    <hyperlink ref="Z236" r:id="rId877"/>
    <hyperlink ref="AA236" r:id="rId878"/>
    <hyperlink ref="B237" r:id="rId879"/>
    <hyperlink ref="Y237" r:id="rId880"/>
    <hyperlink ref="Z237" r:id="rId881"/>
    <hyperlink ref="AA237" r:id="rId882"/>
    <hyperlink ref="B238" r:id="rId883"/>
    <hyperlink ref="Y238" r:id="rId884"/>
    <hyperlink ref="Z238" r:id="rId885"/>
    <hyperlink ref="AA238" r:id="rId886"/>
    <hyperlink ref="B239" r:id="rId887"/>
    <hyperlink ref="Y239" r:id="rId888"/>
    <hyperlink ref="B240" r:id="rId889"/>
    <hyperlink ref="Y240" r:id="rId890"/>
    <hyperlink ref="B241" r:id="rId891"/>
    <hyperlink ref="Y241" r:id="rId892"/>
    <hyperlink ref="B242" r:id="rId893"/>
    <hyperlink ref="Y242" r:id="rId894"/>
    <hyperlink ref="Z242" r:id="rId895"/>
    <hyperlink ref="AA242" r:id="rId896"/>
    <hyperlink ref="B243" r:id="rId897"/>
    <hyperlink ref="Y243" r:id="rId898"/>
    <hyperlink ref="Z243" r:id="rId899"/>
    <hyperlink ref="AA243" r:id="rId900"/>
    <hyperlink ref="B244" r:id="rId901"/>
    <hyperlink ref="Y244" r:id="rId902"/>
    <hyperlink ref="AA244" r:id="rId903"/>
    <hyperlink ref="B245" r:id="rId904"/>
    <hyperlink ref="Y245" r:id="rId905"/>
    <hyperlink ref="B246" r:id="rId906"/>
    <hyperlink ref="Y246" r:id="rId907"/>
    <hyperlink ref="Z246" r:id="rId908"/>
    <hyperlink ref="AA246" r:id="rId909"/>
    <hyperlink ref="B247" r:id="rId910"/>
    <hyperlink ref="Y247" r:id="rId911"/>
    <hyperlink ref="Z247" r:id="rId912"/>
    <hyperlink ref="AA247" r:id="rId913"/>
    <hyperlink ref="B248" r:id="rId914"/>
    <hyperlink ref="Y248" r:id="rId915"/>
    <hyperlink ref="Z248" r:id="rId916"/>
    <hyperlink ref="AA248" r:id="rId917"/>
    <hyperlink ref="B249" r:id="rId918"/>
    <hyperlink ref="Y249" r:id="rId919"/>
    <hyperlink ref="Z249" r:id="rId920"/>
    <hyperlink ref="AA249" r:id="rId921"/>
    <hyperlink ref="B250" r:id="rId922"/>
    <hyperlink ref="P250" r:id="rId923"/>
    <hyperlink ref="Y250" r:id="rId924"/>
    <hyperlink ref="Z250" r:id="rId925"/>
    <hyperlink ref="AA250" r:id="rId926"/>
    <hyperlink ref="B251" r:id="rId927"/>
    <hyperlink ref="Y251" r:id="rId928"/>
    <hyperlink ref="Z251" r:id="rId929"/>
    <hyperlink ref="AA251" r:id="rId930"/>
    <hyperlink ref="B252" r:id="rId931"/>
    <hyperlink ref="Y252" r:id="rId932"/>
    <hyperlink ref="Z252" r:id="rId933"/>
    <hyperlink ref="AA252" r:id="rId934"/>
    <hyperlink ref="B253" r:id="rId935"/>
    <hyperlink ref="Y253" r:id="rId936"/>
    <hyperlink ref="Z253" r:id="rId937"/>
    <hyperlink ref="AA253" r:id="rId938"/>
    <hyperlink ref="B254" r:id="rId939"/>
    <hyperlink ref="Y254" r:id="rId940"/>
    <hyperlink ref="Z254" r:id="rId941"/>
    <hyperlink ref="AA254" r:id="rId942"/>
    <hyperlink ref="B255" r:id="rId943"/>
    <hyperlink ref="Y255" r:id="rId944"/>
    <hyperlink ref="Z255" r:id="rId945"/>
    <hyperlink ref="AA255" r:id="rId946"/>
    <hyperlink ref="B256" r:id="rId947"/>
    <hyperlink ref="Y256" r:id="rId948"/>
    <hyperlink ref="Z256" r:id="rId949"/>
    <hyperlink ref="AA256" r:id="rId950"/>
    <hyperlink ref="B257" r:id="rId951"/>
    <hyperlink ref="Y257" r:id="rId952"/>
    <hyperlink ref="Z257" r:id="rId953"/>
    <hyperlink ref="B258" r:id="rId954"/>
    <hyperlink ref="Y258" r:id="rId955"/>
    <hyperlink ref="Z258" r:id="rId956"/>
    <hyperlink ref="AA258" r:id="rId957"/>
    <hyperlink ref="B259" r:id="rId958"/>
    <hyperlink ref="Y259" r:id="rId959"/>
    <hyperlink ref="Z259" r:id="rId960"/>
    <hyperlink ref="AA259" r:id="rId961"/>
    <hyperlink ref="B260" r:id="rId962"/>
    <hyperlink ref="Y260" r:id="rId963"/>
    <hyperlink ref="Z260" r:id="rId964"/>
    <hyperlink ref="AA260" r:id="rId965"/>
    <hyperlink ref="B261" r:id="rId966"/>
    <hyperlink ref="Y261" r:id="rId967"/>
    <hyperlink ref="AA261" r:id="rId968"/>
    <hyperlink ref="B262" r:id="rId969"/>
    <hyperlink ref="Y262" r:id="rId970"/>
    <hyperlink ref="Z262" r:id="rId971"/>
    <hyperlink ref="AA262" r:id="rId972"/>
    <hyperlink ref="B263" r:id="rId973"/>
    <hyperlink ref="Y263" r:id="rId974"/>
    <hyperlink ref="Z263" r:id="rId975"/>
    <hyperlink ref="AA263" r:id="rId976"/>
    <hyperlink ref="B264" r:id="rId977"/>
    <hyperlink ref="Y264" r:id="rId978"/>
    <hyperlink ref="Z264" r:id="rId979"/>
    <hyperlink ref="AA264" r:id="rId980"/>
    <hyperlink ref="B265" r:id="rId981"/>
    <hyperlink ref="Y265" r:id="rId982" location="&amp;panel1-2" display="http://www.bhf.org.uk/ - &amp;panel1-2"/>
    <hyperlink ref="Z265" r:id="rId983"/>
    <hyperlink ref="AA265" r:id="rId984"/>
    <hyperlink ref="B266" r:id="rId985"/>
    <hyperlink ref="Y266" r:id="rId986"/>
    <hyperlink ref="Z266" r:id="rId987"/>
    <hyperlink ref="AA266" r:id="rId988"/>
    <hyperlink ref="B267" r:id="rId989"/>
    <hyperlink ref="Y267" r:id="rId990"/>
    <hyperlink ref="Z267" r:id="rId991"/>
    <hyperlink ref="AA267" r:id="rId992"/>
    <hyperlink ref="B268" r:id="rId993"/>
    <hyperlink ref="Y268" r:id="rId994"/>
    <hyperlink ref="Z268" r:id="rId995"/>
    <hyperlink ref="AA268" r:id="rId996"/>
    <hyperlink ref="B269" r:id="rId997"/>
    <hyperlink ref="Y269" r:id="rId998"/>
    <hyperlink ref="Z269" r:id="rId999"/>
    <hyperlink ref="AA269" r:id="rId1000"/>
    <hyperlink ref="B270" r:id="rId1001"/>
    <hyperlink ref="Y270" r:id="rId1002"/>
    <hyperlink ref="Z270" r:id="rId1003"/>
    <hyperlink ref="AA270" r:id="rId1004"/>
    <hyperlink ref="B271" r:id="rId1005"/>
    <hyperlink ref="Y271" r:id="rId1006"/>
    <hyperlink ref="Z271" r:id="rId1007"/>
    <hyperlink ref="AA271" r:id="rId1008"/>
    <hyperlink ref="B272" r:id="rId1009"/>
    <hyperlink ref="Y272" r:id="rId1010"/>
    <hyperlink ref="AA272" r:id="rId1011"/>
    <hyperlink ref="B273" r:id="rId1012"/>
    <hyperlink ref="Y273" r:id="rId1013"/>
    <hyperlink ref="Z273" r:id="rId1014"/>
    <hyperlink ref="AA273" r:id="rId1015"/>
    <hyperlink ref="B274" r:id="rId1016"/>
    <hyperlink ref="Y274" r:id="rId1017"/>
    <hyperlink ref="AA274" r:id="rId1018"/>
    <hyperlink ref="B275" r:id="rId1019"/>
    <hyperlink ref="Y275" r:id="rId1020"/>
    <hyperlink ref="Z275" r:id="rId1021"/>
    <hyperlink ref="B276" r:id="rId1022"/>
    <hyperlink ref="Y276" r:id="rId1023"/>
    <hyperlink ref="Z276" r:id="rId1024"/>
    <hyperlink ref="AA276" r:id="rId1025"/>
    <hyperlink ref="B277" r:id="rId1026"/>
    <hyperlink ref="Y277" r:id="rId1027"/>
    <hyperlink ref="AA277" r:id="rId1028"/>
    <hyperlink ref="B278" r:id="rId1029"/>
    <hyperlink ref="Y278" r:id="rId1030"/>
    <hyperlink ref="B279" r:id="rId1031"/>
    <hyperlink ref="Y279" r:id="rId1032"/>
    <hyperlink ref="Z279" r:id="rId1033"/>
    <hyperlink ref="B280" r:id="rId1034"/>
    <hyperlink ref="Y280" r:id="rId1035"/>
    <hyperlink ref="Z280" r:id="rId1036"/>
    <hyperlink ref="B281" r:id="rId1037"/>
    <hyperlink ref="Y281" r:id="rId1038"/>
    <hyperlink ref="Z281" r:id="rId1039"/>
    <hyperlink ref="AA281" r:id="rId1040"/>
    <hyperlink ref="B282" r:id="rId1041"/>
    <hyperlink ref="Y282" r:id="rId1042"/>
    <hyperlink ref="Z282" r:id="rId1043"/>
    <hyperlink ref="AA282" r:id="rId1044"/>
    <hyperlink ref="B283" r:id="rId1045"/>
    <hyperlink ref="Y283" r:id="rId1046"/>
    <hyperlink ref="Z283" r:id="rId1047"/>
    <hyperlink ref="AA283" r:id="rId1048"/>
    <hyperlink ref="B284" r:id="rId1049"/>
    <hyperlink ref="Y284" r:id="rId1050"/>
    <hyperlink ref="Z284" r:id="rId1051"/>
    <hyperlink ref="AA284" r:id="rId1052"/>
    <hyperlink ref="B285" r:id="rId1053"/>
    <hyperlink ref="Y285" r:id="rId1054"/>
    <hyperlink ref="Z285" r:id="rId1055"/>
    <hyperlink ref="AA285" r:id="rId1056"/>
    <hyperlink ref="B286" r:id="rId1057"/>
    <hyperlink ref="Y286" r:id="rId1058"/>
    <hyperlink ref="Z286" r:id="rId1059"/>
    <hyperlink ref="AA286" r:id="rId1060"/>
    <hyperlink ref="B287" r:id="rId1061"/>
    <hyperlink ref="Y287" r:id="rId1062"/>
    <hyperlink ref="Z287" r:id="rId1063"/>
    <hyperlink ref="B288" r:id="rId1064"/>
    <hyperlink ref="Y288" r:id="rId1065"/>
    <hyperlink ref="Z288" r:id="rId1066"/>
    <hyperlink ref="AA288" r:id="rId1067"/>
    <hyperlink ref="B289" r:id="rId1068"/>
    <hyperlink ref="Y289" r:id="rId1069"/>
    <hyperlink ref="Z289" r:id="rId1070"/>
    <hyperlink ref="AA289" r:id="rId1071"/>
    <hyperlink ref="B290" r:id="rId1072"/>
    <hyperlink ref="Y290" r:id="rId1073"/>
    <hyperlink ref="Z290" r:id="rId1074"/>
    <hyperlink ref="AA290" r:id="rId1075"/>
    <hyperlink ref="B291" r:id="rId1076"/>
    <hyperlink ref="Y291" r:id="rId1077"/>
    <hyperlink ref="Z291" r:id="rId1078" display="http://www.mssociety.org.uk/sites/default/files/MS Society Policy for Publishing Research.pdf"/>
    <hyperlink ref="AA291" r:id="rId1079"/>
    <hyperlink ref="B292" r:id="rId1080"/>
    <hyperlink ref="Y292" r:id="rId1081"/>
    <hyperlink ref="Z292" r:id="rId1082"/>
    <hyperlink ref="AA292" r:id="rId1083"/>
    <hyperlink ref="B293" r:id="rId1084"/>
    <hyperlink ref="Y293" r:id="rId1085"/>
    <hyperlink ref="Z293" r:id="rId1086"/>
    <hyperlink ref="AA293" r:id="rId1087"/>
    <hyperlink ref="B294" r:id="rId1088"/>
    <hyperlink ref="Y294" r:id="rId1089"/>
    <hyperlink ref="Z294" r:id="rId1090"/>
    <hyperlink ref="AA294" r:id="rId1091"/>
    <hyperlink ref="B295" r:id="rId1092"/>
    <hyperlink ref="Y295" r:id="rId1093"/>
    <hyperlink ref="Z295" r:id="rId1094"/>
    <hyperlink ref="AA295" r:id="rId1095"/>
    <hyperlink ref="B296" r:id="rId1096"/>
    <hyperlink ref="Y296" r:id="rId1097"/>
    <hyperlink ref="Z296" r:id="rId1098"/>
    <hyperlink ref="AA296" r:id="rId1099"/>
    <hyperlink ref="B297" r:id="rId1100"/>
    <hyperlink ref="Y297" r:id="rId1101"/>
    <hyperlink ref="Z297" r:id="rId1102"/>
    <hyperlink ref="AA297" r:id="rId1103"/>
    <hyperlink ref="B298" r:id="rId1104"/>
    <hyperlink ref="Y298" r:id="rId1105"/>
    <hyperlink ref="Z298" r:id="rId1106"/>
    <hyperlink ref="B299" r:id="rId1107"/>
    <hyperlink ref="Y299" r:id="rId1108"/>
    <hyperlink ref="AA299" r:id="rId1109"/>
    <hyperlink ref="B300" r:id="rId1110"/>
    <hyperlink ref="Y300" r:id="rId1111"/>
    <hyperlink ref="Z300" r:id="rId1112"/>
    <hyperlink ref="AA300" r:id="rId1113"/>
    <hyperlink ref="B301" r:id="rId1114"/>
    <hyperlink ref="Y301" r:id="rId1115"/>
    <hyperlink ref="Z301" r:id="rId1116"/>
    <hyperlink ref="B302" r:id="rId1117"/>
    <hyperlink ref="Y302" r:id="rId1118"/>
    <hyperlink ref="Z302" r:id="rId1119" display="http://roarmap.eprints.org/910/1/Research Publications Policy v04.pdf"/>
    <hyperlink ref="AA302" r:id="rId1120"/>
    <hyperlink ref="B303" r:id="rId1121"/>
    <hyperlink ref="Y303" r:id="rId1122"/>
    <hyperlink ref="Z303" r:id="rId1123"/>
    <hyperlink ref="AA303" r:id="rId1124"/>
    <hyperlink ref="B304" r:id="rId1125"/>
    <hyperlink ref="Y304" r:id="rId1126"/>
    <hyperlink ref="Z304" r:id="rId1127"/>
    <hyperlink ref="AA304" r:id="rId1128"/>
    <hyperlink ref="B305" r:id="rId1129"/>
    <hyperlink ref="Y305" r:id="rId1130"/>
    <hyperlink ref="Z305" r:id="rId1131"/>
    <hyperlink ref="AA305" r:id="rId1132"/>
    <hyperlink ref="B306" r:id="rId1133"/>
    <hyperlink ref="Y306" r:id="rId1134"/>
    <hyperlink ref="Z306" r:id="rId1135"/>
    <hyperlink ref="AA306" r:id="rId1136"/>
    <hyperlink ref="B307" r:id="rId1137"/>
    <hyperlink ref="Y307" r:id="rId1138"/>
    <hyperlink ref="Z307" r:id="rId1139"/>
    <hyperlink ref="AA307" r:id="rId1140"/>
    <hyperlink ref="B308" r:id="rId1141"/>
    <hyperlink ref="Y308" r:id="rId1142"/>
    <hyperlink ref="Z308" r:id="rId1143"/>
    <hyperlink ref="AA308" r:id="rId1144"/>
    <hyperlink ref="B309" r:id="rId1145"/>
    <hyperlink ref="Y309" r:id="rId1146"/>
    <hyperlink ref="Z309" r:id="rId1147"/>
    <hyperlink ref="AA309" r:id="rId1148"/>
    <hyperlink ref="B310" r:id="rId1149"/>
    <hyperlink ref="Y310" r:id="rId1150"/>
    <hyperlink ref="Z310" r:id="rId1151"/>
    <hyperlink ref="AA310" r:id="rId1152"/>
    <hyperlink ref="B311" r:id="rId1153"/>
    <hyperlink ref="Y311" r:id="rId1154"/>
    <hyperlink ref="Z311" r:id="rId1155"/>
    <hyperlink ref="AA311" r:id="rId1156"/>
    <hyperlink ref="B312" r:id="rId1157"/>
    <hyperlink ref="Y312" r:id="rId1158"/>
    <hyperlink ref="Z312" r:id="rId1159"/>
    <hyperlink ref="AA312" r:id="rId1160"/>
    <hyperlink ref="B313" r:id="rId1161"/>
    <hyperlink ref="Y313" r:id="rId1162"/>
    <hyperlink ref="Z313" r:id="rId1163"/>
    <hyperlink ref="AA313" r:id="rId1164"/>
    <hyperlink ref="B314" r:id="rId1165"/>
    <hyperlink ref="Y314" r:id="rId1166"/>
    <hyperlink ref="Z314" r:id="rId1167" location="page=1&amp;zoom=auto,-108,842" display="https://ore.exeter.ac.uk/repository/bitstream/handle/10036/4280/OA_RDM_Policy_Final.pdf?sequence=4 - page=1&amp;zoom=auto,-108,842"/>
    <hyperlink ref="AA314" r:id="rId1168"/>
    <hyperlink ref="B315" r:id="rId1169"/>
    <hyperlink ref="Y315" r:id="rId1170"/>
    <hyperlink ref="Z315" r:id="rId1171"/>
    <hyperlink ref="AA315" r:id="rId1172"/>
    <hyperlink ref="B316" r:id="rId1173"/>
    <hyperlink ref="Y316" r:id="rId1174"/>
    <hyperlink ref="Z316" r:id="rId1175"/>
    <hyperlink ref="AA316" r:id="rId1176"/>
    <hyperlink ref="B317" r:id="rId1177"/>
    <hyperlink ref="Y317" r:id="rId1178"/>
    <hyperlink ref="Z317" r:id="rId1179"/>
    <hyperlink ref="AA317" r:id="rId1180"/>
    <hyperlink ref="B318" r:id="rId1181"/>
    <hyperlink ref="Y318" r:id="rId1182"/>
    <hyperlink ref="AA318" r:id="rId1183"/>
    <hyperlink ref="B319" r:id="rId1184"/>
    <hyperlink ref="Y319" r:id="rId1185"/>
    <hyperlink ref="Z319" r:id="rId1186"/>
    <hyperlink ref="AA319" r:id="rId1187"/>
    <hyperlink ref="B320" r:id="rId1188"/>
    <hyperlink ref="Y320" r:id="rId1189"/>
    <hyperlink ref="Z320" r:id="rId1190"/>
    <hyperlink ref="AA320" r:id="rId1191"/>
    <hyperlink ref="B321" r:id="rId1192"/>
    <hyperlink ref="Y321" r:id="rId1193"/>
    <hyperlink ref="Z321" r:id="rId1194"/>
    <hyperlink ref="AA321" r:id="rId1195"/>
    <hyperlink ref="B322" r:id="rId1196"/>
    <hyperlink ref="Y322" r:id="rId1197"/>
    <hyperlink ref="Z322" r:id="rId1198"/>
    <hyperlink ref="AA322" r:id="rId1199"/>
    <hyperlink ref="B323" r:id="rId1200"/>
    <hyperlink ref="Y323" r:id="rId1201"/>
    <hyperlink ref="Z323" r:id="rId1202"/>
    <hyperlink ref="AA323" r:id="rId1203"/>
    <hyperlink ref="B324" r:id="rId1204"/>
    <hyperlink ref="Y324" r:id="rId1205"/>
    <hyperlink ref="Z324" r:id="rId1206"/>
    <hyperlink ref="AA324" r:id="rId1207"/>
    <hyperlink ref="B325" r:id="rId1208"/>
    <hyperlink ref="Y325" r:id="rId1209"/>
    <hyperlink ref="Z325" r:id="rId1210"/>
    <hyperlink ref="AA325" r:id="rId1211"/>
    <hyperlink ref="B326" r:id="rId1212"/>
    <hyperlink ref="Y326" r:id="rId1213"/>
    <hyperlink ref="AA326" r:id="rId1214"/>
    <hyperlink ref="B327" r:id="rId1215"/>
    <hyperlink ref="Y327" r:id="rId1216"/>
    <hyperlink ref="Z327" r:id="rId1217"/>
    <hyperlink ref="AA327" r:id="rId1218"/>
    <hyperlink ref="B328" r:id="rId1219"/>
    <hyperlink ref="Y328" r:id="rId1220"/>
    <hyperlink ref="Z328" r:id="rId1221" location="OA" display="http://www.stir.ac.uk/is/researchers/writing/publishingimpact/openaccesspublishing/ - OA"/>
    <hyperlink ref="AA328" r:id="rId1222"/>
    <hyperlink ref="B329" r:id="rId1223"/>
    <hyperlink ref="Y329" r:id="rId1224"/>
    <hyperlink ref="Z329" r:id="rId1225"/>
    <hyperlink ref="AA329" r:id="rId1226"/>
    <hyperlink ref="B330" r:id="rId1227"/>
    <hyperlink ref="Y330" r:id="rId1228"/>
    <hyperlink ref="Z330" r:id="rId1229" location="3" display="http://epubs.surrey.ac.uk/policies.html - 3"/>
    <hyperlink ref="AA330" r:id="rId1230"/>
    <hyperlink ref="B331" r:id="rId1231"/>
    <hyperlink ref="Y331" r:id="rId1232"/>
    <hyperlink ref="Z331" r:id="rId1233"/>
    <hyperlink ref="AA331" r:id="rId1234"/>
    <hyperlink ref="B332" r:id="rId1235"/>
    <hyperlink ref="Y332" r:id="rId1236"/>
    <hyperlink ref="Z332" r:id="rId1237"/>
    <hyperlink ref="AA332" r:id="rId1238"/>
    <hyperlink ref="B333" r:id="rId1239"/>
    <hyperlink ref="Y333" r:id="rId1240"/>
    <hyperlink ref="Z333" r:id="rId1241"/>
    <hyperlink ref="AA333" r:id="rId1242"/>
    <hyperlink ref="B334" r:id="rId1243"/>
    <hyperlink ref="Y334" r:id="rId1244"/>
    <hyperlink ref="Z334" r:id="rId1245"/>
    <hyperlink ref="AA334" r:id="rId1246"/>
    <hyperlink ref="B335" r:id="rId1247"/>
    <hyperlink ref="Y335" r:id="rId1248"/>
    <hyperlink ref="Z335" r:id="rId1249"/>
    <hyperlink ref="AA335" r:id="rId1250"/>
    <hyperlink ref="B336" r:id="rId1251"/>
    <hyperlink ref="Y336" r:id="rId1252"/>
    <hyperlink ref="Z336" r:id="rId1253"/>
    <hyperlink ref="B337" r:id="rId1254"/>
    <hyperlink ref="Y337" r:id="rId1255"/>
    <hyperlink ref="Z337" r:id="rId1256"/>
    <hyperlink ref="AA337" r:id="rId1257"/>
    <hyperlink ref="B338" r:id="rId1258"/>
    <hyperlink ref="Y338" r:id="rId1259"/>
    <hyperlink ref="Z338" r:id="rId1260"/>
    <hyperlink ref="AA338" r:id="rId1261"/>
    <hyperlink ref="B339" r:id="rId1262"/>
    <hyperlink ref="Y339" r:id="rId1263"/>
    <hyperlink ref="Z339" r:id="rId1264"/>
    <hyperlink ref="B340" r:id="rId1265"/>
    <hyperlink ref="Y340" r:id="rId1266"/>
    <hyperlink ref="Z340" r:id="rId1267"/>
    <hyperlink ref="AA340" r:id="rId1268"/>
    <hyperlink ref="B341" r:id="rId1269"/>
    <hyperlink ref="Y341" r:id="rId1270"/>
    <hyperlink ref="Z341" r:id="rId1271"/>
    <hyperlink ref="B342" r:id="rId1272"/>
    <hyperlink ref="Y342" r:id="rId1273"/>
    <hyperlink ref="Z342" r:id="rId1274"/>
    <hyperlink ref="AA342" r:id="rId1275"/>
    <hyperlink ref="B343" r:id="rId1276"/>
    <hyperlink ref="Y343" r:id="rId1277"/>
    <hyperlink ref="Z343" r:id="rId1278"/>
    <hyperlink ref="AA343" r:id="rId1279"/>
    <hyperlink ref="B344" r:id="rId1280"/>
    <hyperlink ref="Y344" r:id="rId1281"/>
    <hyperlink ref="Z344" r:id="rId1282"/>
    <hyperlink ref="AA344" r:id="rId1283"/>
    <hyperlink ref="B345" r:id="rId1284"/>
    <hyperlink ref="Y345" r:id="rId1285"/>
    <hyperlink ref="Z345" r:id="rId1286"/>
    <hyperlink ref="AA345" r:id="rId1287"/>
    <hyperlink ref="B346" r:id="rId1288"/>
    <hyperlink ref="Y346" r:id="rId1289"/>
    <hyperlink ref="Z346" r:id="rId1290"/>
    <hyperlink ref="AA346" r:id="rId1291"/>
    <hyperlink ref="B347" r:id="rId1292"/>
    <hyperlink ref="Y347" r:id="rId1293"/>
    <hyperlink ref="Z347" r:id="rId1294"/>
    <hyperlink ref="AA347" r:id="rId1295"/>
    <hyperlink ref="B348" r:id="rId1296"/>
    <hyperlink ref="Y348" r:id="rId1297"/>
    <hyperlink ref="Z348" r:id="rId1298"/>
    <hyperlink ref="AA348" r:id="rId1299"/>
    <hyperlink ref="B349" r:id="rId1300"/>
    <hyperlink ref="Y349" r:id="rId1301"/>
    <hyperlink ref="Z349" r:id="rId1302"/>
    <hyperlink ref="AA349" r:id="rId1303"/>
    <hyperlink ref="B350" r:id="rId1304"/>
    <hyperlink ref="Y350" r:id="rId1305"/>
    <hyperlink ref="Z350" r:id="rId1306"/>
    <hyperlink ref="AA350" r:id="rId1307"/>
    <hyperlink ref="B351" r:id="rId1308"/>
    <hyperlink ref="Y351" r:id="rId1309"/>
    <hyperlink ref="Z351" r:id="rId1310"/>
    <hyperlink ref="AA351" r:id="rId1311"/>
    <hyperlink ref="B352" r:id="rId1312"/>
    <hyperlink ref="Y352" r:id="rId1313"/>
    <hyperlink ref="Z352" r:id="rId1314"/>
    <hyperlink ref="AA352" r:id="rId1315"/>
    <hyperlink ref="B353" r:id="rId1316"/>
    <hyperlink ref="Y353" r:id="rId1317"/>
    <hyperlink ref="Z353" r:id="rId1318"/>
    <hyperlink ref="AA353" r:id="rId1319"/>
    <hyperlink ref="B354" r:id="rId1320"/>
    <hyperlink ref="Y354" r:id="rId1321"/>
    <hyperlink ref="Z354" r:id="rId1322"/>
    <hyperlink ref="AA354" r:id="rId1323"/>
    <hyperlink ref="B355" r:id="rId1324"/>
    <hyperlink ref="Y355" r:id="rId1325"/>
    <hyperlink ref="Z355" r:id="rId1326"/>
    <hyperlink ref="AA355" r:id="rId1327"/>
    <hyperlink ref="B356" r:id="rId1328"/>
    <hyperlink ref="Y356" r:id="rId1329"/>
    <hyperlink ref="Z356" r:id="rId1330"/>
    <hyperlink ref="AA356" r:id="rId1331"/>
    <hyperlink ref="B357" r:id="rId1332"/>
    <hyperlink ref="Y357" r:id="rId1333"/>
    <hyperlink ref="Z357" r:id="rId1334"/>
    <hyperlink ref="AA357" r:id="rId1335"/>
    <hyperlink ref="B358" r:id="rId1336"/>
    <hyperlink ref="Y358" r:id="rId1337"/>
    <hyperlink ref="Z358" r:id="rId1338"/>
    <hyperlink ref="AA358" r:id="rId1339"/>
    <hyperlink ref="B359" r:id="rId1340"/>
    <hyperlink ref="Y359" r:id="rId1341"/>
    <hyperlink ref="Z359" r:id="rId1342"/>
    <hyperlink ref="AA359" r:id="rId1343"/>
    <hyperlink ref="B360" r:id="rId1344"/>
    <hyperlink ref="Y360" r:id="rId1345"/>
    <hyperlink ref="Z360" r:id="rId1346"/>
    <hyperlink ref="AA360" r:id="rId1347"/>
    <hyperlink ref="B361" r:id="rId1348"/>
    <hyperlink ref="Y361" r:id="rId1349"/>
    <hyperlink ref="Z361" r:id="rId1350"/>
    <hyperlink ref="AA361" r:id="rId1351"/>
    <hyperlink ref="B362" r:id="rId1352"/>
    <hyperlink ref="Y362" r:id="rId1353"/>
    <hyperlink ref="AA362" r:id="rId1354"/>
    <hyperlink ref="B363" r:id="rId1355"/>
    <hyperlink ref="Y363" r:id="rId1356"/>
    <hyperlink ref="Z363" r:id="rId1357"/>
    <hyperlink ref="AA363" r:id="rId1358"/>
    <hyperlink ref="B364" r:id="rId1359"/>
    <hyperlink ref="Y364" r:id="rId1360"/>
    <hyperlink ref="Z364" r:id="rId1361"/>
    <hyperlink ref="AA364" r:id="rId1362"/>
    <hyperlink ref="B365" r:id="rId1363"/>
    <hyperlink ref="Y365" r:id="rId1364"/>
    <hyperlink ref="Z365" r:id="rId1365"/>
    <hyperlink ref="AA365" r:id="rId1366"/>
    <hyperlink ref="B366" r:id="rId1367"/>
    <hyperlink ref="Y366" r:id="rId1368"/>
    <hyperlink ref="Z366" r:id="rId1369"/>
    <hyperlink ref="AA366" r:id="rId1370"/>
    <hyperlink ref="B367" r:id="rId1371"/>
    <hyperlink ref="Y367" r:id="rId1372"/>
    <hyperlink ref="Z367" r:id="rId1373"/>
    <hyperlink ref="B368" r:id="rId1374"/>
    <hyperlink ref="Y368" r:id="rId1375"/>
    <hyperlink ref="Z368" r:id="rId1376"/>
    <hyperlink ref="AA368" r:id="rId1377"/>
    <hyperlink ref="B369" r:id="rId1378"/>
    <hyperlink ref="Y369" r:id="rId1379"/>
    <hyperlink ref="Z369" r:id="rId1380"/>
    <hyperlink ref="AA369" r:id="rId1381"/>
    <hyperlink ref="B370" r:id="rId1382"/>
    <hyperlink ref="Y370" r:id="rId1383"/>
    <hyperlink ref="Z370" r:id="rId1384"/>
    <hyperlink ref="AA370" r:id="rId1385"/>
    <hyperlink ref="B371" r:id="rId1386"/>
    <hyperlink ref="Y371" r:id="rId1387"/>
    <hyperlink ref="Z371" r:id="rId1388"/>
    <hyperlink ref="AA371" r:id="rId1389"/>
    <hyperlink ref="B372" r:id="rId1390"/>
    <hyperlink ref="Y372" r:id="rId1391"/>
    <hyperlink ref="Z372" r:id="rId1392"/>
    <hyperlink ref="AA372" r:id="rId1393"/>
    <hyperlink ref="B373" r:id="rId1394"/>
    <hyperlink ref="Y373" r:id="rId1395"/>
    <hyperlink ref="Z373" r:id="rId1396"/>
    <hyperlink ref="AA373" r:id="rId1397"/>
    <hyperlink ref="B374" r:id="rId1398"/>
    <hyperlink ref="Y374" r:id="rId1399"/>
    <hyperlink ref="Z374" r:id="rId1400"/>
    <hyperlink ref="AA374" r:id="rId1401"/>
    <hyperlink ref="B375" r:id="rId1402"/>
    <hyperlink ref="Y375" r:id="rId1403"/>
    <hyperlink ref="Z375" r:id="rId1404"/>
    <hyperlink ref="AA375" r:id="rId1405"/>
    <hyperlink ref="B376" r:id="rId1406"/>
    <hyperlink ref="Y376" r:id="rId1407"/>
    <hyperlink ref="Z376" r:id="rId1408"/>
    <hyperlink ref="AA376" r:id="rId1409"/>
    <hyperlink ref="B377" r:id="rId1410"/>
    <hyperlink ref="Y377" r:id="rId1411"/>
    <hyperlink ref="Z377" r:id="rId1412"/>
    <hyperlink ref="AA377" r:id="rId1413"/>
    <hyperlink ref="B378" r:id="rId1414"/>
    <hyperlink ref="Y378" r:id="rId1415"/>
    <hyperlink ref="Z378" r:id="rId1416"/>
    <hyperlink ref="B379" r:id="rId1417"/>
    <hyperlink ref="Y379" r:id="rId1418"/>
    <hyperlink ref="Z379" r:id="rId1419"/>
    <hyperlink ref="AA379" r:id="rId1420"/>
    <hyperlink ref="B380" r:id="rId1421"/>
    <hyperlink ref="Y380" r:id="rId1422"/>
    <hyperlink ref="Z380" r:id="rId1423"/>
    <hyperlink ref="B381" r:id="rId1424"/>
    <hyperlink ref="Y381" r:id="rId1425"/>
    <hyperlink ref="Z381" r:id="rId1426"/>
    <hyperlink ref="AA381" r:id="rId1427"/>
    <hyperlink ref="B382" r:id="rId1428"/>
    <hyperlink ref="Y382" r:id="rId1429"/>
    <hyperlink ref="Z382" r:id="rId1430"/>
    <hyperlink ref="B383" r:id="rId1431"/>
    <hyperlink ref="Y383" r:id="rId1432"/>
    <hyperlink ref="Z383" r:id="rId1433"/>
    <hyperlink ref="B384" r:id="rId1434"/>
    <hyperlink ref="Y384" r:id="rId1435"/>
    <hyperlink ref="Z384" r:id="rId1436"/>
    <hyperlink ref="AA384" r:id="rId1437"/>
    <hyperlink ref="B385" r:id="rId1438"/>
    <hyperlink ref="Y385" r:id="rId1439"/>
    <hyperlink ref="Z385" r:id="rId1440"/>
    <hyperlink ref="AA385" r:id="rId1441"/>
    <hyperlink ref="B386" r:id="rId1442"/>
    <hyperlink ref="Y386" r:id="rId1443"/>
    <hyperlink ref="B387" r:id="rId1444"/>
    <hyperlink ref="Y387" r:id="rId1445"/>
    <hyperlink ref="Z387" r:id="rId1446"/>
    <hyperlink ref="AA387" r:id="rId1447"/>
    <hyperlink ref="B388" r:id="rId1448"/>
    <hyperlink ref="Y388" r:id="rId1449"/>
    <hyperlink ref="Z388" r:id="rId1450"/>
    <hyperlink ref="AA388" r:id="rId1451"/>
    <hyperlink ref="B389" r:id="rId1452"/>
    <hyperlink ref="Y389" r:id="rId1453"/>
    <hyperlink ref="Z389" r:id="rId1454"/>
    <hyperlink ref="AA389" r:id="rId1455"/>
    <hyperlink ref="B390" r:id="rId1456"/>
    <hyperlink ref="Y390" r:id="rId1457"/>
    <hyperlink ref="Z390" r:id="rId1458"/>
    <hyperlink ref="AA390" r:id="rId1459"/>
    <hyperlink ref="B391" r:id="rId1460"/>
    <hyperlink ref="Y391" r:id="rId1461"/>
    <hyperlink ref="AA391" r:id="rId1462"/>
    <hyperlink ref="B392" r:id="rId1463"/>
    <hyperlink ref="Y392" r:id="rId1464"/>
    <hyperlink ref="Z392" r:id="rId1465"/>
    <hyperlink ref="AA392" r:id="rId1466"/>
    <hyperlink ref="B393" r:id="rId1467"/>
    <hyperlink ref="Y393" r:id="rId1468"/>
    <hyperlink ref="Z393" r:id="rId1469"/>
    <hyperlink ref="AA393" r:id="rId1470"/>
    <hyperlink ref="B394" r:id="rId1471"/>
    <hyperlink ref="Y394" r:id="rId1472"/>
    <hyperlink ref="Z394" r:id="rId1473" display="https://policy.unt.edu/sites/default/files/untpolicy/17.5_Open Access_Self-Archiving_and Long-Term Digital Stewardship for UNT Scholarly Works.pdf"/>
    <hyperlink ref="AA394" r:id="rId1474"/>
    <hyperlink ref="B395" r:id="rId1475"/>
    <hyperlink ref="Y395" r:id="rId1476"/>
    <hyperlink ref="Z395" r:id="rId1477"/>
    <hyperlink ref="AA395" r:id="rId1478"/>
    <hyperlink ref="B396" r:id="rId1479"/>
    <hyperlink ref="Y396" r:id="rId1480"/>
    <hyperlink ref="Z396" r:id="rId1481"/>
    <hyperlink ref="AA396" r:id="rId1482"/>
    <hyperlink ref="B397" r:id="rId1483"/>
    <hyperlink ref="Y397" r:id="rId1484"/>
    <hyperlink ref="AA397" r:id="rId1485"/>
    <hyperlink ref="B398" r:id="rId1486"/>
    <hyperlink ref="Y398" r:id="rId1487"/>
    <hyperlink ref="Z398" r:id="rId1488"/>
    <hyperlink ref="AA398" r:id="rId1489"/>
    <hyperlink ref="B399" r:id="rId1490"/>
    <hyperlink ref="Y399" r:id="rId1491"/>
    <hyperlink ref="Z399" r:id="rId1492"/>
    <hyperlink ref="AA399" r:id="rId1493"/>
    <hyperlink ref="B400" r:id="rId1494"/>
    <hyperlink ref="Y400" r:id="rId1495"/>
    <hyperlink ref="Z400" r:id="rId1496"/>
    <hyperlink ref="AA400" r:id="rId1497"/>
    <hyperlink ref="B401" r:id="rId1498"/>
    <hyperlink ref="Y401" r:id="rId1499"/>
    <hyperlink ref="Z401" r:id="rId1500"/>
    <hyperlink ref="AA401" r:id="rId1501"/>
    <hyperlink ref="B402" r:id="rId1502"/>
    <hyperlink ref="Y402" r:id="rId1503"/>
    <hyperlink ref="Z402" r:id="rId1504"/>
    <hyperlink ref="AA402" r:id="rId1505"/>
    <hyperlink ref="B403" r:id="rId1506"/>
    <hyperlink ref="Y403" r:id="rId1507"/>
    <hyperlink ref="Z403" r:id="rId1508"/>
    <hyperlink ref="AA403" r:id="rId1509"/>
    <hyperlink ref="B404" r:id="rId1510"/>
    <hyperlink ref="Y404" r:id="rId1511"/>
    <hyperlink ref="Z404" r:id="rId1512"/>
    <hyperlink ref="B405" r:id="rId1513"/>
    <hyperlink ref="Y405" r:id="rId1514"/>
    <hyperlink ref="Z405" r:id="rId1515"/>
    <hyperlink ref="AA405" r:id="rId1516"/>
    <hyperlink ref="B406" r:id="rId1517"/>
    <hyperlink ref="Y406" r:id="rId1518"/>
    <hyperlink ref="Z406" r:id="rId1519"/>
    <hyperlink ref="AA406" r:id="rId1520"/>
    <hyperlink ref="B407" r:id="rId1521"/>
    <hyperlink ref="Y407" r:id="rId1522"/>
    <hyperlink ref="AA407" r:id="rId1523"/>
    <hyperlink ref="B408" r:id="rId1524" display="http://roarmap.eprints.org/241/"/>
    <hyperlink ref="Y408" r:id="rId1525" display="http://www.nwo.nl/"/>
    <hyperlink ref="Z408" r:id="rId1526" display="http://www.nwo.nl/en/news-and-events/dossiers/open+access"/>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Sheet1</vt:lpstr>
      <vt:lpstr>countries</vt:lpstr>
      <vt:lpstr>continents</vt:lpstr>
      <vt:lpstr>mandates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Marieke Guy</cp:lastModifiedBy>
  <dcterms:created xsi:type="dcterms:W3CDTF">2015-06-16T09:42:09Z</dcterms:created>
  <dcterms:modified xsi:type="dcterms:W3CDTF">2015-06-19T12:17:53Z</dcterms:modified>
</cp:coreProperties>
</file>