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3e17e52ba27cdfd/A_Scurvy_Cardiac/0000__Cases_PH_Manuscript/Angel_2023_9_24/"/>
    </mc:Choice>
  </mc:AlternateContent>
  <xr:revisionPtr revIDLastSave="0" documentId="8_{10B07019-5867-45FC-90B1-A24F45C6EA8F}" xr6:coauthVersionLast="47" xr6:coauthVersionMax="47" xr10:uidLastSave="{00000000-0000-0000-0000-000000000000}"/>
  <bookViews>
    <workbookView xWindow="-120" yWindow="-120" windowWidth="25440" windowHeight="15390" tabRatio="500" xr2:uid="{00000000-000D-0000-FFFF-FFFF00000000}"/>
  </bookViews>
  <sheets>
    <sheet name="PH_Cases" sheetId="1" r:id="rId1"/>
    <sheet name="Other Vitamins &amp; Drugs" sheetId="2" r:id="rId2"/>
    <sheet name="Symptoms" sheetId="3" r:id="rId3"/>
    <sheet name="Card recovery" sheetId="4" r:id="rId4"/>
    <sheet name="mPAP" sheetId="5" r:id="rId5"/>
    <sheet name="mPAPpoints" sheetId="6" r:id="rId6"/>
    <sheet name="mPAParrows" sheetId="7" r:id="rId7"/>
    <sheet name="Wood units" sheetId="8" r:id="rId8"/>
    <sheet name="WoodPoints" sheetId="9" r:id="rId9"/>
    <sheet name="WoodArrows" sheetId="10" r:id="rId10"/>
    <sheet name="HR_RR_Reference" sheetId="11" r:id="rId11"/>
    <sheet name="HR_RR_BP" sheetId="12" r:id="rId12"/>
    <sheet name="Benhamed" sheetId="13" r:id="rId13"/>
    <sheet name="Frank" sheetId="14" r:id="rId14"/>
    <sheet name="Ghulam" sheetId="15" r:id="rId15"/>
    <sheet name="Ichiyanagi" sheetId="16" r:id="rId16"/>
    <sheet name="Ichiyanagi_2" sheetId="17" r:id="rId17"/>
    <sheet name="Ichiyanagi_3" sheetId="18" r:id="rId18"/>
    <sheet name="Ichiyanagi_4" sheetId="19" r:id="rId19"/>
    <sheet name="Kupari" sheetId="20" r:id="rId20"/>
    <sheet name="Kurnick" sheetId="21" r:id="rId21"/>
    <sheet name="Nariai" sheetId="22" r:id="rId22"/>
    <sheet name="Quinn" sheetId="23" r:id="rId23"/>
    <sheet name="Quinn_2" sheetId="24" r:id="rId24"/>
    <sheet name="Tan" sheetId="25" r:id="rId25"/>
    <sheet name="Laboratory changes" sheetId="26" r:id="rId26"/>
    <sheet name="Calculations" sheetId="27" r:id="rId27"/>
    <sheet name="WORDS" sheetId="28" r:id="rId28"/>
  </sheets>
  <definedNames>
    <definedName name="Excel_BuiltIn_Print_Area" localSheetId="0">PH_Cases!$A$2:$DW$49</definedName>
    <definedName name="_xlnm.Print_Area" localSheetId="0">PH_Cases!$A$1:$EE$58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15" i="28" l="1"/>
  <c r="C9" i="28"/>
  <c r="F22" i="27"/>
  <c r="E22" i="27"/>
  <c r="F20" i="27"/>
  <c r="E20" i="27"/>
  <c r="F19" i="27"/>
  <c r="E19" i="27"/>
  <c r="C13" i="27"/>
  <c r="B13" i="27"/>
  <c r="C12" i="27"/>
  <c r="D4" i="27"/>
  <c r="D14" i="26"/>
  <c r="F10" i="26"/>
  <c r="D10" i="26"/>
  <c r="F9" i="26"/>
  <c r="D9" i="26"/>
  <c r="F8" i="26"/>
  <c r="D8" i="26"/>
  <c r="F7" i="26"/>
  <c r="D7" i="26"/>
  <c r="F6" i="26"/>
  <c r="D6" i="26"/>
  <c r="F5" i="26"/>
  <c r="D5" i="26"/>
  <c r="F4" i="26"/>
  <c r="D4" i="26"/>
  <c r="A1" i="26"/>
  <c r="D5" i="25"/>
  <c r="D4" i="25"/>
  <c r="D3" i="25"/>
  <c r="D2" i="25"/>
  <c r="B4" i="24"/>
  <c r="A4" i="24"/>
  <c r="B3" i="24"/>
  <c r="A3" i="24"/>
  <c r="B2" i="24"/>
  <c r="A2" i="24"/>
  <c r="B1" i="24"/>
  <c r="A1" i="24"/>
  <c r="D5" i="23"/>
  <c r="C5" i="23"/>
  <c r="D4" i="23"/>
  <c r="C4" i="23"/>
  <c r="J3" i="23"/>
  <c r="C3" i="23"/>
  <c r="D3" i="23" s="1"/>
  <c r="J2" i="23"/>
  <c r="D2" i="23"/>
  <c r="C2" i="23"/>
  <c r="E7" i="22"/>
  <c r="C7" i="22"/>
  <c r="E6" i="22"/>
  <c r="C6" i="22"/>
  <c r="E5" i="22"/>
  <c r="C5" i="22"/>
  <c r="E4" i="22"/>
  <c r="C4" i="22"/>
  <c r="E3" i="22"/>
  <c r="C3" i="22"/>
  <c r="E2" i="22"/>
  <c r="C2" i="22"/>
  <c r="H4" i="20"/>
  <c r="F4" i="20"/>
  <c r="H3" i="20"/>
  <c r="F3" i="20"/>
  <c r="H2" i="20"/>
  <c r="F2" i="20"/>
  <c r="B2" i="19"/>
  <c r="C2" i="19" s="1"/>
  <c r="B1" i="19"/>
  <c r="A1" i="19"/>
  <c r="B6" i="18"/>
  <c r="C6" i="18" s="1"/>
  <c r="B5" i="18"/>
  <c r="C5" i="18" s="1"/>
  <c r="B4" i="18"/>
  <c r="C4" i="18" s="1"/>
  <c r="B3" i="18"/>
  <c r="C3" i="18" s="1"/>
  <c r="C2" i="18"/>
  <c r="B2" i="18"/>
  <c r="A2" i="18"/>
  <c r="B1" i="18"/>
  <c r="A1" i="18"/>
  <c r="A17" i="17"/>
  <c r="A13" i="17"/>
  <c r="A9" i="17"/>
  <c r="A5" i="17"/>
  <c r="B1" i="17"/>
  <c r="A1" i="17"/>
  <c r="E22" i="16"/>
  <c r="G22" i="16" s="1"/>
  <c r="B19" i="17" s="1"/>
  <c r="B22" i="16"/>
  <c r="A6" i="18" s="1"/>
  <c r="E21" i="16"/>
  <c r="G21" i="16" s="1"/>
  <c r="B18" i="17" s="1"/>
  <c r="B21" i="16"/>
  <c r="A18" i="17" s="1"/>
  <c r="E20" i="16"/>
  <c r="G20" i="16" s="1"/>
  <c r="B17" i="17" s="1"/>
  <c r="B20" i="16"/>
  <c r="E19" i="16"/>
  <c r="G19" i="16" s="1"/>
  <c r="B16" i="17" s="1"/>
  <c r="B19" i="16"/>
  <c r="A16" i="17" s="1"/>
  <c r="B18" i="16"/>
  <c r="A4" i="18" s="1"/>
  <c r="B17" i="16"/>
  <c r="A3" i="18" s="1"/>
  <c r="G16" i="16"/>
  <c r="B15" i="17" s="1"/>
  <c r="F16" i="16"/>
  <c r="E16" i="16"/>
  <c r="B16" i="16"/>
  <c r="A15" i="17" s="1"/>
  <c r="G15" i="16"/>
  <c r="B14" i="17" s="1"/>
  <c r="F15" i="16"/>
  <c r="E15" i="16"/>
  <c r="B15" i="16"/>
  <c r="A14" i="17" s="1"/>
  <c r="G14" i="16"/>
  <c r="B13" i="17" s="1"/>
  <c r="F14" i="16"/>
  <c r="E14" i="16"/>
  <c r="B14" i="16"/>
  <c r="G13" i="16"/>
  <c r="B12" i="17" s="1"/>
  <c r="F13" i="16"/>
  <c r="E13" i="16"/>
  <c r="B13" i="16"/>
  <c r="A12" i="17" s="1"/>
  <c r="G12" i="16"/>
  <c r="B11" i="17" s="1"/>
  <c r="F12" i="16"/>
  <c r="E12" i="16"/>
  <c r="B12" i="16"/>
  <c r="A11" i="17" s="1"/>
  <c r="G11" i="16"/>
  <c r="B10" i="17" s="1"/>
  <c r="F11" i="16"/>
  <c r="E11" i="16"/>
  <c r="B11" i="16"/>
  <c r="A10" i="17" s="1"/>
  <c r="G10" i="16"/>
  <c r="B9" i="17" s="1"/>
  <c r="F10" i="16"/>
  <c r="E10" i="16"/>
  <c r="B10" i="16"/>
  <c r="G9" i="16"/>
  <c r="B8" i="17" s="1"/>
  <c r="F9" i="16"/>
  <c r="E9" i="16"/>
  <c r="B9" i="16"/>
  <c r="A8" i="17" s="1"/>
  <c r="G8" i="16"/>
  <c r="B7" i="17" s="1"/>
  <c r="F8" i="16"/>
  <c r="E8" i="16"/>
  <c r="B8" i="16"/>
  <c r="A7" i="17" s="1"/>
  <c r="G7" i="16"/>
  <c r="B6" i="17" s="1"/>
  <c r="F7" i="16"/>
  <c r="E7" i="16"/>
  <c r="B7" i="16"/>
  <c r="A6" i="17" s="1"/>
  <c r="B6" i="16"/>
  <c r="E5" i="16"/>
  <c r="G5" i="16" s="1"/>
  <c r="B5" i="17" s="1"/>
  <c r="B5" i="16"/>
  <c r="A2" i="19" s="1"/>
  <c r="G4" i="16"/>
  <c r="B4" i="17" s="1"/>
  <c r="F4" i="16"/>
  <c r="E4" i="16"/>
  <c r="B4" i="16"/>
  <c r="A4" i="17" s="1"/>
  <c r="E3" i="16"/>
  <c r="G3" i="16" s="1"/>
  <c r="B3" i="17" s="1"/>
  <c r="B3" i="16"/>
  <c r="A3" i="17" s="1"/>
  <c r="G2" i="16"/>
  <c r="B2" i="17" s="1"/>
  <c r="F2" i="16"/>
  <c r="E2" i="16"/>
  <c r="B2" i="16"/>
  <c r="A2" i="17" s="1"/>
  <c r="C6" i="15"/>
  <c r="C5" i="15"/>
  <c r="C4" i="15"/>
  <c r="C3" i="15"/>
  <c r="C2" i="15"/>
  <c r="D4" i="14"/>
  <c r="C4" i="14"/>
  <c r="D3" i="14"/>
  <c r="C3" i="14"/>
  <c r="C2" i="14"/>
  <c r="D2" i="14" s="1"/>
  <c r="C4" i="13"/>
  <c r="C3" i="13"/>
  <c r="C2" i="13"/>
  <c r="E25" i="12"/>
  <c r="C25" i="12"/>
  <c r="B25" i="12"/>
  <c r="A25" i="12"/>
  <c r="E24" i="12"/>
  <c r="C24" i="12"/>
  <c r="B24" i="12"/>
  <c r="A24" i="12"/>
  <c r="E23" i="12"/>
  <c r="B23" i="12"/>
  <c r="A23" i="12"/>
  <c r="E22" i="12"/>
  <c r="C22" i="12"/>
  <c r="B22" i="12"/>
  <c r="A22" i="12"/>
  <c r="E21" i="12"/>
  <c r="C21" i="12"/>
  <c r="B21" i="12"/>
  <c r="A21" i="12"/>
  <c r="E20" i="12"/>
  <c r="C20" i="12"/>
  <c r="B20" i="12"/>
  <c r="A20" i="12"/>
  <c r="E19" i="12"/>
  <c r="C19" i="12"/>
  <c r="B19" i="12"/>
  <c r="A19" i="12"/>
  <c r="E18" i="12"/>
  <c r="C18" i="12"/>
  <c r="B18" i="12"/>
  <c r="A18" i="12"/>
  <c r="E17" i="12"/>
  <c r="C17" i="12"/>
  <c r="B17" i="12"/>
  <c r="A17" i="12"/>
  <c r="E16" i="12"/>
  <c r="C16" i="12"/>
  <c r="B16" i="12"/>
  <c r="A16" i="12"/>
  <c r="E15" i="12"/>
  <c r="C15" i="12"/>
  <c r="B15" i="12"/>
  <c r="A15" i="12"/>
  <c r="E14" i="12"/>
  <c r="B14" i="12"/>
  <c r="A14" i="12"/>
  <c r="E13" i="12"/>
  <c r="B13" i="12"/>
  <c r="A13" i="12"/>
  <c r="E12" i="12"/>
  <c r="C12" i="12"/>
  <c r="B12" i="12"/>
  <c r="A12" i="12"/>
  <c r="E11" i="12"/>
  <c r="C11" i="12"/>
  <c r="B11" i="12"/>
  <c r="A11" i="12"/>
  <c r="E10" i="12"/>
  <c r="B10" i="12"/>
  <c r="E9" i="12"/>
  <c r="B9" i="12"/>
  <c r="A9" i="12"/>
  <c r="E8" i="12"/>
  <c r="C8" i="12"/>
  <c r="E7" i="12"/>
  <c r="C7" i="12"/>
  <c r="B7" i="12"/>
  <c r="A7" i="12"/>
  <c r="E6" i="12"/>
  <c r="B6" i="12"/>
  <c r="E5" i="12"/>
  <c r="B5" i="12"/>
  <c r="A5" i="12"/>
  <c r="E4" i="12"/>
  <c r="C4" i="12"/>
  <c r="B4" i="12"/>
  <c r="A4" i="12"/>
  <c r="E3" i="12"/>
  <c r="C3" i="12"/>
  <c r="B3" i="12"/>
  <c r="A3" i="12"/>
  <c r="E2" i="12"/>
  <c r="C2" i="12"/>
  <c r="B2" i="12"/>
  <c r="A2" i="12"/>
  <c r="A1" i="12"/>
  <c r="D1" i="10"/>
  <c r="B1" i="10"/>
  <c r="A1" i="10"/>
  <c r="A1" i="9"/>
  <c r="C9" i="8"/>
  <c r="D5" i="10" s="1"/>
  <c r="B9" i="8"/>
  <c r="C8" i="9" s="1"/>
  <c r="C8" i="8"/>
  <c r="D4" i="10" s="1"/>
  <c r="B4" i="8"/>
  <c r="C3" i="9" s="1"/>
  <c r="B3" i="8"/>
  <c r="C2" i="9" s="1"/>
  <c r="E18" i="7"/>
  <c r="C18" i="7"/>
  <c r="C17" i="7"/>
  <c r="E16" i="7"/>
  <c r="C16" i="7"/>
  <c r="E15" i="7"/>
  <c r="C13" i="7"/>
  <c r="E11" i="7"/>
  <c r="C11" i="7"/>
  <c r="C10" i="7"/>
  <c r="C9" i="7"/>
  <c r="E7" i="7"/>
  <c r="C7" i="7"/>
  <c r="E6" i="7"/>
  <c r="C6" i="7"/>
  <c r="E5" i="7"/>
  <c r="E3" i="7"/>
  <c r="C3" i="7"/>
  <c r="C2" i="7"/>
  <c r="E1" i="7"/>
  <c r="C1" i="7"/>
  <c r="C46" i="6"/>
  <c r="C44" i="6"/>
  <c r="C42" i="6"/>
  <c r="C39" i="6"/>
  <c r="C34" i="6"/>
  <c r="C33" i="6"/>
  <c r="C31" i="6"/>
  <c r="C27" i="6"/>
  <c r="C26" i="6"/>
  <c r="C21" i="6"/>
  <c r="C18" i="6"/>
  <c r="C17" i="6"/>
  <c r="C15" i="6"/>
  <c r="C12" i="6"/>
  <c r="C11" i="6"/>
  <c r="C10" i="6"/>
  <c r="C8" i="6"/>
  <c r="C6" i="6"/>
  <c r="C5" i="6"/>
  <c r="C4" i="6"/>
  <c r="C3" i="6"/>
  <c r="C2" i="6"/>
  <c r="B1" i="6"/>
  <c r="D33" i="5"/>
  <c r="B33" i="5"/>
  <c r="D32" i="5"/>
  <c r="B32" i="5"/>
  <c r="D31" i="5"/>
  <c r="B31" i="5"/>
  <c r="D30" i="5"/>
  <c r="B30" i="5"/>
  <c r="E29" i="5"/>
  <c r="C47" i="6" s="1"/>
  <c r="C29" i="5"/>
  <c r="C28" i="5"/>
  <c r="C28" i="6" s="1"/>
  <c r="E27" i="5"/>
  <c r="D25" i="5"/>
  <c r="C25" i="5"/>
  <c r="C25" i="6" s="1"/>
  <c r="D24" i="5"/>
  <c r="C24" i="5"/>
  <c r="C24" i="6" s="1"/>
  <c r="E23" i="5"/>
  <c r="C43" i="6" s="1"/>
  <c r="C23" i="5"/>
  <c r="E22" i="5"/>
  <c r="E14" i="7" s="1"/>
  <c r="C22" i="5"/>
  <c r="C22" i="6" s="1"/>
  <c r="E21" i="5"/>
  <c r="D20" i="5"/>
  <c r="C20" i="5"/>
  <c r="C20" i="6" s="1"/>
  <c r="D19" i="5"/>
  <c r="C19" i="5"/>
  <c r="C19" i="6" s="1"/>
  <c r="E18" i="5"/>
  <c r="C40" i="6" s="1"/>
  <c r="C18" i="5"/>
  <c r="C12" i="7" s="1"/>
  <c r="E16" i="5"/>
  <c r="E10" i="7" s="1"/>
  <c r="C16" i="5"/>
  <c r="C16" i="6" s="1"/>
  <c r="E15" i="5"/>
  <c r="D14" i="5"/>
  <c r="C14" i="5"/>
  <c r="C14" i="6" s="1"/>
  <c r="E13" i="5"/>
  <c r="C13" i="5"/>
  <c r="C8" i="7" s="1"/>
  <c r="E12" i="5"/>
  <c r="C35" i="6" s="1"/>
  <c r="C10" i="5"/>
  <c r="C5" i="7" s="1"/>
  <c r="E9" i="5"/>
  <c r="C9" i="5"/>
  <c r="C4" i="7" s="1"/>
  <c r="D8" i="5"/>
  <c r="D7" i="5"/>
  <c r="C7" i="5"/>
  <c r="C7" i="6" s="1"/>
  <c r="D6" i="5"/>
  <c r="D5" i="5"/>
  <c r="D4" i="5"/>
  <c r="E2" i="5"/>
  <c r="D1" i="5"/>
  <c r="B1" i="5"/>
  <c r="A28" i="4"/>
  <c r="C28" i="4" s="1"/>
  <c r="B27" i="4"/>
  <c r="A27" i="4"/>
  <c r="C27" i="4" s="1"/>
  <c r="C26" i="4"/>
  <c r="A26" i="4"/>
  <c r="B26" i="4" s="1"/>
  <c r="B25" i="4"/>
  <c r="A25" i="4"/>
  <c r="C25" i="4" s="1"/>
  <c r="A24" i="4"/>
  <c r="C24" i="4" s="1"/>
  <c r="B23" i="4"/>
  <c r="A23" i="4"/>
  <c r="C23" i="4" s="1"/>
  <c r="A22" i="4"/>
  <c r="C21" i="4"/>
  <c r="B21" i="4"/>
  <c r="A21" i="4"/>
  <c r="A20" i="4"/>
  <c r="C20" i="4" s="1"/>
  <c r="B19" i="4"/>
  <c r="A19" i="4"/>
  <c r="C19" i="4" s="1"/>
  <c r="C18" i="4"/>
  <c r="A18" i="4"/>
  <c r="B18" i="4" s="1"/>
  <c r="B17" i="4"/>
  <c r="A17" i="4"/>
  <c r="C17" i="4" s="1"/>
  <c r="A16" i="4"/>
  <c r="C16" i="4" s="1"/>
  <c r="C15" i="4"/>
  <c r="B15" i="4"/>
  <c r="A15" i="4"/>
  <c r="C13" i="4"/>
  <c r="B13" i="4"/>
  <c r="A13" i="4"/>
  <c r="A12" i="4"/>
  <c r="C12" i="4" s="1"/>
  <c r="A11" i="4"/>
  <c r="C11" i="4" s="1"/>
  <c r="C10" i="4"/>
  <c r="A10" i="4"/>
  <c r="B10" i="4" s="1"/>
  <c r="B9" i="4"/>
  <c r="A9" i="4"/>
  <c r="C9" i="4" s="1"/>
  <c r="B8" i="4"/>
  <c r="A8" i="4"/>
  <c r="C8" i="4" s="1"/>
  <c r="C7" i="4"/>
  <c r="B7" i="4"/>
  <c r="A7" i="4"/>
  <c r="A6" i="4"/>
  <c r="C5" i="4"/>
  <c r="B5" i="4"/>
  <c r="A5" i="4"/>
  <c r="A4" i="4"/>
  <c r="C4" i="4" s="1"/>
  <c r="B3" i="4"/>
  <c r="A3" i="4"/>
  <c r="C3" i="4" s="1"/>
  <c r="C2" i="4"/>
  <c r="A2" i="4"/>
  <c r="B2" i="4" s="1"/>
  <c r="AJ40" i="2"/>
  <c r="AI40" i="2"/>
  <c r="AH40" i="2"/>
  <c r="AG40" i="2"/>
  <c r="AE40" i="2"/>
  <c r="AD40" i="2"/>
  <c r="AC40" i="2"/>
  <c r="AB40" i="2"/>
  <c r="AA40" i="2"/>
  <c r="Z40" i="2"/>
  <c r="Y40" i="2"/>
  <c r="K40" i="2"/>
  <c r="I40" i="2"/>
  <c r="H40" i="2"/>
  <c r="G40" i="2"/>
  <c r="F40" i="2"/>
  <c r="V38" i="2"/>
  <c r="U38" i="2"/>
  <c r="Q38" i="2"/>
  <c r="P38" i="2"/>
  <c r="A38" i="2"/>
  <c r="U37" i="2"/>
  <c r="P37" i="2"/>
  <c r="S37" i="2" s="1"/>
  <c r="D37" i="2"/>
  <c r="C37" i="2"/>
  <c r="B37" i="2"/>
  <c r="A37" i="2"/>
  <c r="V36" i="2"/>
  <c r="S36" i="2" s="1"/>
  <c r="U36" i="2"/>
  <c r="Q36" i="2"/>
  <c r="P36" i="2"/>
  <c r="D36" i="2"/>
  <c r="C36" i="2"/>
  <c r="B36" i="2"/>
  <c r="A36" i="2"/>
  <c r="V35" i="2"/>
  <c r="U35" i="2"/>
  <c r="S35" i="2"/>
  <c r="P35" i="2"/>
  <c r="Q35" i="2" s="1"/>
  <c r="D35" i="2"/>
  <c r="C35" i="2"/>
  <c r="B35" i="2"/>
  <c r="A35" i="2"/>
  <c r="U34" i="2"/>
  <c r="S34" i="2"/>
  <c r="P34" i="2"/>
  <c r="Q34" i="2" s="1"/>
  <c r="D34" i="2"/>
  <c r="C34" i="2"/>
  <c r="B34" i="2"/>
  <c r="A34" i="2"/>
  <c r="V33" i="2"/>
  <c r="U33" i="2"/>
  <c r="Q33" i="2"/>
  <c r="P33" i="2"/>
  <c r="S33" i="2" s="1"/>
  <c r="D33" i="2"/>
  <c r="C33" i="2"/>
  <c r="B33" i="2"/>
  <c r="A33" i="2"/>
  <c r="V32" i="2"/>
  <c r="P32" i="2"/>
  <c r="D32" i="2"/>
  <c r="C32" i="2"/>
  <c r="B32" i="2"/>
  <c r="U32" i="2" s="1"/>
  <c r="A32" i="2"/>
  <c r="P31" i="2"/>
  <c r="D31" i="2"/>
  <c r="C31" i="2"/>
  <c r="B31" i="2"/>
  <c r="U31" i="2" s="1"/>
  <c r="A31" i="2"/>
  <c r="P30" i="2"/>
  <c r="D30" i="2"/>
  <c r="C30" i="2"/>
  <c r="B30" i="2"/>
  <c r="U30" i="2" s="1"/>
  <c r="A30" i="2"/>
  <c r="V29" i="2"/>
  <c r="Q29" i="2"/>
  <c r="P29" i="2"/>
  <c r="S29" i="2" s="1"/>
  <c r="B29" i="2"/>
  <c r="U29" i="2" s="1"/>
  <c r="A29" i="2"/>
  <c r="U28" i="2"/>
  <c r="Q28" i="2"/>
  <c r="P28" i="2"/>
  <c r="S28" i="2" s="1"/>
  <c r="D28" i="2"/>
  <c r="C28" i="2"/>
  <c r="B28" i="2"/>
  <c r="A28" i="2"/>
  <c r="V27" i="2"/>
  <c r="P27" i="2"/>
  <c r="D27" i="2"/>
  <c r="C27" i="2"/>
  <c r="B27" i="2"/>
  <c r="U27" i="2" s="1"/>
  <c r="A27" i="2"/>
  <c r="V26" i="2"/>
  <c r="Q26" i="2"/>
  <c r="P26" i="2"/>
  <c r="S26" i="2" s="1"/>
  <c r="D26" i="2"/>
  <c r="C26" i="2"/>
  <c r="B26" i="2"/>
  <c r="U26" i="2" s="1"/>
  <c r="A26" i="2"/>
  <c r="V25" i="2"/>
  <c r="Q25" i="2"/>
  <c r="P25" i="2"/>
  <c r="S25" i="2" s="1"/>
  <c r="D25" i="2"/>
  <c r="C25" i="2"/>
  <c r="B25" i="2"/>
  <c r="U25" i="2" s="1"/>
  <c r="A25" i="2"/>
  <c r="V24" i="2"/>
  <c r="U24" i="2"/>
  <c r="S24" i="2"/>
  <c r="P24" i="2"/>
  <c r="Q24" i="2" s="1"/>
  <c r="Z24" i="1" s="1"/>
  <c r="CJ24" i="1" s="1"/>
  <c r="D24" i="2"/>
  <c r="C24" i="2"/>
  <c r="B24" i="2"/>
  <c r="A24" i="2"/>
  <c r="U23" i="2"/>
  <c r="S23" i="2"/>
  <c r="P23" i="2"/>
  <c r="Q23" i="2" s="1"/>
  <c r="Z23" i="1" s="1"/>
  <c r="CJ23" i="1" s="1"/>
  <c r="D23" i="2"/>
  <c r="C23" i="2"/>
  <c r="B23" i="2"/>
  <c r="A23" i="2"/>
  <c r="V22" i="2"/>
  <c r="U22" i="2"/>
  <c r="S22" i="2"/>
  <c r="Q22" i="2"/>
  <c r="P22" i="2"/>
  <c r="D22" i="2"/>
  <c r="C22" i="2"/>
  <c r="B22" i="2"/>
  <c r="A22" i="2"/>
  <c r="V21" i="2"/>
  <c r="S21" i="2" s="1"/>
  <c r="U21" i="2"/>
  <c r="Q21" i="2"/>
  <c r="P21" i="2"/>
  <c r="D21" i="2"/>
  <c r="C21" i="2"/>
  <c r="B21" i="2"/>
  <c r="A21" i="2"/>
  <c r="V20" i="2"/>
  <c r="S20" i="2" s="1"/>
  <c r="U20" i="2"/>
  <c r="P20" i="2"/>
  <c r="Q20" i="2" s="1"/>
  <c r="D20" i="2"/>
  <c r="C20" i="2"/>
  <c r="B20" i="2"/>
  <c r="A20" i="2"/>
  <c r="U19" i="2"/>
  <c r="S19" i="2"/>
  <c r="P19" i="2"/>
  <c r="Q19" i="2" s="1"/>
  <c r="D19" i="2"/>
  <c r="C19" i="2"/>
  <c r="B19" i="2"/>
  <c r="A19" i="2"/>
  <c r="V18" i="2"/>
  <c r="U18" i="2"/>
  <c r="Q18" i="2"/>
  <c r="P18" i="2"/>
  <c r="D18" i="2"/>
  <c r="C18" i="2"/>
  <c r="B18" i="2"/>
  <c r="A18" i="2"/>
  <c r="U17" i="2"/>
  <c r="Q17" i="2"/>
  <c r="P17" i="2"/>
  <c r="S17" i="2" s="1"/>
  <c r="D17" i="2"/>
  <c r="C17" i="2"/>
  <c r="B17" i="2"/>
  <c r="A17" i="2"/>
  <c r="U16" i="2"/>
  <c r="Q16" i="2"/>
  <c r="P16" i="2"/>
  <c r="S16" i="2" s="1"/>
  <c r="D16" i="2"/>
  <c r="C16" i="2"/>
  <c r="B16" i="2"/>
  <c r="A16" i="2"/>
  <c r="U15" i="2"/>
  <c r="Q15" i="2"/>
  <c r="P15" i="2"/>
  <c r="S15" i="2" s="1"/>
  <c r="D15" i="2"/>
  <c r="C15" i="2"/>
  <c r="B15" i="2"/>
  <c r="A15" i="2"/>
  <c r="Q14" i="2"/>
  <c r="P14" i="2"/>
  <c r="S14" i="2" s="1"/>
  <c r="D14" i="2"/>
  <c r="C14" i="2"/>
  <c r="B14" i="2"/>
  <c r="U14" i="2" s="1"/>
  <c r="A14" i="2"/>
  <c r="V13" i="2"/>
  <c r="V40" i="2" s="1"/>
  <c r="P13" i="2"/>
  <c r="D13" i="2"/>
  <c r="C13" i="2"/>
  <c r="B13" i="2"/>
  <c r="U13" i="2" s="1"/>
  <c r="A13" i="2"/>
  <c r="V12" i="2"/>
  <c r="P12" i="2"/>
  <c r="S12" i="2" s="1"/>
  <c r="D12" i="2"/>
  <c r="C12" i="2"/>
  <c r="B12" i="2"/>
  <c r="U12" i="2" s="1"/>
  <c r="A12" i="2"/>
  <c r="V11" i="2"/>
  <c r="S11" i="2"/>
  <c r="P11" i="2"/>
  <c r="Q11" i="2" s="1"/>
  <c r="Z11" i="1" s="1"/>
  <c r="CJ11" i="1" s="1"/>
  <c r="CK11" i="1" s="1"/>
  <c r="D11" i="2"/>
  <c r="C11" i="2"/>
  <c r="B11" i="2"/>
  <c r="U11" i="2" s="1"/>
  <c r="A11" i="2"/>
  <c r="V10" i="2"/>
  <c r="U10" i="2"/>
  <c r="Q10" i="2"/>
  <c r="P10" i="2"/>
  <c r="S10" i="2" s="1"/>
  <c r="D10" i="2"/>
  <c r="C10" i="2"/>
  <c r="B10" i="2"/>
  <c r="A10" i="2"/>
  <c r="U9" i="2"/>
  <c r="D9" i="2"/>
  <c r="C9" i="2"/>
  <c r="B9" i="2"/>
  <c r="A9" i="2"/>
  <c r="P8" i="2"/>
  <c r="D8" i="2"/>
  <c r="C8" i="2"/>
  <c r="B8" i="2"/>
  <c r="U8" i="2" s="1"/>
  <c r="A8" i="2"/>
  <c r="P7" i="2"/>
  <c r="D7" i="2"/>
  <c r="C7" i="2"/>
  <c r="B7" i="2"/>
  <c r="U7" i="2" s="1"/>
  <c r="A7" i="2"/>
  <c r="D3" i="2"/>
  <c r="C3" i="2"/>
  <c r="A3" i="2"/>
  <c r="D2" i="2"/>
  <c r="C2" i="2"/>
  <c r="A2" i="2"/>
  <c r="D1" i="2"/>
  <c r="C1" i="2"/>
  <c r="B1" i="2"/>
  <c r="A1" i="2"/>
  <c r="CK56" i="1"/>
  <c r="D51" i="1"/>
  <c r="R50" i="1"/>
  <c r="D50" i="1"/>
  <c r="CZ49" i="1"/>
  <c r="CV49" i="1"/>
  <c r="CU49" i="1"/>
  <c r="CS49" i="1"/>
  <c r="BX49" i="1"/>
  <c r="BU49" i="1"/>
  <c r="R49" i="1"/>
  <c r="D49" i="1"/>
  <c r="CV48" i="1"/>
  <c r="CU48" i="1"/>
  <c r="CS48" i="1"/>
  <c r="BX48" i="1"/>
  <c r="BU48" i="1"/>
  <c r="R48" i="1"/>
  <c r="D48" i="1"/>
  <c r="CV47" i="1"/>
  <c r="CU47" i="1"/>
  <c r="CS47" i="1"/>
  <c r="BX47" i="1"/>
  <c r="BU47" i="1"/>
  <c r="R47" i="1"/>
  <c r="E47" i="1"/>
  <c r="F47" i="1" s="1"/>
  <c r="D47" i="1"/>
  <c r="BJ46" i="1"/>
  <c r="BH46" i="1"/>
  <c r="BG46" i="1"/>
  <c r="D46" i="1"/>
  <c r="EA45" i="1"/>
  <c r="DZ45" i="1"/>
  <c r="DY45" i="1"/>
  <c r="DX45" i="1"/>
  <c r="DW45" i="1"/>
  <c r="DV45" i="1"/>
  <c r="DU45" i="1"/>
  <c r="DT45" i="1"/>
  <c r="DS45" i="1"/>
  <c r="DR45" i="1"/>
  <c r="BJ45" i="1"/>
  <c r="BH45" i="1"/>
  <c r="BG45" i="1"/>
  <c r="Y45" i="1"/>
  <c r="DZ44" i="1"/>
  <c r="DN44" i="1"/>
  <c r="DB44" i="1"/>
  <c r="Y44" i="1"/>
  <c r="D44" i="1"/>
  <c r="DZ43" i="1"/>
  <c r="DN43" i="1"/>
  <c r="DK43" i="1"/>
  <c r="DH43" i="1"/>
  <c r="DF43" i="1"/>
  <c r="DB43" i="1"/>
  <c r="CW43" i="1"/>
  <c r="D43" i="1"/>
  <c r="DZ42" i="1"/>
  <c r="AB42" i="1"/>
  <c r="S42" i="1"/>
  <c r="J42" i="1"/>
  <c r="F42" i="1"/>
  <c r="D42" i="1"/>
  <c r="EA41" i="1"/>
  <c r="DZ41" i="1"/>
  <c r="DY41" i="1"/>
  <c r="DX41" i="1"/>
  <c r="C9" i="3" s="1"/>
  <c r="D9" i="3" s="1"/>
  <c r="DW41" i="1"/>
  <c r="C8" i="3" s="1"/>
  <c r="D8" i="3" s="1"/>
  <c r="DV41" i="1"/>
  <c r="C7" i="3" s="1"/>
  <c r="D7" i="3" s="1"/>
  <c r="DU41" i="1"/>
  <c r="C6" i="3" s="1"/>
  <c r="D6" i="3" s="1"/>
  <c r="DT41" i="1"/>
  <c r="C5" i="3" s="1"/>
  <c r="D5" i="3" s="1"/>
  <c r="DS41" i="1"/>
  <c r="C4" i="3" s="1"/>
  <c r="D4" i="3" s="1"/>
  <c r="DR41" i="1"/>
  <c r="C3" i="3" s="1"/>
  <c r="D3" i="3" s="1"/>
  <c r="DP41" i="1"/>
  <c r="DN41" i="1"/>
  <c r="DK41" i="1"/>
  <c r="DI41" i="1"/>
  <c r="DH41" i="1"/>
  <c r="DF41" i="1"/>
  <c r="DB41" i="1"/>
  <c r="CW41" i="1"/>
  <c r="CV41" i="1"/>
  <c r="CU41" i="1"/>
  <c r="CT41" i="1"/>
  <c r="CS41" i="1"/>
  <c r="CI41" i="1"/>
  <c r="BX41" i="1"/>
  <c r="BS41" i="1"/>
  <c r="BR41" i="1"/>
  <c r="BQ41" i="1"/>
  <c r="BB41" i="1"/>
  <c r="BA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K41" i="1"/>
  <c r="AJ41" i="1"/>
  <c r="AI41" i="1"/>
  <c r="AF41" i="1"/>
  <c r="AB41" i="1"/>
  <c r="Y41" i="1"/>
  <c r="Y47" i="1" s="1"/>
  <c r="W41" i="1"/>
  <c r="S41" i="1"/>
  <c r="O41" i="1"/>
  <c r="O42" i="1" s="1"/>
  <c r="N41" i="1"/>
  <c r="L41" i="1"/>
  <c r="K41" i="1"/>
  <c r="L43" i="1" s="1"/>
  <c r="J41" i="1"/>
  <c r="F41" i="1"/>
  <c r="D41" i="1"/>
  <c r="B41" i="1"/>
  <c r="C1" i="3" s="1"/>
  <c r="DZ40" i="1"/>
  <c r="C40" i="1"/>
  <c r="DZ39" i="1"/>
  <c r="EC38" i="1"/>
  <c r="DZ38" i="1"/>
  <c r="CY38" i="1"/>
  <c r="CM38" i="1"/>
  <c r="CJ38" i="1"/>
  <c r="CI38" i="1"/>
  <c r="CA38" i="1"/>
  <c r="D28" i="5" s="1"/>
  <c r="BT38" i="1"/>
  <c r="A11" i="8" s="1"/>
  <c r="A10" i="9" s="1"/>
  <c r="BP38" i="1"/>
  <c r="B11" i="8" s="1"/>
  <c r="C10" i="9" s="1"/>
  <c r="BL38" i="1"/>
  <c r="B28" i="5" s="1"/>
  <c r="BG38" i="1"/>
  <c r="BH38" i="1" s="1"/>
  <c r="BJ38" i="1" s="1"/>
  <c r="BE38" i="1"/>
  <c r="BC38" i="1"/>
  <c r="AH38" i="1"/>
  <c r="AE38" i="1"/>
  <c r="A28" i="5" s="1"/>
  <c r="Z38" i="1"/>
  <c r="EC37" i="1"/>
  <c r="D25" i="12" s="1"/>
  <c r="DZ37" i="1"/>
  <c r="DD37" i="1"/>
  <c r="A29" i="4" s="1"/>
  <c r="C29" i="4" s="1"/>
  <c r="CY37" i="1"/>
  <c r="CM37" i="1"/>
  <c r="CI37" i="1"/>
  <c r="BW37" i="1"/>
  <c r="BY37" i="1" s="1"/>
  <c r="CA37" i="1" s="1"/>
  <c r="BV37" i="1"/>
  <c r="BT37" i="1"/>
  <c r="BG37" i="1"/>
  <c r="BH37" i="1" s="1"/>
  <c r="BJ37" i="1" s="1"/>
  <c r="BL37" i="1" s="1"/>
  <c r="BE37" i="1"/>
  <c r="BC37" i="1"/>
  <c r="AH37" i="1"/>
  <c r="AE37" i="1"/>
  <c r="A2" i="5" s="1"/>
  <c r="R37" i="1"/>
  <c r="EC36" i="1"/>
  <c r="D24" i="12" s="1"/>
  <c r="DZ36" i="1"/>
  <c r="CY36" i="1"/>
  <c r="CM36" i="1"/>
  <c r="CI36" i="1"/>
  <c r="CA36" i="1"/>
  <c r="D16" i="5" s="1"/>
  <c r="BT36" i="1"/>
  <c r="BL36" i="1"/>
  <c r="B16" i="5" s="1"/>
  <c r="BJ36" i="1"/>
  <c r="BE36" i="1"/>
  <c r="BC36" i="1"/>
  <c r="AL36" i="1"/>
  <c r="AH36" i="1"/>
  <c r="AE36" i="1"/>
  <c r="A16" i="5" s="1"/>
  <c r="Z36" i="1"/>
  <c r="CJ36" i="1" s="1"/>
  <c r="CK36" i="1" s="1"/>
  <c r="EC35" i="1"/>
  <c r="D23" i="12" s="1"/>
  <c r="DZ35" i="1"/>
  <c r="CY35" i="1"/>
  <c r="CM35" i="1"/>
  <c r="CJ35" i="1"/>
  <c r="CI35" i="1"/>
  <c r="BT35" i="1"/>
  <c r="BL35" i="1"/>
  <c r="B8" i="5" s="1"/>
  <c r="B8" i="6" s="1"/>
  <c r="BE35" i="1"/>
  <c r="BC35" i="1"/>
  <c r="AL35" i="1"/>
  <c r="AH35" i="1"/>
  <c r="AE35" i="1"/>
  <c r="A8" i="5" s="1"/>
  <c r="A8" i="6" s="1"/>
  <c r="Z35" i="1"/>
  <c r="EC34" i="1"/>
  <c r="D22" i="12" s="1"/>
  <c r="DZ34" i="1"/>
  <c r="CY34" i="1"/>
  <c r="CI34" i="1"/>
  <c r="CA34" i="1"/>
  <c r="CP34" i="1" s="1"/>
  <c r="BT34" i="1"/>
  <c r="BL34" i="1"/>
  <c r="B23" i="5" s="1"/>
  <c r="BJ34" i="1"/>
  <c r="BE34" i="1"/>
  <c r="BC34" i="1"/>
  <c r="AL34" i="1"/>
  <c r="AH34" i="1"/>
  <c r="AE34" i="1"/>
  <c r="A23" i="5" s="1"/>
  <c r="Z34" i="1"/>
  <c r="CJ34" i="1" s="1"/>
  <c r="CK34" i="1" s="1"/>
  <c r="EC33" i="1"/>
  <c r="D21" i="12" s="1"/>
  <c r="DZ33" i="1"/>
  <c r="CY33" i="1"/>
  <c r="CM33" i="1"/>
  <c r="CI33" i="1"/>
  <c r="BT33" i="1"/>
  <c r="BJ33" i="1"/>
  <c r="BL33" i="1" s="1"/>
  <c r="B25" i="5" s="1"/>
  <c r="B25" i="6" s="1"/>
  <c r="BH33" i="1"/>
  <c r="BE33" i="1"/>
  <c r="BC33" i="1"/>
  <c r="AH33" i="1"/>
  <c r="AE33" i="1"/>
  <c r="A25" i="5" s="1"/>
  <c r="A25" i="6" s="1"/>
  <c r="Z33" i="1"/>
  <c r="CJ33" i="1" s="1"/>
  <c r="EC32" i="1"/>
  <c r="D20" i="12" s="1"/>
  <c r="DZ32" i="1"/>
  <c r="CY32" i="1"/>
  <c r="CM32" i="1"/>
  <c r="CI32" i="1"/>
  <c r="BT32" i="1"/>
  <c r="BH32" i="1"/>
  <c r="BJ32" i="1" s="1"/>
  <c r="BL32" i="1" s="1"/>
  <c r="B24" i="5" s="1"/>
  <c r="B24" i="6" s="1"/>
  <c r="BE32" i="1"/>
  <c r="BC32" i="1"/>
  <c r="AH32" i="1"/>
  <c r="AE32" i="1"/>
  <c r="A24" i="5" s="1"/>
  <c r="A24" i="6" s="1"/>
  <c r="EC31" i="1"/>
  <c r="DZ31" i="1"/>
  <c r="CY31" i="1"/>
  <c r="CI31" i="1"/>
  <c r="BT31" i="1"/>
  <c r="BE31" i="1"/>
  <c r="AH31" i="1"/>
  <c r="AE31" i="1"/>
  <c r="A33" i="5" s="1"/>
  <c r="H31" i="1"/>
  <c r="H41" i="1" s="1"/>
  <c r="EC30" i="1"/>
  <c r="DZ30" i="1"/>
  <c r="CY30" i="1"/>
  <c r="CI30" i="1"/>
  <c r="BT30" i="1"/>
  <c r="BE30" i="1"/>
  <c r="AH30" i="1"/>
  <c r="AE30" i="1"/>
  <c r="A32" i="5" s="1"/>
  <c r="H30" i="1"/>
  <c r="EC29" i="1"/>
  <c r="D19" i="12" s="1"/>
  <c r="DZ29" i="1"/>
  <c r="CY29" i="1"/>
  <c r="CM29" i="1"/>
  <c r="CJ29" i="1"/>
  <c r="CI29" i="1"/>
  <c r="BV29" i="1"/>
  <c r="BW29" i="1" s="1"/>
  <c r="BY29" i="1" s="1"/>
  <c r="CA29" i="1" s="1"/>
  <c r="BT29" i="1"/>
  <c r="BL29" i="1"/>
  <c r="B11" i="5" s="1"/>
  <c r="BH29" i="1"/>
  <c r="BJ29" i="1" s="1"/>
  <c r="BG29" i="1"/>
  <c r="BE29" i="1"/>
  <c r="BC29" i="1"/>
  <c r="AL29" i="1"/>
  <c r="AH29" i="1"/>
  <c r="AE29" i="1"/>
  <c r="A11" i="5" s="1"/>
  <c r="Z29" i="1"/>
  <c r="R29" i="1"/>
  <c r="EC28" i="1"/>
  <c r="D18" i="12" s="1"/>
  <c r="DZ28" i="1"/>
  <c r="CY28" i="1"/>
  <c r="CM28" i="1"/>
  <c r="CI28" i="1"/>
  <c r="BT28" i="1"/>
  <c r="BE28" i="1"/>
  <c r="BC28" i="1"/>
  <c r="AL28" i="1"/>
  <c r="AH28" i="1"/>
  <c r="AE28" i="1"/>
  <c r="A31" i="5" s="1"/>
  <c r="Z28" i="1"/>
  <c r="CJ28" i="1" s="1"/>
  <c r="EC27" i="1"/>
  <c r="D17" i="12" s="1"/>
  <c r="DZ27" i="1"/>
  <c r="CY27" i="1"/>
  <c r="CM27" i="1"/>
  <c r="CI27" i="1"/>
  <c r="CH27" i="1"/>
  <c r="CG27" i="1"/>
  <c r="C10" i="8" s="1"/>
  <c r="CA27" i="1"/>
  <c r="D10" i="5" s="1"/>
  <c r="BT27" i="1"/>
  <c r="A10" i="8" s="1"/>
  <c r="BP27" i="1"/>
  <c r="B10" i="8" s="1"/>
  <c r="BL27" i="1"/>
  <c r="B10" i="5" s="1"/>
  <c r="BJ27" i="1"/>
  <c r="BE27" i="1"/>
  <c r="BC27" i="1"/>
  <c r="AL27" i="1"/>
  <c r="AG27" i="1"/>
  <c r="AE27" i="1"/>
  <c r="A10" i="5" s="1"/>
  <c r="R27" i="1"/>
  <c r="EC26" i="1"/>
  <c r="D16" i="12" s="1"/>
  <c r="DZ26" i="1"/>
  <c r="CY26" i="1"/>
  <c r="CM26" i="1"/>
  <c r="CI26" i="1"/>
  <c r="BW26" i="1"/>
  <c r="BY26" i="1" s="1"/>
  <c r="CA26" i="1" s="1"/>
  <c r="BT26" i="1"/>
  <c r="BH26" i="1"/>
  <c r="BJ26" i="1" s="1"/>
  <c r="BL26" i="1" s="1"/>
  <c r="BE26" i="1"/>
  <c r="BC26" i="1"/>
  <c r="AL26" i="1"/>
  <c r="AH26" i="1"/>
  <c r="AE26" i="1"/>
  <c r="A22" i="5" s="1"/>
  <c r="Z26" i="1"/>
  <c r="CJ26" i="1" s="1"/>
  <c r="R26" i="1"/>
  <c r="EC25" i="1"/>
  <c r="D15" i="12" s="1"/>
  <c r="DZ25" i="1"/>
  <c r="CY25" i="1"/>
  <c r="CM25" i="1"/>
  <c r="CJ25" i="1"/>
  <c r="CK25" i="1" s="1"/>
  <c r="CI25" i="1"/>
  <c r="CC25" i="1"/>
  <c r="CA25" i="1"/>
  <c r="D18" i="5" s="1"/>
  <c r="BY25" i="1"/>
  <c r="BT25" i="1"/>
  <c r="BL25" i="1"/>
  <c r="B18" i="5" s="1"/>
  <c r="BJ25" i="1"/>
  <c r="BE25" i="1"/>
  <c r="AL25" i="1"/>
  <c r="AH25" i="1"/>
  <c r="AE25" i="1"/>
  <c r="A18" i="5" s="1"/>
  <c r="Z25" i="1"/>
  <c r="R25" i="1"/>
  <c r="EC24" i="1"/>
  <c r="DZ24" i="1"/>
  <c r="CY24" i="1"/>
  <c r="CM24" i="1"/>
  <c r="CI24" i="1"/>
  <c r="BT24" i="1"/>
  <c r="BJ24" i="1"/>
  <c r="BL24" i="1" s="1"/>
  <c r="B20" i="5" s="1"/>
  <c r="B20" i="6" s="1"/>
  <c r="BE24" i="1"/>
  <c r="AL24" i="1"/>
  <c r="AE24" i="1"/>
  <c r="A20" i="5" s="1"/>
  <c r="A20" i="6" s="1"/>
  <c r="R24" i="1"/>
  <c r="EC23" i="1"/>
  <c r="DZ23" i="1"/>
  <c r="CY23" i="1"/>
  <c r="CI23" i="1"/>
  <c r="BT23" i="1"/>
  <c r="BL23" i="1"/>
  <c r="B5" i="5" s="1"/>
  <c r="B5" i="6" s="1"/>
  <c r="BJ23" i="1"/>
  <c r="BE23" i="1"/>
  <c r="BC23" i="1"/>
  <c r="AL23" i="1"/>
  <c r="AH23" i="1"/>
  <c r="AE23" i="1"/>
  <c r="A5" i="5" s="1"/>
  <c r="A5" i="6" s="1"/>
  <c r="R23" i="1"/>
  <c r="EC22" i="1"/>
  <c r="D14" i="12" s="1"/>
  <c r="DZ22" i="1"/>
  <c r="DD22" i="1"/>
  <c r="DD43" i="1" s="1"/>
  <c r="CY22" i="1"/>
  <c r="CM22" i="1"/>
  <c r="CJ22" i="1"/>
  <c r="CK22" i="1" s="1"/>
  <c r="CI22" i="1"/>
  <c r="CH22" i="1"/>
  <c r="CA22" i="1"/>
  <c r="D13" i="5" s="1"/>
  <c r="BY22" i="1"/>
  <c r="BW22" i="1"/>
  <c r="BT22" i="1"/>
  <c r="A9" i="8" s="1"/>
  <c r="BL22" i="1"/>
  <c r="B13" i="5" s="1"/>
  <c r="BJ22" i="1"/>
  <c r="BH22" i="1"/>
  <c r="BE22" i="1"/>
  <c r="BC22" i="1"/>
  <c r="AG22" i="1"/>
  <c r="AE22" i="1"/>
  <c r="A13" i="5" s="1"/>
  <c r="Z22" i="1"/>
  <c r="R22" i="1"/>
  <c r="EC21" i="1"/>
  <c r="D13" i="12" s="1"/>
  <c r="DZ21" i="1"/>
  <c r="CY21" i="1"/>
  <c r="CN21" i="1"/>
  <c r="CM21" i="1"/>
  <c r="CL21" i="1"/>
  <c r="CI21" i="1"/>
  <c r="CC21" i="1"/>
  <c r="CA21" i="1"/>
  <c r="D17" i="5" s="1"/>
  <c r="BY21" i="1"/>
  <c r="BT21" i="1"/>
  <c r="A8" i="8" s="1"/>
  <c r="BP21" i="1"/>
  <c r="B8" i="8" s="1"/>
  <c r="BL21" i="1"/>
  <c r="B17" i="5" s="1"/>
  <c r="BJ21" i="1"/>
  <c r="BE21" i="1"/>
  <c r="BC21" i="1"/>
  <c r="AL21" i="1"/>
  <c r="AG21" i="1"/>
  <c r="AE21" i="1"/>
  <c r="A17" i="5" s="1"/>
  <c r="Z21" i="1"/>
  <c r="CJ21" i="1" s="1"/>
  <c r="EC20" i="1"/>
  <c r="D12" i="12" s="1"/>
  <c r="DZ20" i="1"/>
  <c r="CY20" i="1"/>
  <c r="CM20" i="1"/>
  <c r="CL20" i="1"/>
  <c r="CI20" i="1"/>
  <c r="CG20" i="1"/>
  <c r="C7" i="8" s="1"/>
  <c r="CA20" i="1"/>
  <c r="CO20" i="1" s="1"/>
  <c r="BW20" i="1"/>
  <c r="BY20" i="1" s="1"/>
  <c r="BV20" i="1"/>
  <c r="BT20" i="1"/>
  <c r="A7" i="8" s="1"/>
  <c r="BP20" i="1"/>
  <c r="B7" i="8" s="1"/>
  <c r="BL20" i="1"/>
  <c r="B29" i="5" s="1"/>
  <c r="BJ20" i="1"/>
  <c r="BH20" i="1"/>
  <c r="BG20" i="1"/>
  <c r="BE20" i="1"/>
  <c r="BC20" i="1"/>
  <c r="AG20" i="1"/>
  <c r="AE20" i="1"/>
  <c r="A29" i="5" s="1"/>
  <c r="Z20" i="1"/>
  <c r="CJ20" i="1" s="1"/>
  <c r="EC19" i="1"/>
  <c r="D11" i="12" s="1"/>
  <c r="DZ19" i="1"/>
  <c r="CY19" i="1"/>
  <c r="CN19" i="1"/>
  <c r="CM19" i="1"/>
  <c r="CI19" i="1"/>
  <c r="CA19" i="1"/>
  <c r="D3" i="5" s="1"/>
  <c r="BY19" i="1"/>
  <c r="BT19" i="1"/>
  <c r="BJ19" i="1"/>
  <c r="BL19" i="1" s="1"/>
  <c r="BG19" i="1"/>
  <c r="BH19" i="1" s="1"/>
  <c r="BE19" i="1"/>
  <c r="BC19" i="1"/>
  <c r="AL19" i="1"/>
  <c r="AH19" i="1"/>
  <c r="AE19" i="1"/>
  <c r="A3" i="5" s="1"/>
  <c r="Z19" i="1"/>
  <c r="CJ19" i="1" s="1"/>
  <c r="CK19" i="1" s="1"/>
  <c r="EC18" i="1"/>
  <c r="D10" i="12" s="1"/>
  <c r="DZ18" i="1"/>
  <c r="CZ18" i="1"/>
  <c r="CZ41" i="1" s="1"/>
  <c r="CY18" i="1"/>
  <c r="CM18" i="1"/>
  <c r="CJ18" i="1"/>
  <c r="CK18" i="1" s="1"/>
  <c r="CI18" i="1"/>
  <c r="CA18" i="1"/>
  <c r="D26" i="5" s="1"/>
  <c r="BY18" i="1"/>
  <c r="BT18" i="1"/>
  <c r="BL18" i="1"/>
  <c r="B26" i="5" s="1"/>
  <c r="BJ18" i="1"/>
  <c r="BE18" i="1"/>
  <c r="BC18" i="1"/>
  <c r="AL18" i="1"/>
  <c r="AH18" i="1"/>
  <c r="AE18" i="1"/>
  <c r="A26" i="5" s="1"/>
  <c r="Z18" i="1"/>
  <c r="EC17" i="1"/>
  <c r="D9" i="12" s="1"/>
  <c r="DZ17" i="1"/>
  <c r="CY17" i="1"/>
  <c r="CM17" i="1"/>
  <c r="CI17" i="1"/>
  <c r="CH17" i="1"/>
  <c r="CG17" i="1"/>
  <c r="C6" i="8" s="1"/>
  <c r="BY17" i="1"/>
  <c r="CA17" i="1" s="1"/>
  <c r="BT17" i="1"/>
  <c r="A6" i="8" s="1"/>
  <c r="BP17" i="1"/>
  <c r="B6" i="8" s="1"/>
  <c r="BL17" i="1"/>
  <c r="B9" i="5" s="1"/>
  <c r="BJ17" i="1"/>
  <c r="BE17" i="1"/>
  <c r="BC17" i="1"/>
  <c r="AG17" i="1"/>
  <c r="AE17" i="1"/>
  <c r="A9" i="5" s="1"/>
  <c r="Z17" i="1"/>
  <c r="CJ17" i="1" s="1"/>
  <c r="EC16" i="1"/>
  <c r="DZ16" i="1"/>
  <c r="CY16" i="1"/>
  <c r="CM16" i="1"/>
  <c r="CI16" i="1"/>
  <c r="BV16" i="1"/>
  <c r="BW16" i="1" s="1"/>
  <c r="BY16" i="1" s="1"/>
  <c r="CA16" i="1" s="1"/>
  <c r="BT16" i="1"/>
  <c r="BJ16" i="1"/>
  <c r="BL16" i="1" s="1"/>
  <c r="BH16" i="1"/>
  <c r="BG16" i="1"/>
  <c r="BE16" i="1"/>
  <c r="AL16" i="1"/>
  <c r="AH16" i="1"/>
  <c r="AE16" i="1"/>
  <c r="A21" i="5" s="1"/>
  <c r="Z16" i="1"/>
  <c r="CJ16" i="1" s="1"/>
  <c r="EC15" i="1"/>
  <c r="D8" i="12" s="1"/>
  <c r="DZ15" i="1"/>
  <c r="CY15" i="1"/>
  <c r="CM15" i="1"/>
  <c r="CI15" i="1"/>
  <c r="BT15" i="1"/>
  <c r="BJ15" i="1"/>
  <c r="BL15" i="1" s="1"/>
  <c r="B6" i="5" s="1"/>
  <c r="B6" i="6" s="1"/>
  <c r="BE15" i="1"/>
  <c r="BC15" i="1"/>
  <c r="AL15" i="1"/>
  <c r="AH15" i="1"/>
  <c r="AE15" i="1"/>
  <c r="A6" i="5" s="1"/>
  <c r="A6" i="6" s="1"/>
  <c r="Z15" i="1"/>
  <c r="CJ15" i="1" s="1"/>
  <c r="R15" i="1"/>
  <c r="EC14" i="1"/>
  <c r="D7" i="12" s="1"/>
  <c r="DZ14" i="1"/>
  <c r="CY14" i="1"/>
  <c r="CM14" i="1"/>
  <c r="CI14" i="1"/>
  <c r="BT14" i="1"/>
  <c r="BL14" i="1"/>
  <c r="B14" i="5" s="1"/>
  <c r="B14" i="6" s="1"/>
  <c r="BE14" i="1"/>
  <c r="BC14" i="1"/>
  <c r="AL14" i="1"/>
  <c r="AH14" i="1"/>
  <c r="AE14" i="1"/>
  <c r="A14" i="5" s="1"/>
  <c r="A14" i="6" s="1"/>
  <c r="Z14" i="1"/>
  <c r="CJ14" i="1" s="1"/>
  <c r="EC13" i="1"/>
  <c r="D6" i="12" s="1"/>
  <c r="DZ13" i="1"/>
  <c r="CY13" i="1"/>
  <c r="CM13" i="1"/>
  <c r="CI13" i="1"/>
  <c r="BY13" i="1"/>
  <c r="CA13" i="1" s="1"/>
  <c r="BT13" i="1"/>
  <c r="A5" i="8" s="1"/>
  <c r="A4" i="9" s="1"/>
  <c r="BP13" i="1"/>
  <c r="B5" i="8" s="1"/>
  <c r="C4" i="9" s="1"/>
  <c r="BL13" i="1"/>
  <c r="BJ13" i="1"/>
  <c r="BE13" i="1"/>
  <c r="BC13" i="1"/>
  <c r="AL13" i="1"/>
  <c r="AG13" i="1"/>
  <c r="AE13" i="1"/>
  <c r="A12" i="5" s="1"/>
  <c r="EC12" i="1"/>
  <c r="DZ12" i="1"/>
  <c r="CY12" i="1"/>
  <c r="CM12" i="1"/>
  <c r="CI12" i="1"/>
  <c r="BT12" i="1"/>
  <c r="BL12" i="1"/>
  <c r="B4" i="5" s="1"/>
  <c r="B4" i="6" s="1"/>
  <c r="BJ12" i="1"/>
  <c r="BE12" i="1"/>
  <c r="AL12" i="1"/>
  <c r="AH12" i="1"/>
  <c r="AE12" i="1"/>
  <c r="A4" i="5" s="1"/>
  <c r="A4" i="6" s="1"/>
  <c r="EC11" i="1"/>
  <c r="D5" i="12" s="1"/>
  <c r="DZ11" i="1"/>
  <c r="CY11" i="1"/>
  <c r="CI11" i="1"/>
  <c r="CA11" i="1"/>
  <c r="D27" i="5" s="1"/>
  <c r="BY11" i="1"/>
  <c r="BT11" i="1"/>
  <c r="BJ11" i="1"/>
  <c r="BL11" i="1" s="1"/>
  <c r="BE11" i="1"/>
  <c r="BC11" i="1"/>
  <c r="AH11" i="1"/>
  <c r="AE11" i="1"/>
  <c r="A27" i="5" s="1"/>
  <c r="EC10" i="1"/>
  <c r="DZ10" i="1"/>
  <c r="CY10" i="1"/>
  <c r="CI10" i="1"/>
  <c r="BT10" i="1"/>
  <c r="A4" i="8" s="1"/>
  <c r="A3" i="9" s="1"/>
  <c r="BL10" i="1"/>
  <c r="B7" i="5" s="1"/>
  <c r="B7" i="6" s="1"/>
  <c r="BJ10" i="1"/>
  <c r="BE10" i="1"/>
  <c r="BC10" i="1"/>
  <c r="AL10" i="1"/>
  <c r="AG10" i="1"/>
  <c r="AE10" i="1"/>
  <c r="A7" i="5" s="1"/>
  <c r="A7" i="6" s="1"/>
  <c r="Z10" i="1"/>
  <c r="CJ10" i="1" s="1"/>
  <c r="EC9" i="1"/>
  <c r="D4" i="12" s="1"/>
  <c r="DZ9" i="1"/>
  <c r="CY9" i="1"/>
  <c r="CJ9" i="1"/>
  <c r="CI9" i="1"/>
  <c r="BT9" i="1"/>
  <c r="A3" i="8" s="1"/>
  <c r="A2" i="9" s="1"/>
  <c r="BL9" i="1"/>
  <c r="B19" i="5" s="1"/>
  <c r="B19" i="6" s="1"/>
  <c r="BJ9" i="1"/>
  <c r="BH9" i="1"/>
  <c r="BG9" i="1"/>
  <c r="BE9" i="1"/>
  <c r="BC9" i="1"/>
  <c r="AG9" i="1"/>
  <c r="AG41" i="1" s="1"/>
  <c r="AE9" i="1"/>
  <c r="A19" i="5" s="1"/>
  <c r="A19" i="6" s="1"/>
  <c r="EC8" i="1"/>
  <c r="D3" i="12" s="1"/>
  <c r="DZ8" i="1"/>
  <c r="CY8" i="1"/>
  <c r="CM8" i="1"/>
  <c r="CI8" i="1"/>
  <c r="CA8" i="1"/>
  <c r="CA49" i="1" s="1"/>
  <c r="BY8" i="1"/>
  <c r="BT8" i="1"/>
  <c r="BL8" i="1"/>
  <c r="B15" i="5" s="1"/>
  <c r="BJ8" i="1"/>
  <c r="BE8" i="1"/>
  <c r="BC8" i="1"/>
  <c r="AL8" i="1"/>
  <c r="AL41" i="1" s="1"/>
  <c r="AH8" i="1"/>
  <c r="AE8" i="1"/>
  <c r="A15" i="5" s="1"/>
  <c r="EC7" i="1"/>
  <c r="D2" i="12" s="1"/>
  <c r="DZ7" i="1"/>
  <c r="CY7" i="1"/>
  <c r="CI7" i="1"/>
  <c r="BT7" i="1"/>
  <c r="BE7" i="1"/>
  <c r="BC7" i="1"/>
  <c r="BC41" i="1" s="1"/>
  <c r="AH7" i="1"/>
  <c r="AH41" i="1" s="1"/>
  <c r="AE7" i="1"/>
  <c r="A30" i="5" s="1"/>
  <c r="R7" i="1"/>
  <c r="CG4" i="1"/>
  <c r="BP4" i="1"/>
  <c r="CM3" i="1"/>
  <c r="EC2" i="1"/>
  <c r="D1" i="12" s="1"/>
  <c r="CY2" i="1"/>
  <c r="CM2" i="1"/>
  <c r="CJ2" i="1"/>
  <c r="CI2" i="1"/>
  <c r="BT2" i="1"/>
  <c r="BE2" i="1"/>
  <c r="AE2" i="1"/>
  <c r="A1" i="5" s="1"/>
  <c r="Z2" i="1"/>
  <c r="A7" i="7" l="1"/>
  <c r="A12" i="6"/>
  <c r="A35" i="6"/>
  <c r="B19" i="7"/>
  <c r="B29" i="6"/>
  <c r="B39" i="6"/>
  <c r="D11" i="7"/>
  <c r="A18" i="6"/>
  <c r="A12" i="7"/>
  <c r="A40" i="6"/>
  <c r="D11" i="5"/>
  <c r="CO29" i="1"/>
  <c r="CL29" i="1"/>
  <c r="CC29" i="1"/>
  <c r="CC13" i="1"/>
  <c r="D22" i="5"/>
  <c r="CO26" i="1"/>
  <c r="CL26" i="1"/>
  <c r="B2" i="5"/>
  <c r="CC37" i="1"/>
  <c r="D17" i="7"/>
  <c r="B45" i="6"/>
  <c r="A14" i="7"/>
  <c r="A42" i="6"/>
  <c r="A22" i="6"/>
  <c r="B10" i="7"/>
  <c r="B16" i="6"/>
  <c r="D2" i="5"/>
  <c r="CO37" i="1"/>
  <c r="CL37" i="1"/>
  <c r="B21" i="5"/>
  <c r="CC16" i="1"/>
  <c r="D9" i="5"/>
  <c r="CN17" i="1"/>
  <c r="CL17" i="1"/>
  <c r="CC17" i="1"/>
  <c r="D12" i="5"/>
  <c r="CO13" i="1"/>
  <c r="CL13" i="1"/>
  <c r="B18" i="6"/>
  <c r="B12" i="7"/>
  <c r="CL16" i="1"/>
  <c r="D21" i="5"/>
  <c r="CN16" i="1"/>
  <c r="CC19" i="1"/>
  <c r="B3" i="5"/>
  <c r="B10" i="6"/>
  <c r="B5" i="7"/>
  <c r="A10" i="7"/>
  <c r="A38" i="6"/>
  <c r="A16" i="6"/>
  <c r="A1" i="6"/>
  <c r="A1" i="7"/>
  <c r="BL42" i="1"/>
  <c r="CC11" i="1"/>
  <c r="B27" i="5"/>
  <c r="B22" i="5"/>
  <c r="CC26" i="1"/>
  <c r="A31" i="6"/>
  <c r="A3" i="6"/>
  <c r="A3" i="7"/>
  <c r="A10" i="6"/>
  <c r="A33" i="6"/>
  <c r="A5" i="7"/>
  <c r="B23" i="6"/>
  <c r="B15" i="7"/>
  <c r="A12" i="9"/>
  <c r="A3" i="10"/>
  <c r="A6" i="9"/>
  <c r="A23" i="6"/>
  <c r="A15" i="7"/>
  <c r="A43" i="6"/>
  <c r="D10" i="7"/>
  <c r="B38" i="6"/>
  <c r="BL41" i="1"/>
  <c r="CG41" i="1"/>
  <c r="EC41" i="1"/>
  <c r="CP11" i="1"/>
  <c r="CP41" i="1" s="1"/>
  <c r="C11" i="9"/>
  <c r="D2" i="10"/>
  <c r="A39" i="6"/>
  <c r="A17" i="6"/>
  <c r="A11" i="7"/>
  <c r="A4" i="10"/>
  <c r="A7" i="9"/>
  <c r="A13" i="9"/>
  <c r="CO22" i="1"/>
  <c r="D5" i="7"/>
  <c r="B33" i="6"/>
  <c r="CN27" i="1"/>
  <c r="CC34" i="1"/>
  <c r="CC36" i="1"/>
  <c r="AE41" i="1"/>
  <c r="BP41" i="1"/>
  <c r="DV43" i="1"/>
  <c r="BP49" i="1"/>
  <c r="S27" i="2"/>
  <c r="Q27" i="2"/>
  <c r="Z27" i="1" s="1"/>
  <c r="CJ27" i="1" s="1"/>
  <c r="C36" i="6"/>
  <c r="E8" i="7"/>
  <c r="C19" i="7"/>
  <c r="C29" i="6"/>
  <c r="B26" i="6"/>
  <c r="B16" i="7"/>
  <c r="B36" i="6"/>
  <c r="D8" i="7"/>
  <c r="CC27" i="1"/>
  <c r="CK38" i="1"/>
  <c r="CA47" i="1"/>
  <c r="CA48" i="1"/>
  <c r="DD52" i="1"/>
  <c r="B11" i="4"/>
  <c r="E2" i="7"/>
  <c r="C30" i="6"/>
  <c r="E40" i="5"/>
  <c r="D29" i="5"/>
  <c r="A13" i="6"/>
  <c r="A36" i="6"/>
  <c r="A8" i="7"/>
  <c r="A6" i="10"/>
  <c r="A15" i="9"/>
  <c r="A9" i="9"/>
  <c r="B9" i="7"/>
  <c r="B15" i="6"/>
  <c r="CO8" i="1"/>
  <c r="B4" i="7"/>
  <c r="B9" i="6"/>
  <c r="CN18" i="1"/>
  <c r="CC22" i="1"/>
  <c r="CN25" i="1"/>
  <c r="D6" i="10"/>
  <c r="C15" i="9"/>
  <c r="H50" i="1"/>
  <c r="B28" i="6"/>
  <c r="B18" i="7"/>
  <c r="F43" i="1"/>
  <c r="DX43" i="1"/>
  <c r="DD44" i="1"/>
  <c r="DD45" i="1" s="1"/>
  <c r="BL54" i="1"/>
  <c r="BL58" i="1" s="1"/>
  <c r="S30" i="2"/>
  <c r="Q30" i="2"/>
  <c r="Z30" i="1" s="1"/>
  <c r="CJ30" i="1" s="1"/>
  <c r="C23" i="6"/>
  <c r="C15" i="7"/>
  <c r="D8" i="8"/>
  <c r="C7" i="9"/>
  <c r="B4" i="10"/>
  <c r="A37" i="6"/>
  <c r="A9" i="7"/>
  <c r="A15" i="6"/>
  <c r="A45" i="6"/>
  <c r="A17" i="7"/>
  <c r="A27" i="6"/>
  <c r="D6" i="8"/>
  <c r="B2" i="10"/>
  <c r="C5" i="9"/>
  <c r="A26" i="6"/>
  <c r="A44" i="6"/>
  <c r="A16" i="7"/>
  <c r="B31" i="6"/>
  <c r="D3" i="7"/>
  <c r="A6" i="7"/>
  <c r="A34" i="6"/>
  <c r="A11" i="6"/>
  <c r="B11" i="6"/>
  <c r="B6" i="7"/>
  <c r="A2" i="6"/>
  <c r="A2" i="7"/>
  <c r="A30" i="6"/>
  <c r="A28" i="6"/>
  <c r="A18" i="7"/>
  <c r="A46" i="6"/>
  <c r="CO38" i="1"/>
  <c r="S8" i="2"/>
  <c r="Q8" i="2"/>
  <c r="Z8" i="1" s="1"/>
  <c r="CJ8" i="1" s="1"/>
  <c r="CK8" i="1" s="1"/>
  <c r="Q37" i="2"/>
  <c r="Z37" i="1" s="1"/>
  <c r="CJ37" i="1" s="1"/>
  <c r="B40" i="2"/>
  <c r="B41" i="2" s="1"/>
  <c r="V42" i="2" s="1"/>
  <c r="B16" i="4"/>
  <c r="B24" i="4"/>
  <c r="D23" i="5"/>
  <c r="A11" i="9"/>
  <c r="A2" i="10"/>
  <c r="A5" i="9"/>
  <c r="B44" i="6"/>
  <c r="D16" i="7"/>
  <c r="CC20" i="1"/>
  <c r="CH21" i="1"/>
  <c r="B40" i="6"/>
  <c r="D12" i="7"/>
  <c r="AB43" i="1"/>
  <c r="DR43" i="1"/>
  <c r="CN56" i="1"/>
  <c r="S32" i="2"/>
  <c r="Q32" i="2"/>
  <c r="Z32" i="1" s="1"/>
  <c r="CJ32" i="1" s="1"/>
  <c r="B29" i="4"/>
  <c r="B12" i="5"/>
  <c r="D15" i="5"/>
  <c r="CA54" i="1"/>
  <c r="CA58" i="1" s="1"/>
  <c r="CC8" i="1"/>
  <c r="A4" i="7"/>
  <c r="A9" i="6"/>
  <c r="A32" i="6"/>
  <c r="C12" i="9"/>
  <c r="D3" i="10"/>
  <c r="B8" i="7"/>
  <c r="B13" i="6"/>
  <c r="CN36" i="1"/>
  <c r="D18" i="7"/>
  <c r="B46" i="6"/>
  <c r="CA41" i="1"/>
  <c r="BL47" i="1"/>
  <c r="BL48" i="1"/>
  <c r="H49" i="1"/>
  <c r="S13" i="2"/>
  <c r="Q13" i="2"/>
  <c r="Z13" i="1" s="1"/>
  <c r="CJ13" i="1" s="1"/>
  <c r="C6" i="4"/>
  <c r="B6" i="4"/>
  <c r="E9" i="7"/>
  <c r="C37" i="6"/>
  <c r="E13" i="7"/>
  <c r="C41" i="6"/>
  <c r="E17" i="7"/>
  <c r="C45" i="6"/>
  <c r="CC18" i="1"/>
  <c r="A21" i="6"/>
  <c r="A41" i="6"/>
  <c r="A13" i="7"/>
  <c r="A29" i="6"/>
  <c r="A47" i="6"/>
  <c r="A19" i="7"/>
  <c r="B3" i="10"/>
  <c r="C6" i="9"/>
  <c r="D7" i="8"/>
  <c r="CH20" i="1"/>
  <c r="CH49" i="1" s="1"/>
  <c r="B17" i="6"/>
  <c r="B11" i="7"/>
  <c r="A8" i="9"/>
  <c r="A5" i="10"/>
  <c r="A14" i="9"/>
  <c r="B6" i="10"/>
  <c r="D10" i="8"/>
  <c r="C9" i="9"/>
  <c r="CL27" i="1"/>
  <c r="CC38" i="1"/>
  <c r="DD41" i="1"/>
  <c r="DD48" i="1" s="1"/>
  <c r="DT43" i="1"/>
  <c r="BP47" i="1"/>
  <c r="BP48" i="1"/>
  <c r="P40" i="2"/>
  <c r="S7" i="2"/>
  <c r="S40" i="2" s="1"/>
  <c r="Q7" i="2"/>
  <c r="A14" i="4"/>
  <c r="DU43" i="1"/>
  <c r="H44" i="1"/>
  <c r="H42" i="1" s="1"/>
  <c r="BL49" i="1"/>
  <c r="Q12" i="2"/>
  <c r="Z12" i="1" s="1"/>
  <c r="CJ12" i="1" s="1"/>
  <c r="S18" i="2"/>
  <c r="S31" i="2"/>
  <c r="Q31" i="2"/>
  <c r="Z31" i="1" s="1"/>
  <c r="CJ31" i="1" s="1"/>
  <c r="S38" i="2"/>
  <c r="C22" i="4"/>
  <c r="B22" i="4"/>
  <c r="C32" i="6"/>
  <c r="E4" i="7"/>
  <c r="C13" i="6"/>
  <c r="E12" i="7"/>
  <c r="C14" i="7"/>
  <c r="C13" i="9"/>
  <c r="A5" i="18"/>
  <c r="D9" i="8"/>
  <c r="F19" i="16"/>
  <c r="F21" i="16"/>
  <c r="C14" i="9"/>
  <c r="B5" i="10"/>
  <c r="F3" i="16"/>
  <c r="F5" i="16"/>
  <c r="B4" i="4"/>
  <c r="B12" i="4"/>
  <c r="B20" i="4"/>
  <c r="B28" i="4"/>
  <c r="C38" i="6"/>
  <c r="E19" i="7"/>
  <c r="A19" i="17"/>
  <c r="C9" i="6"/>
  <c r="F20" i="16"/>
  <c r="F22" i="16"/>
  <c r="B47" i="6" l="1"/>
  <c r="D19" i="7"/>
  <c r="B3" i="6"/>
  <c r="B3" i="7"/>
  <c r="B42" i="6"/>
  <c r="D14" i="7"/>
  <c r="D7" i="7"/>
  <c r="B35" i="6"/>
  <c r="CC41" i="1"/>
  <c r="CC49" i="1"/>
  <c r="CC48" i="1"/>
  <c r="CC47" i="1"/>
  <c r="CN49" i="1"/>
  <c r="CN48" i="1"/>
  <c r="CN47" i="1"/>
  <c r="CN41" i="1"/>
  <c r="D2" i="7"/>
  <c r="B30" i="6"/>
  <c r="D43" i="5"/>
  <c r="D40" i="5"/>
  <c r="B22" i="6"/>
  <c r="B14" i="7"/>
  <c r="D13" i="7"/>
  <c r="B41" i="6"/>
  <c r="D9" i="7"/>
  <c r="B37" i="6"/>
  <c r="CH48" i="1"/>
  <c r="CH41" i="1"/>
  <c r="C14" i="4"/>
  <c r="B14" i="4"/>
  <c r="B7" i="7"/>
  <c r="B12" i="6"/>
  <c r="D15" i="7"/>
  <c r="B43" i="6"/>
  <c r="CH47" i="1"/>
  <c r="B17" i="7"/>
  <c r="B27" i="6"/>
  <c r="B32" i="6"/>
  <c r="D4" i="7"/>
  <c r="B2" i="6"/>
  <c r="B40" i="5"/>
  <c r="B2" i="7"/>
  <c r="B43" i="5"/>
  <c r="B34" i="6"/>
  <c r="D6" i="7"/>
  <c r="CK54" i="1"/>
  <c r="CK58" i="1" s="1"/>
  <c r="CK49" i="1"/>
  <c r="CK48" i="1"/>
  <c r="CK47" i="1"/>
  <c r="CK41" i="1"/>
  <c r="Q40" i="2"/>
  <c r="Z7" i="1"/>
  <c r="CN54" i="1"/>
  <c r="CN58" i="1" s="1"/>
  <c r="CO48" i="1"/>
  <c r="CO47" i="1"/>
  <c r="CO41" i="1"/>
  <c r="CO49" i="1"/>
  <c r="EA43" i="1"/>
  <c r="DS43" i="1"/>
  <c r="DY43" i="1"/>
  <c r="DW43" i="1"/>
  <c r="CL49" i="1"/>
  <c r="CL48" i="1"/>
  <c r="CL47" i="1"/>
  <c r="CL41" i="1"/>
  <c r="B13" i="7"/>
  <c r="B21" i="6"/>
  <c r="Z41" i="1" l="1"/>
  <c r="Z50" i="1" s="1"/>
  <c r="CJ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HH</author>
  </authors>
  <commentList>
    <comment ref="AB36" authorId="0" shapeId="0" xr:uid="{00000000-0006-0000-0000-000001000000}">
      <text>
        <r>
          <rPr>
            <sz val="10"/>
            <rFont val="Arial"/>
            <family val="2"/>
            <charset val="1"/>
          </rPr>
          <t>Lähettäjä: Dr. Leong Ming Chern &lt;mcleong@ijn.com.my&gt;
Lähetetty: maanantai 16. tammikuuta 2023 9.37Vastaanottaja: Hemilä, Harri O &lt;harri.hemila@helsinki.fi&gt;Aihe: RE: vitamini C and PH
Dear Dr. Hemilä,
Thank you for your email. We gave oral vitamin C supplement 1000mg daily via the Ryle’s tube. Under the National Institute of Health (NIH), the daily upper limit for vitamin C for 9-13 year olds is 1200mg and we settled for 1000mg daily.
Dr. MC Leong
Congenital Cardiologist</t>
        </r>
      </text>
    </comment>
  </commentList>
</comments>
</file>

<file path=xl/sharedStrings.xml><?xml version="1.0" encoding="utf-8"?>
<sst xmlns="http://schemas.openxmlformats.org/spreadsheetml/2006/main" count="1205" uniqueCount="467">
  <si>
    <t>Basic data</t>
  </si>
  <si>
    <t>Vitamin C and other vitamins</t>
  </si>
  <si>
    <t>Diagnosis</t>
  </si>
  <si>
    <t>PH diagnosis pulmonary pressure level</t>
  </si>
  <si>
    <t>Repeat ECHO or catheterization</t>
  </si>
  <si>
    <t>Lab data</t>
  </si>
  <si>
    <t>Duration before and after vitamin C</t>
  </si>
  <si>
    <t>Heart rate, blood pressure, etc</t>
  </si>
  <si>
    <t>Symptoms etc</t>
  </si>
  <si>
    <t>Ref</t>
  </si>
  <si>
    <t>Report</t>
  </si>
  <si>
    <t>Year</t>
  </si>
  <si>
    <t>Country</t>
  </si>
  <si>
    <t>Age</t>
  </si>
  <si>
    <t>Sex</t>
  </si>
  <si>
    <t>Autism</t>
  </si>
  <si>
    <t>Psychiatry</t>
  </si>
  <si>
    <t>Explicitly 
Poor diet</t>
  </si>
  <si>
    <t>Vitamin C
plasma</t>
  </si>
  <si>
    <t>Limit</t>
  </si>
  <si>
    <t>unit</t>
  </si>
  <si>
    <t>Vitamin C
in μM</t>
  </si>
  <si>
    <t>Thiamine</t>
  </si>
  <si>
    <t>B1
level</t>
  </si>
  <si>
    <t>B1
ref range</t>
  </si>
  <si>
    <t>B1
Supplement</t>
  </si>
  <si>
    <t>Vit C
Dose</t>
  </si>
  <si>
    <t>Vit C
po / iv</t>
  </si>
  <si>
    <t>ECHO</t>
  </si>
  <si>
    <t>PAH</t>
  </si>
  <si>
    <t>ECHO not PAH</t>
  </si>
  <si>
    <t>Catheterization</t>
  </si>
  <si>
    <t>CT</t>
  </si>
  <si>
    <t>VP scan</t>
  </si>
  <si>
    <t>CT or VP</t>
  </si>
  <si>
    <t>Pulmonary
emboli</t>
  </si>
  <si>
    <t>Not PAH</t>
  </si>
  <si>
    <t>Lower
Doppler</t>
  </si>
  <si>
    <t>PFT</t>
  </si>
  <si>
    <t>DLCO</t>
  </si>
  <si>
    <t>Others</t>
  </si>
  <si>
    <t>ECG</t>
  </si>
  <si>
    <t>RBBB</t>
  </si>
  <si>
    <t>Right
axis</t>
  </si>
  <si>
    <t>T changes</t>
  </si>
  <si>
    <t>P2 mentioned</t>
  </si>
  <si>
    <t>Pericardial effusion</t>
  </si>
  <si>
    <t>LV
Findings</t>
  </si>
  <si>
    <t>LV
pathology</t>
  </si>
  <si>
    <t>RV
Enlarged</t>
  </si>
  <si>
    <t>Septal
flattening</t>
  </si>
  <si>
    <t>Either RV enlargement or flatening</t>
  </si>
  <si>
    <t>Pulmonary
artery</t>
  </si>
  <si>
    <t>Tricuspid
velocity</t>
  </si>
  <si>
    <t>TRPG</t>
  </si>
  <si>
    <t>sPAP</t>
  </si>
  <si>
    <t>mPAP</t>
  </si>
  <si>
    <t>PVR
index</t>
  </si>
  <si>
    <t>BSA</t>
  </si>
  <si>
    <t>PVR</t>
  </si>
  <si>
    <t>Wedge P</t>
  </si>
  <si>
    <t>PAH
by authors</t>
  </si>
  <si>
    <t>mPAP
repeat</t>
  </si>
  <si>
    <t>Ratio
mPAP</t>
  </si>
  <si>
    <t>PVR
ratio</t>
  </si>
  <si>
    <t>Type</t>
  </si>
  <si>
    <t>BNP/NT-preBNP</t>
  </si>
  <si>
    <t>Elevated</t>
  </si>
  <si>
    <t>CRP</t>
  </si>
  <si>
    <t>ESR</t>
  </si>
  <si>
    <t>Hb</t>
  </si>
  <si>
    <t>Duration of the 
condition</t>
  </si>
  <si>
    <t>Benefit
On symptoms</t>
  </si>
  <si>
    <t>Benefit
Cardio</t>
  </si>
  <si>
    <t>HR</t>
  </si>
  <si>
    <t>BP
syst</t>
  </si>
  <si>
    <t>BP
diast</t>
  </si>
  <si>
    <t>Respir
Rate</t>
  </si>
  <si>
    <t>O2 
saturation</t>
  </si>
  <si>
    <t>Oxygen 
given</t>
  </si>
  <si>
    <t>Oxygen
given</t>
  </si>
  <si>
    <t>Dyspnea</t>
  </si>
  <si>
    <t>Edema</t>
  </si>
  <si>
    <t>Fatigue</t>
  </si>
  <si>
    <t>Chest 
pain</t>
  </si>
  <si>
    <t>Ecchymoses</t>
  </si>
  <si>
    <t>Pains</t>
  </si>
  <si>
    <t>Corkscrew
hairs</t>
  </si>
  <si>
    <t>Gums</t>
  </si>
  <si>
    <t>No gums</t>
  </si>
  <si>
    <t>Statement</t>
  </si>
  <si>
    <t>g/day</t>
  </si>
  <si>
    <t>VitC alone=1</t>
  </si>
  <si>
    <t>at start</t>
  </si>
  <si>
    <t>not clear</t>
  </si>
  <si>
    <t>excluded</t>
  </si>
  <si>
    <t>PE excl</t>
  </si>
  <si>
    <t>normal</t>
  </si>
  <si>
    <t>TRV</t>
  </si>
  <si>
    <t>TRV^2</t>
  </si>
  <si>
    <t>Calculated</t>
  </si>
  <si>
    <t>Reported</t>
  </si>
  <si>
    <t>Used value</t>
  </si>
  <si>
    <t>m^2</t>
  </si>
  <si>
    <t>dynes</t>
  </si>
  <si>
    <t>Wood</t>
  </si>
  <si>
    <t>mmHg</t>
  </si>
  <si>
    <t>Hemilä/deMan</t>
  </si>
  <si>
    <t>pre/post
Scurvy/vitC</t>
  </si>
  <si>
    <t>vitC alone</t>
  </si>
  <si>
    <t>C+others</t>
  </si>
  <si>
    <t>vitC po</t>
  </si>
  <si>
    <t>vitC iv</t>
  </si>
  <si>
    <t>pg/ml</t>
  </si>
  <si>
    <t>BNP</t>
  </si>
  <si>
    <t>mg/L</t>
  </si>
  <si>
    <t>mm/h</t>
  </si>
  <si>
    <t>Months</t>
  </si>
  <si>
    <t>days</t>
  </si>
  <si>
    <t>rounded</t>
  </si>
  <si>
    <t>Petecchia</t>
  </si>
  <si>
    <t>muscle / joints</t>
  </si>
  <si>
    <t>Thorough</t>
  </si>
  <si>
    <t>m/s</t>
  </si>
  <si>
    <t>TRPG+10</t>
  </si>
  <si>
    <t>Published values in red</t>
  </si>
  <si>
    <t>report</t>
  </si>
  <si>
    <t>Light blue shows the origin of the used mPAP values, unless red</t>
  </si>
  <si>
    <t>In some studies parallel estimates are available</t>
  </si>
  <si>
    <t>Abbas</t>
  </si>
  <si>
    <t>USA</t>
  </si>
  <si>
    <t>F</t>
  </si>
  <si>
    <t>Anxiety</t>
  </si>
  <si>
    <t>Poor</t>
  </si>
  <si>
    <t>Normal</t>
  </si>
  <si>
    <t>NA</t>
  </si>
  <si>
    <t>x</t>
  </si>
  <si>
    <t>Y</t>
  </si>
  <si>
    <t>“No evidence”</t>
  </si>
  <si>
    <t>N</t>
  </si>
  <si>
    <t>“rapidly”</t>
  </si>
  <si>
    <t>No, thorough report</t>
  </si>
  <si>
    <t>Abe</t>
  </si>
  <si>
    <t>M</t>
  </si>
  <si>
    <t>ASD</t>
  </si>
  <si>
    <t>Undetectable</t>
  </si>
  <si>
    <t>iv</t>
  </si>
  <si>
    <t>RBBB, T</t>
  </si>
  <si>
    <t>T</t>
  </si>
  <si>
    <t>“progressively thereafter”</t>
  </si>
  <si>
    <t>Gum hyperplasia</t>
  </si>
  <si>
    <t>Azar</t>
  </si>
  <si>
    <t>no signif</t>
  </si>
  <si>
    <t>decline</t>
  </si>
  <si>
    <t>RBBB, Raxis, ST, T</t>
  </si>
  <si>
    <t>P2</t>
  </si>
  <si>
    <t>LV hypertrophy, “normal function”</t>
  </si>
  <si>
    <t>Hypertrophy</t>
  </si>
  <si>
    <t>Yes</t>
  </si>
  <si>
    <t>Died before vitC</t>
  </si>
  <si>
    <t>died</t>
  </si>
  <si>
    <t>4 L/min</t>
  </si>
  <si>
    <t>Oral ulceration</t>
  </si>
  <si>
    <t>Azar2</t>
  </si>
  <si>
    <t>Anxiety,Depression</t>
  </si>
  <si>
    <t>Raxis</t>
  </si>
  <si>
    <t>“a few days”</t>
  </si>
  <si>
    <t>Gum bleeding</t>
  </si>
  <si>
    <t>Benhamed</t>
  </si>
  <si>
    <t>France</t>
  </si>
  <si>
    <t>Conte/Weber</t>
  </si>
  <si>
    <t>nM</t>
  </si>
  <si>
    <t>66-200</t>
  </si>
  <si>
    <t>po</t>
  </si>
  <si>
    <t>Coronary
angiography</t>
  </si>
  <si>
    <t>“normal LV function”, “mitral regurgitation”</t>
  </si>
  <si>
    <t>NT-pro-BNP</t>
  </si>
  <si>
    <t>Poor dentition</t>
  </si>
  <si>
    <t>Dean/Kim</t>
  </si>
  <si>
    <t>8-30</t>
  </si>
  <si>
    <t>“hyperdynamic LV”</t>
  </si>
  <si>
    <t>Duvall</t>
  </si>
  <si>
    <t>Low</t>
  </si>
  <si>
    <t>70-180</t>
  </si>
  <si>
    <t>RBBB, ST, T</t>
  </si>
  <si>
    <t>dilatation</t>
  </si>
  <si>
    <t>Hypoxia</t>
  </si>
  <si>
    <t>Face mask</t>
  </si>
  <si>
    <t>Ferreira/Cavalcante</t>
  </si>
  <si>
    <t>Brazil</t>
  </si>
  <si>
    <t>Paranoid</t>
  </si>
  <si>
    <t>STelev, Tinv</t>
  </si>
  <si>
    <t>tachycardia</t>
  </si>
  <si>
    <t>Frank</t>
  </si>
  <si>
    <t>NT-pro-BNP
BNP</t>
  </si>
  <si>
    <t>140
&lt;15</t>
  </si>
  <si>
    <t>Gayen</t>
  </si>
  <si>
    <t>Gum hypertrophy</t>
  </si>
  <si>
    <t>Ghulam</t>
  </si>
  <si>
    <t>Italy</t>
  </si>
  <si>
    <t>Cardiac MRI</t>
  </si>
  <si>
    <t>STdep, Tinv</t>
  </si>
  <si>
    <t>NO Classical signs of vitamin C deficiency ...  gum bleeding, ... In our patient the clinical presentation was very unusual…</t>
  </si>
  <si>
    <t>Gilmore/Al-Qadi</t>
  </si>
  <si>
    <t>?</t>
  </si>
  <si>
    <t>“no evidence” [LV problems]</t>
  </si>
  <si>
    <t>Ichiyanagi</t>
  </si>
  <si>
    <t>Japan</t>
  </si>
  <si>
    <t>21-82</t>
  </si>
  <si>
    <t>enlarged</t>
  </si>
  <si>
    <t>Kupari</t>
  </si>
  <si>
    <t>Finland</t>
  </si>
  <si>
    <t>Tflat</t>
  </si>
  <si>
    <t>NO, thorough report</t>
  </si>
  <si>
    <t>Kurnick</t>
  </si>
  <si>
    <t>pro-BNP</t>
  </si>
  <si>
    <t>"gradually showed improvement"</t>
  </si>
  <si>
    <t>NO  Vitamin C deficiency …  bleeding gums... As demonstrated in our patient…</t>
  </si>
  <si>
    <t>Mehta</t>
  </si>
  <si>
    <t>Anorexia</t>
  </si>
  <si>
    <t>88-192</t>
  </si>
  <si>
    <t>VC 70%</t>
  </si>
  <si>
    <t>Mertens-case3</t>
  </si>
  <si>
    <t>Food delusions</t>
  </si>
  <si>
    <t>“slightly low”</t>
  </si>
  <si>
    <t>FVC65%,FEV63%</t>
  </si>
  <si>
    <t>quite normal</t>
  </si>
  <si>
    <t>&gt;3</t>
  </si>
  <si>
    <t>Nagamatsu/McEvoy</t>
  </si>
  <si>
    <t>87-280</t>
  </si>
  <si>
    <t>FVC65%,FEV163%</t>
  </si>
  <si>
    <t xml:space="preserve"> T changes</t>
  </si>
  <si>
    <t>Normal LVEF</t>
  </si>
  <si>
    <t>2 L/min</t>
  </si>
  <si>
    <t>Gingivitis</t>
  </si>
  <si>
    <t>Nariai</t>
  </si>
  <si>
    <t>ng/mL</t>
  </si>
  <si>
    <t>24-66</t>
  </si>
  <si>
    <t>LV normal, D-shape LV</t>
  </si>
  <si>
    <t>Penn/Marston</t>
  </si>
  <si>
    <t>T inv</t>
  </si>
  <si>
    <t>LV normal</t>
  </si>
  <si>
    <t>Gum disease</t>
  </si>
  <si>
    <t>Petersen</t>
  </si>
  <si>
    <t>Quinn/Moore/Frank</t>
  </si>
  <si>
    <t>NO, Gingival bleeding and hyperplasia are characteristic signs.</t>
  </si>
  <si>
    <t>Ratanachu a</t>
  </si>
  <si>
    <t>Thailand</t>
  </si>
  <si>
    <t>0.15-0.3</t>
  </si>
  <si>
    <t>“in a few days”</t>
  </si>
  <si>
    <t>Ratanachu b</t>
  </si>
  <si>
    <t>Sakamornchai a</t>
  </si>
  <si>
    <t>D-shape LV</t>
  </si>
  <si>
    <t>10 L/min</t>
  </si>
  <si>
    <t>No, reported to other</t>
  </si>
  <si>
    <t>Sakamornchai b</t>
  </si>
  <si>
    <t>28-85</t>
  </si>
  <si>
    <t>R-axis, low QRS</t>
  </si>
  <si>
    <t>Shah</t>
  </si>
  <si>
    <t>&lt;7</t>
  </si>
  <si>
    <t>Hypertrophy, D-shape LV</t>
  </si>
  <si>
    <t>Singh</t>
  </si>
  <si>
    <t>Tan/Leong</t>
  </si>
  <si>
    <t>Malaysia</t>
  </si>
  <si>
    <t>uM</t>
  </si>
  <si>
    <t>NO gum bleeding</t>
  </si>
  <si>
    <t>Ueki</t>
  </si>
  <si>
    <t>x ?</t>
  </si>
  <si>
    <t>Valencia</t>
  </si>
  <si>
    <t>Total</t>
  </si>
  <si>
    <t>≤10</t>
  </si>
  <si>
    <t>:Reported</t>
  </si>
  <si>
    <t>Reported:</t>
  </si>
  <si>
    <t>Count &gt;0:</t>
  </si>
  <si>
    <t>Count:</t>
  </si>
  <si>
    <t>11-44</t>
  </si>
  <si>
    <t>:Undetect</t>
  </si>
  <si>
    <t>Normal:</t>
  </si>
  <si>
    <t>no mPAP</t>
  </si>
  <si>
    <t>Median</t>
  </si>
  <si>
    <t>Other</t>
  </si>
  <si>
    <t>Total
neuro-psych</t>
  </si>
  <si>
    <t>&lt;100:</t>
  </si>
  <si>
    <t>≤ 4d</t>
  </si>
  <si>
    <t>≤ 14d</t>
  </si>
  <si>
    <t>&gt;=100</t>
  </si>
  <si>
    <t>≥20:</t>
  </si>
  <si>
    <t>&lt;90:</t>
  </si>
  <si>
    <t>Min</t>
  </si>
  <si>
    <t>≥45</t>
  </si>
  <si>
    <t>vitC MW</t>
  </si>
  <si>
    <t>Satawiriya</t>
  </si>
  <si>
    <t>≤7d</t>
  </si>
  <si>
    <t>hypoxia:</t>
  </si>
  <si>
    <t>checking</t>
  </si>
  <si>
    <t>Case 1</t>
  </si>
  <si>
    <t>Scurvy caused increase:</t>
  </si>
  <si>
    <t>3 weeks and less</t>
  </si>
  <si>
    <t>8–14 d</t>
  </si>
  <si>
    <t>2019--</t>
  </si>
  <si>
    <t>Case 2</t>
  </si>
  <si>
    <t>1-2 months</t>
  </si>
  <si>
    <t>g/L</t>
  </si>
  <si>
    <t>Median:</t>
  </si>
  <si>
    <t>3 months and more</t>
  </si>
  <si>
    <t>Azar:no treatment</t>
  </si>
  <si>
    <t>Min:</t>
  </si>
  <si>
    <t>&gt;400:</t>
  </si>
  <si>
    <t>&lt;14 d</t>
  </si>
  <si>
    <t>With other vitamins</t>
  </si>
  <si>
    <t>Max:</t>
  </si>
  <si>
    <t>sum</t>
  </si>
  <si>
    <t>Max</t>
  </si>
  <si>
    <t>Sum:</t>
  </si>
  <si>
    <t>Sum for checking</t>
  </si>
  <si>
    <t>In numbers</t>
  </si>
  <si>
    <t>Difference</t>
  </si>
  <si>
    <t>Other vitamins and minerals</t>
  </si>
  <si>
    <t>Other
vitamins</t>
  </si>
  <si>
    <t>Minerals</t>
  </si>
  <si>
    <t>Other vitamins</t>
  </si>
  <si>
    <t>No other vitamins</t>
  </si>
  <si>
    <t>Other
vitamin
or drug</t>
  </si>
  <si>
    <t>PAH drugs</t>
  </si>
  <si>
    <t>Drugs for PAH</t>
  </si>
  <si>
    <t>After drugs</t>
  </si>
  <si>
    <t>Vitamins</t>
  </si>
  <si>
    <t>Yellows indicate primary PH drugs</t>
  </si>
  <si>
    <t>Antibiotics not included</t>
  </si>
  <si>
    <t>Diuretics</t>
  </si>
  <si>
    <t>Ca blocker</t>
  </si>
  <si>
    <t>iNO</t>
  </si>
  <si>
    <t>Prostacyclins</t>
  </si>
  <si>
    <t>PD 5 inhibitors</t>
  </si>
  <si>
    <t>Endothelin rec ant</t>
  </si>
  <si>
    <t>PD 3 inhibitors</t>
  </si>
  <si>
    <t>Unspecified pulmonary vasodilator</t>
  </si>
  <si>
    <t>Inotropic</t>
  </si>
  <si>
    <t>Died</t>
  </si>
  <si>
    <t>Sildenafil</t>
  </si>
  <si>
    <t>Tadalafil</t>
  </si>
  <si>
    <t>A</t>
  </si>
  <si>
    <t>Milrinone</t>
  </si>
  <si>
    <t>Dopamine</t>
  </si>
  <si>
    <t>Epinephrine</t>
  </si>
  <si>
    <t>Phenylephrine</t>
  </si>
  <si>
    <r>
      <rPr>
        <sz val="10"/>
        <rFont val="Arial"/>
        <family val="2"/>
        <charset val="1"/>
      </rPr>
      <t xml:space="preserve">was weaned off </t>
    </r>
    <r>
      <rPr>
        <b/>
        <sz val="10"/>
        <rFont val="Arial"/>
        <family val="2"/>
        <charset val="1"/>
      </rPr>
      <t>sildenafil</t>
    </r>
    <r>
      <rPr>
        <sz val="10"/>
        <rFont val="Arial"/>
        <family val="2"/>
        <charset val="1"/>
      </rPr>
      <t xml:space="preserve">. At one year, he remains asymptomatic with a reassuring echocardiogram. </t>
    </r>
  </si>
  <si>
    <t>B1</t>
  </si>
  <si>
    <t>B12</t>
  </si>
  <si>
    <t>D</t>
  </si>
  <si>
    <t>Multivitamin</t>
  </si>
  <si>
    <t>Fe</t>
  </si>
  <si>
    <t>Bosentan</t>
  </si>
  <si>
    <t>Oral anticoagulants</t>
  </si>
  <si>
    <r>
      <rPr>
        <sz val="10"/>
        <rFont val="Arial"/>
        <family val="2"/>
        <charset val="1"/>
      </rPr>
      <t xml:space="preserve">To confirm that the hypothesis of scurvy was correct, we discontinued </t>
    </r>
    <r>
      <rPr>
        <b/>
        <sz val="10"/>
        <rFont val="Arial"/>
        <family val="2"/>
        <charset val="1"/>
      </rPr>
      <t>bosentan</t>
    </r>
    <r>
      <rPr>
        <sz val="10"/>
        <rFont val="Arial"/>
        <family val="2"/>
        <charset val="1"/>
      </rPr>
      <t xml:space="preserve">, maintaining only vitamin C implementation. The patient felt progressively better throughout 1-year follow-up </t>
    </r>
  </si>
  <si>
    <t>Anesthesia</t>
  </si>
  <si>
    <r>
      <rPr>
        <sz val="10"/>
        <rFont val="Arial"/>
        <family val="2"/>
        <charset val="1"/>
      </rPr>
      <t xml:space="preserve">Six weeks later, TTE revealed sustained improvement of PH on vitamin C therapy without </t>
    </r>
    <r>
      <rPr>
        <b/>
        <sz val="10"/>
        <rFont val="Arial"/>
        <family val="2"/>
        <charset val="1"/>
      </rPr>
      <t>tadalafil</t>
    </r>
    <r>
      <rPr>
        <sz val="10"/>
        <rFont val="Arial"/>
        <family val="2"/>
        <charset val="1"/>
      </rPr>
      <t xml:space="preserve"> </t>
    </r>
  </si>
  <si>
    <t>Epoprostenol</t>
  </si>
  <si>
    <t>Prednisolon</t>
  </si>
  <si>
    <r>
      <rPr>
        <b/>
        <sz val="10"/>
        <rFont val="Arial"/>
        <family val="2"/>
        <charset val="1"/>
      </rPr>
      <t>Sildenafil</t>
    </r>
    <r>
      <rPr>
        <sz val="10"/>
        <rFont val="Arial"/>
        <family val="2"/>
        <charset val="1"/>
      </rPr>
      <t xml:space="preserve"> was discontinued after 3 weeks of administration. A complete reexamination was performed 8 weeks after starting vitamin C (5 weeks off </t>
    </r>
    <r>
      <rPr>
        <b/>
        <sz val="10"/>
        <rFont val="Arial"/>
        <family val="2"/>
        <charset val="1"/>
      </rPr>
      <t>sildenafil</t>
    </r>
    <r>
      <rPr>
        <sz val="10"/>
        <rFont val="Arial"/>
        <family val="2"/>
        <charset val="1"/>
      </rPr>
      <t>). The patient reported normal exercise capacity … Findings at catheterization and echocardiography showed that the pulmonary artery pressure, flow, and resistance were completely normal, as was right-sided heart function.</t>
    </r>
  </si>
  <si>
    <t>Dobutamine</t>
  </si>
  <si>
    <t>Norepineprine</t>
  </si>
  <si>
    <t>Nifedipine</t>
  </si>
  <si>
    <r>
      <rPr>
        <sz val="10"/>
        <rFont val="Arial"/>
        <family val="2"/>
        <charset val="1"/>
      </rPr>
      <t xml:space="preserve">She self-discontinued her </t>
    </r>
    <r>
      <rPr>
        <b/>
        <sz val="10"/>
        <rFont val="Arial"/>
        <family val="2"/>
        <charset val="1"/>
      </rPr>
      <t>nifedipine</t>
    </r>
    <r>
      <rPr>
        <sz val="10"/>
        <rFont val="Arial"/>
        <family val="2"/>
        <charset val="1"/>
      </rPr>
      <t xml:space="preserve"> after 1 week... A follow-up echocardiogram at 5 months demonstrated near complete resolution of her pulmonary hypertension with vitamin C supplementation alone and she was asymptomatic for any cardiopulmonary symptoms.</t>
    </r>
  </si>
  <si>
    <t>B1 (10 days)</t>
  </si>
  <si>
    <t>Furosemide</t>
  </si>
  <si>
    <t>Vasopressin</t>
  </si>
  <si>
    <r>
      <rPr>
        <sz val="10"/>
        <rFont val="Arial"/>
        <family val="2"/>
        <charset val="1"/>
      </rPr>
      <t xml:space="preserve">Repeat echocardiogram 6 weeks later demonstrated complete normalization of RV size and function... </t>
    </r>
    <r>
      <rPr>
        <b/>
        <sz val="10"/>
        <rFont val="Arial"/>
        <family val="2"/>
        <charset val="1"/>
      </rPr>
      <t>Sildenafil</t>
    </r>
    <r>
      <rPr>
        <sz val="10"/>
        <rFont val="Arial"/>
        <family val="2"/>
        <charset val="1"/>
      </rPr>
      <t xml:space="preserve"> was discontinued, and she has remained asymptomatic.</t>
    </r>
  </si>
  <si>
    <t>Vasopressor</t>
  </si>
  <si>
    <t>Zn</t>
  </si>
  <si>
    <t>Se</t>
  </si>
  <si>
    <t>Multivitamin?</t>
  </si>
  <si>
    <t>Fe?</t>
  </si>
  <si>
    <t>Folate</t>
  </si>
  <si>
    <t>Pulmonary vasodilator (not specified)</t>
  </si>
  <si>
    <r>
      <rPr>
        <sz val="10"/>
        <rFont val="Arial"/>
        <family val="2"/>
        <charset val="1"/>
      </rPr>
      <t xml:space="preserve">Echocardiogram at 2 months after discharge showed no evidence of PAH and the </t>
    </r>
    <r>
      <rPr>
        <b/>
        <sz val="10"/>
        <rFont val="Arial"/>
        <family val="2"/>
        <charset val="1"/>
      </rPr>
      <t>pulmonary vasodilator</t>
    </r>
    <r>
      <rPr>
        <sz val="10"/>
        <rFont val="Arial"/>
        <family val="2"/>
        <charset val="1"/>
      </rPr>
      <t xml:space="preserve"> could be weaned off.</t>
    </r>
  </si>
  <si>
    <t>B1(1 dose iv)</t>
  </si>
  <si>
    <t>Treprostinil</t>
  </si>
  <si>
    <t>Vasopressin
Steroids</t>
  </si>
  <si>
    <r>
      <rPr>
        <sz val="10"/>
        <rFont val="Arial"/>
        <family val="2"/>
        <charset val="1"/>
      </rPr>
      <t xml:space="preserve">One month after discharge showed normal RV size and function. </t>
    </r>
    <r>
      <rPr>
        <b/>
        <sz val="10"/>
        <rFont val="Arial"/>
        <family val="2"/>
        <charset val="1"/>
      </rPr>
      <t>Sildenafil</t>
    </r>
    <r>
      <rPr>
        <sz val="10"/>
        <rFont val="Arial"/>
        <family val="2"/>
        <charset val="1"/>
      </rPr>
      <t xml:space="preserve"> therapy has been tapered and she remeins asymptomatic.</t>
    </r>
  </si>
  <si>
    <t>Diuretic</t>
  </si>
  <si>
    <t>Phosphodiesterase 5 inhibitor</t>
  </si>
  <si>
    <t>Endothelin rec antagonist</t>
  </si>
  <si>
    <t>Macitentan</t>
  </si>
  <si>
    <t>Total:</t>
  </si>
  <si>
    <t>No PAH drugs, no other vitamins:</t>
  </si>
  <si>
    <t>Azar died</t>
  </si>
  <si>
    <t>No PH Drugs:</t>
  </si>
  <si>
    <t>Total N=</t>
  </si>
  <si>
    <t>Symptom</t>
  </si>
  <si>
    <t>Cases</t>
  </si>
  <si>
    <t>%</t>
  </si>
  <si>
    <t>Chest pain</t>
  </si>
  <si>
    <t>Petecchiae, ecchymoses</t>
  </si>
  <si>
    <t>Pains in muscles and joints</t>
  </si>
  <si>
    <t>Corkscrew hairs</t>
  </si>
  <si>
    <t>Day</t>
  </si>
  <si>
    <t>Day14</t>
  </si>
  <si>
    <t>Censored</t>
  </si>
  <si>
    <t>time0</t>
  </si>
  <si>
    <t>time1</t>
  </si>
  <si>
    <t>N:</t>
  </si>
  <si>
    <t>time</t>
  </si>
  <si>
    <t>mPAP0</t>
  </si>
  <si>
    <t>mPAP1</t>
  </si>
  <si>
    <t>Before</t>
  </si>
  <si>
    <t>After</t>
  </si>
  <si>
    <t>Raport</t>
  </si>
  <si>
    <t>PVR0</t>
  </si>
  <si>
    <t>PVR1</t>
  </si>
  <si>
    <t>Elevation</t>
  </si>
  <si>
    <t>Time</t>
  </si>
  <si>
    <t>RR_hi</t>
  </si>
  <si>
    <t>RR_lo</t>
  </si>
  <si>
    <t>HR_hi</t>
  </si>
  <si>
    <t>HR_lo</t>
  </si>
  <si>
    <t>BP</t>
  </si>
  <si>
    <t>RR</t>
  </si>
  <si>
    <t>TRvelocity</t>
  </si>
  <si>
    <t>TimeH</t>
  </si>
  <si>
    <t>TRPG_Ichi</t>
  </si>
  <si>
    <t>TAPSE</t>
  </si>
  <si>
    <t>T2</t>
  </si>
  <si>
    <t>RVRA</t>
  </si>
  <si>
    <t>VCI</t>
  </si>
  <si>
    <t>LVEI</t>
  </si>
  <si>
    <t>LVEI2</t>
  </si>
  <si>
    <t>mPAP2</t>
  </si>
  <si>
    <t>RV_Area</t>
  </si>
  <si>
    <t>Eccentricity</t>
  </si>
  <si>
    <t>RV_ratio</t>
  </si>
  <si>
    <t>RealTime</t>
  </si>
  <si>
    <t>RV FAC</t>
  </si>
  <si>
    <t>Measurement</t>
  </si>
  <si>
    <t>first</t>
  </si>
  <si>
    <t>second</t>
  </si>
  <si>
    <t>Change</t>
  </si>
  <si>
    <t>third</t>
  </si>
  <si>
    <t>discharge</t>
  </si>
  <si>
    <t>4 months</t>
  </si>
  <si>
    <t>D-dimer</t>
  </si>
  <si>
    <t>IL-6</t>
  </si>
  <si>
    <t>IL-8</t>
  </si>
  <si>
    <t>IL-18</t>
  </si>
  <si>
    <t>8 weeks</t>
  </si>
  <si>
    <t>Repeat time</t>
  </si>
  <si>
    <t>Weeks</t>
  </si>
  <si>
    <t>Ferreira</t>
  </si>
  <si>
    <t>Sakamornchai case 2 milk:</t>
  </si>
  <si>
    <t>ounces</t>
  </si>
  <si>
    <t>grams</t>
  </si>
  <si>
    <t>Hu</t>
  </si>
  <si>
    <t>VitC</t>
  </si>
  <si>
    <t>Placebo</t>
  </si>
  <si>
    <t>Meters</t>
  </si>
  <si>
    <t>Percentages</t>
  </si>
  <si>
    <t>6MWT</t>
  </si>
  <si>
    <t>Group I</t>
  </si>
  <si>
    <t>meters</t>
  </si>
  <si>
    <t>Group II</t>
  </si>
  <si>
    <t>Mean</t>
  </si>
  <si>
    <t>Words</t>
  </si>
  <si>
    <t>Intro Methods</t>
  </si>
  <si>
    <t>Results Discussion</t>
  </si>
  <si>
    <t>RCT problems</t>
  </si>
  <si>
    <t>Bias</t>
  </si>
  <si>
    <t>After removal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</si>
</sst>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%"/>
    <numFmt numFmtId="166" formatCode="0.000"/>
    <numFmt numFmtId="167" formatCode="m/d/yyyy"/>
    <numFmt numFmtId="168" formatCode="0.0%"/>
  </numFmts>
  <fonts count="21" x14ac:knownFonts="1">
    <font>
      <sz val="10"/>
      <name val="Arial"/>
      <family val="2"/>
      <charset val="1"/>
    </font>
    <font>
      <b/>
      <sz val="24"/>
      <color rgb="FF000000"/>
      <name val="Arial"/>
      <family val="2"/>
      <charset val="1"/>
    </font>
    <font>
      <b/>
      <i/>
      <u/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6"/>
      <name val="Arial"/>
      <family val="2"/>
      <charset val="1"/>
    </font>
    <font>
      <b/>
      <sz val="16"/>
      <color rgb="FF000000"/>
      <name val="Arial"/>
      <family val="2"/>
      <charset val="1"/>
    </font>
    <font>
      <sz val="16"/>
      <name val="Arial"/>
      <family val="2"/>
      <charset val="1"/>
    </font>
    <font>
      <sz val="12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trike/>
      <sz val="10"/>
      <color rgb="FF000000"/>
      <name val="Arial"/>
      <family val="2"/>
      <charset val="1"/>
    </font>
    <font>
      <sz val="12"/>
      <color rgb="FF000000"/>
      <name val="Times New Roman"/>
      <family val="1"/>
      <charset val="1"/>
    </font>
    <font>
      <strike/>
      <sz val="10"/>
      <name val="Arial"/>
      <family val="2"/>
      <charset val="1"/>
    </font>
    <font>
      <sz val="14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5EB91E"/>
        <bgColor rgb="FF339966"/>
      </patternFill>
    </fill>
    <fill>
      <patternFill patternType="solid">
        <fgColor rgb="FFFFBF00"/>
        <bgColor rgb="FFE8A202"/>
      </patternFill>
    </fill>
    <fill>
      <patternFill patternType="solid">
        <fgColor rgb="FF729FCF"/>
        <bgColor rgb="FF969696"/>
      </patternFill>
    </fill>
    <fill>
      <patternFill patternType="solid">
        <fgColor rgb="FFAFD095"/>
        <bgColor rgb="FFB4C7DC"/>
      </patternFill>
    </fill>
    <fill>
      <patternFill patternType="solid">
        <fgColor rgb="FFFF8000"/>
        <bgColor rgb="FFEA7500"/>
      </patternFill>
    </fill>
    <fill>
      <patternFill patternType="solid">
        <fgColor rgb="FFEA7500"/>
        <bgColor rgb="FFFF8000"/>
      </patternFill>
    </fill>
    <fill>
      <patternFill patternType="solid">
        <fgColor rgb="FFB4C7DC"/>
        <bgColor rgb="FFCCCCFF"/>
      </patternFill>
    </fill>
    <fill>
      <patternFill patternType="solid">
        <fgColor rgb="FFE8A202"/>
        <bgColor rgb="FFFFBF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0000"/>
        <bgColor rgb="FF993300"/>
      </patternFill>
    </fill>
    <fill>
      <patternFill patternType="solid">
        <fgColor rgb="FFE8F2A1"/>
        <bgColor rgb="FFFFFFCC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 applyBorder="0" applyProtection="0"/>
    <xf numFmtId="0" fontId="2" fillId="0" borderId="0" applyBorder="0" applyProtection="0"/>
  </cellStyleXfs>
  <cellXfs count="20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wrapText="1"/>
    </xf>
    <xf numFmtId="0" fontId="5" fillId="6" borderId="0" xfId="0" applyFont="1" applyFill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left"/>
    </xf>
    <xf numFmtId="0" fontId="5" fillId="7" borderId="0" xfId="0" applyFont="1" applyFill="1" applyAlignment="1">
      <alignment horizontal="left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5" fillId="8" borderId="0" xfId="0" applyFont="1" applyFill="1" applyAlignment="1">
      <alignment horizontal="left"/>
    </xf>
    <xf numFmtId="164" fontId="5" fillId="3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3" borderId="0" xfId="0" applyFont="1" applyFill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5" fillId="3" borderId="1" xfId="0" applyNumberFormat="1" applyFont="1" applyFill="1" applyBorder="1" applyAlignment="1">
      <alignment horizontal="right"/>
    </xf>
    <xf numFmtId="1" fontId="4" fillId="0" borderId="1" xfId="0" applyNumberFormat="1" applyFont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0" fillId="0" borderId="1" xfId="0" applyBorder="1"/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4" fillId="7" borderId="0" xfId="0" applyFont="1" applyFill="1" applyAlignment="1">
      <alignment horizontal="center"/>
    </xf>
    <xf numFmtId="2" fontId="4" fillId="8" borderId="0" xfId="0" applyNumberFormat="1" applyFont="1" applyFill="1" applyAlignment="1">
      <alignment horizontal="center"/>
    </xf>
    <xf numFmtId="2" fontId="5" fillId="3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center"/>
    </xf>
    <xf numFmtId="2" fontId="4" fillId="3" borderId="0" xfId="0" applyNumberFormat="1" applyFont="1" applyFill="1" applyAlignment="1">
      <alignment horizontal="center"/>
    </xf>
    <xf numFmtId="164" fontId="4" fillId="5" borderId="0" xfId="0" applyNumberFormat="1" applyFont="1" applyFill="1" applyAlignment="1">
      <alignment horizontal="center"/>
    </xf>
    <xf numFmtId="0" fontId="3" fillId="0" borderId="2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/>
    </xf>
    <xf numFmtId="0" fontId="4" fillId="0" borderId="2" xfId="0" applyFon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5" fillId="3" borderId="2" xfId="0" applyNumberFormat="1" applyFont="1" applyFill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0" fillId="0" borderId="2" xfId="0" applyBorder="1"/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7" borderId="1" xfId="0" applyFont="1" applyFill="1" applyBorder="1" applyAlignment="1">
      <alignment horizontal="center"/>
    </xf>
    <xf numFmtId="2" fontId="4" fillId="8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164" fontId="4" fillId="5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2" fontId="4" fillId="0" borderId="0" xfId="0" applyNumberFormat="1" applyFont="1" applyAlignment="1">
      <alignment horizontal="center"/>
    </xf>
    <xf numFmtId="0" fontId="4" fillId="5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/>
    <xf numFmtId="0" fontId="0" fillId="0" borderId="2" xfId="0" applyBorder="1" applyAlignment="1">
      <alignment horizontal="left"/>
    </xf>
    <xf numFmtId="0" fontId="10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2" fontId="4" fillId="8" borderId="2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0" fontId="9" fillId="0" borderId="2" xfId="0" applyFont="1" applyBorder="1"/>
    <xf numFmtId="0" fontId="0" fillId="0" borderId="1" xfId="0" applyBorder="1" applyAlignment="1">
      <alignment horizontal="left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164" fontId="0" fillId="0" borderId="2" xfId="0" applyNumberFormat="1" applyBorder="1" applyAlignment="1">
      <alignment horizontal="center"/>
    </xf>
    <xf numFmtId="0" fontId="4" fillId="0" borderId="2" xfId="0" applyFont="1" applyBorder="1"/>
    <xf numFmtId="164" fontId="4" fillId="5" borderId="2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2" fillId="7" borderId="1" xfId="0" applyFont="1" applyFill="1" applyBorder="1" applyAlignment="1">
      <alignment horizontal="center"/>
    </xf>
    <xf numFmtId="164" fontId="4" fillId="7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/>
    </xf>
    <xf numFmtId="0" fontId="9" fillId="0" borderId="1" xfId="0" applyFont="1" applyBorder="1"/>
    <xf numFmtId="0" fontId="5" fillId="7" borderId="1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2" fontId="5" fillId="3" borderId="2" xfId="0" applyNumberFormat="1" applyFont="1" applyFill="1" applyBorder="1" applyAlignment="1">
      <alignment horizontal="right"/>
    </xf>
    <xf numFmtId="2" fontId="4" fillId="3" borderId="1" xfId="0" applyNumberFormat="1" applyFont="1" applyFill="1" applyBorder="1"/>
    <xf numFmtId="164" fontId="0" fillId="0" borderId="0" xfId="0" applyNumberFormat="1" applyAlignment="1">
      <alignment horizontal="left"/>
    </xf>
    <xf numFmtId="2" fontId="5" fillId="3" borderId="0" xfId="0" applyNumberFormat="1" applyFont="1" applyFill="1" applyAlignment="1">
      <alignment horizontal="right"/>
    </xf>
    <xf numFmtId="164" fontId="0" fillId="0" borderId="2" xfId="0" applyNumberFormat="1" applyBorder="1" applyAlignment="1">
      <alignment horizontal="left"/>
    </xf>
    <xf numFmtId="0" fontId="4" fillId="5" borderId="1" xfId="0" applyFont="1" applyFill="1" applyBorder="1"/>
    <xf numFmtId="1" fontId="4" fillId="9" borderId="2" xfId="0" applyNumberFormat="1" applyFont="1" applyFill="1" applyBorder="1" applyAlignment="1">
      <alignment horizontal="center"/>
    </xf>
    <xf numFmtId="164" fontId="5" fillId="0" borderId="1" xfId="0" applyNumberFormat="1" applyFont="1" applyBorder="1"/>
    <xf numFmtId="1" fontId="4" fillId="0" borderId="1" xfId="0" applyNumberFormat="1" applyFont="1" applyBorder="1"/>
    <xf numFmtId="164" fontId="4" fillId="0" borderId="1" xfId="0" applyNumberFormat="1" applyFont="1" applyBorder="1"/>
    <xf numFmtId="0" fontId="13" fillId="0" borderId="0" xfId="0" applyFont="1" applyAlignment="1">
      <alignment horizontal="center"/>
    </xf>
    <xf numFmtId="1" fontId="4" fillId="9" borderId="0" xfId="0" applyNumberFormat="1" applyFont="1" applyFill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3" fillId="0" borderId="0" xfId="0" applyFont="1"/>
    <xf numFmtId="0" fontId="5" fillId="0" borderId="0" xfId="0" applyFont="1" applyAlignment="1">
      <alignment horizontal="right"/>
    </xf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right" wrapText="1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left"/>
    </xf>
    <xf numFmtId="0" fontId="3" fillId="10" borderId="0" xfId="0" applyFont="1" applyFill="1" applyAlignment="1">
      <alignment horizontal="center"/>
    </xf>
    <xf numFmtId="0" fontId="4" fillId="10" borderId="1" xfId="0" applyFont="1" applyFill="1" applyBorder="1" applyAlignment="1">
      <alignment horizontal="center"/>
    </xf>
    <xf numFmtId="164" fontId="4" fillId="10" borderId="0" xfId="0" applyNumberFormat="1" applyFont="1" applyFill="1" applyAlignment="1">
      <alignment horizontal="center"/>
    </xf>
    <xf numFmtId="2" fontId="0" fillId="10" borderId="0" xfId="0" applyNumberFormat="1" applyFill="1" applyAlignment="1">
      <alignment horizontal="center"/>
    </xf>
    <xf numFmtId="2" fontId="5" fillId="10" borderId="1" xfId="0" applyNumberFormat="1" applyFont="1" applyFill="1" applyBorder="1" applyAlignment="1">
      <alignment horizontal="center"/>
    </xf>
    <xf numFmtId="1" fontId="5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15" fillId="10" borderId="0" xfId="0" applyFont="1" applyFill="1" applyAlignment="1">
      <alignment horizontal="right"/>
    </xf>
    <xf numFmtId="0" fontId="15" fillId="10" borderId="0" xfId="0" applyFont="1" applyFill="1" applyAlignment="1">
      <alignment horizontal="center"/>
    </xf>
    <xf numFmtId="166" fontId="15" fillId="10" borderId="0" xfId="0" applyNumberFormat="1" applyFont="1" applyFill="1" applyAlignment="1">
      <alignment horizontal="center"/>
    </xf>
    <xf numFmtId="0" fontId="5" fillId="10" borderId="0" xfId="0" applyFont="1" applyFill="1" applyAlignment="1">
      <alignment horizontal="center"/>
    </xf>
    <xf numFmtId="0" fontId="3" fillId="10" borderId="0" xfId="0" applyFont="1" applyFill="1" applyAlignment="1">
      <alignment horizontal="left"/>
    </xf>
    <xf numFmtId="0" fontId="3" fillId="10" borderId="0" xfId="0" applyFont="1" applyFill="1" applyAlignment="1">
      <alignment horizontal="center" wrapText="1"/>
    </xf>
    <xf numFmtId="0" fontId="0" fillId="10" borderId="0" xfId="0" applyFill="1" applyAlignment="1">
      <alignment horizontal="center"/>
    </xf>
    <xf numFmtId="0" fontId="0" fillId="10" borderId="0" xfId="0" applyFill="1" applyAlignment="1">
      <alignment horizontal="left"/>
    </xf>
    <xf numFmtId="0" fontId="0" fillId="12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1" borderId="0" xfId="0" applyFill="1" applyAlignment="1">
      <alignment horizontal="left"/>
    </xf>
    <xf numFmtId="0" fontId="0" fillId="0" borderId="0" xfId="0" applyAlignment="1">
      <alignment horizontal="left" wrapText="1"/>
    </xf>
    <xf numFmtId="0" fontId="0" fillId="10" borderId="0" xfId="0" applyFill="1" applyAlignment="1">
      <alignment horizontal="left" wrapText="1"/>
    </xf>
    <xf numFmtId="0" fontId="3" fillId="12" borderId="0" xfId="0" applyFont="1" applyFill="1" applyAlignment="1">
      <alignment horizontal="right"/>
    </xf>
    <xf numFmtId="0" fontId="3" fillId="12" borderId="0" xfId="0" applyFont="1" applyFill="1" applyAlignment="1">
      <alignment horizontal="center"/>
    </xf>
    <xf numFmtId="0" fontId="3" fillId="10" borderId="0" xfId="0" applyFont="1" applyFill="1" applyAlignment="1">
      <alignment horizontal="right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center"/>
    </xf>
    <xf numFmtId="0" fontId="16" fillId="0" borderId="0" xfId="0" applyFont="1"/>
    <xf numFmtId="165" fontId="16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 wrapText="1"/>
    </xf>
    <xf numFmtId="166" fontId="0" fillId="0" borderId="0" xfId="0" applyNumberFormat="1" applyAlignment="1">
      <alignment horizontal="center"/>
    </xf>
    <xf numFmtId="166" fontId="3" fillId="0" borderId="0" xfId="0" applyNumberFormat="1" applyFont="1" applyAlignment="1">
      <alignment horizontal="center"/>
    </xf>
    <xf numFmtId="2" fontId="0" fillId="0" borderId="0" xfId="0" applyNumberFormat="1"/>
    <xf numFmtId="166" fontId="0" fillId="0" borderId="0" xfId="0" applyNumberFormat="1"/>
    <xf numFmtId="164" fontId="0" fillId="0" borderId="0" xfId="0" applyNumberForma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3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3" fillId="10" borderId="0" xfId="0" applyFont="1" applyFill="1"/>
    <xf numFmtId="165" fontId="0" fillId="13" borderId="0" xfId="0" applyNumberFormat="1" applyFill="1"/>
    <xf numFmtId="168" fontId="0" fillId="0" borderId="0" xfId="0" applyNumberFormat="1"/>
  </cellXfs>
  <cellStyles count="3">
    <cellStyle name="Normaali" xfId="0" builtinId="0"/>
    <cellStyle name="Otsikko 3" xfId="1" xr:uid="{00000000-0005-0000-0000-000006000000}"/>
    <cellStyle name="Tulos 1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CCFFFF"/>
      <rgbColor rgb="FF660066"/>
      <rgbColor rgb="FFFF800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AFD095"/>
      <rgbColor rgb="FFFF99CC"/>
      <rgbColor rgb="FFCC99FF"/>
      <rgbColor rgb="FFFFCC99"/>
      <rgbColor rgb="FF3366FF"/>
      <rgbColor rgb="FF33CCCC"/>
      <rgbColor rgb="FF5EB91E"/>
      <rgbColor rgb="FFFFBF00"/>
      <rgbColor rgb="FFE8A202"/>
      <rgbColor rgb="FFEA75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C76"/>
  <sheetViews>
    <sheetView tabSelected="1" topLeftCell="A3" zoomScale="90" zoomScaleNormal="90" workbookViewId="0">
      <pane xSplit="7815" ySplit="2865" topLeftCell="BJ1" activePane="bottomRight"/>
      <selection pane="topRight" activeCell="BJ1" sqref="BJ1"/>
      <selection pane="bottomLeft"/>
      <selection pane="bottomRight" activeCell="BO12" sqref="BO12"/>
    </sheetView>
  </sheetViews>
  <sheetFormatPr defaultColWidth="11.42578125" defaultRowHeight="12.75" x14ac:dyDescent="0.2"/>
  <cols>
    <col min="1" max="1" width="6.85546875" style="1" customWidth="1"/>
    <col min="2" max="2" width="20.28515625" style="2" customWidth="1"/>
    <col min="3" max="3" width="7.42578125" style="3" customWidth="1"/>
    <col min="4" max="4" width="7.85546875" style="3" customWidth="1"/>
    <col min="5" max="5" width="9.28515625" style="3" customWidth="1"/>
    <col min="6" max="6" width="9.5703125" style="3" customWidth="1"/>
    <col min="7" max="7" width="6.28515625" style="3" customWidth="1"/>
    <col min="8" max="8" width="8" style="3" customWidth="1"/>
    <col min="9" max="9" width="2.42578125" style="4" customWidth="1"/>
    <col min="10" max="10" width="8.7109375" style="3" customWidth="1"/>
    <col min="11" max="11" width="9" style="3" customWidth="1"/>
    <col min="12" max="12" width="21.7109375" style="5" customWidth="1"/>
    <col min="13" max="13" width="11" style="5" customWidth="1"/>
    <col min="14" max="14" width="11.42578125" style="3"/>
    <col min="15" max="15" width="15.28515625" style="5" customWidth="1"/>
    <col min="16" max="16" width="12" style="5" customWidth="1"/>
    <col min="17" max="17" width="12.5703125" style="3" customWidth="1"/>
    <col min="18" max="18" width="11.7109375" style="3" customWidth="1"/>
    <col min="19" max="19" width="11.28515625" style="5" customWidth="1"/>
    <col min="20" max="20" width="6.7109375" style="5" customWidth="1"/>
    <col min="21" max="21" width="10.42578125" style="5" customWidth="1"/>
    <col min="22" max="22" width="12.5703125" style="5" customWidth="1"/>
    <col min="23" max="23" width="12.85546875" style="5" customWidth="1"/>
    <col min="24" max="24" width="6.7109375" style="5" customWidth="1"/>
    <col min="25" max="25" width="9.42578125" style="3" customWidth="1"/>
    <col min="26" max="26" width="18.7109375" style="3" customWidth="1"/>
    <col min="27" max="27" width="10.140625" style="3" customWidth="1"/>
    <col min="28" max="28" width="9.28515625" style="3" customWidth="1"/>
    <col min="29" max="29" width="12.42578125" style="3" customWidth="1"/>
    <col min="30" max="30" width="9.42578125" style="3" customWidth="1"/>
    <col min="31" max="31" width="21.7109375" style="2" customWidth="1"/>
    <col min="32" max="33" width="8.5703125" style="3" customWidth="1"/>
    <col min="34" max="34" width="14.28515625" style="3" customWidth="1"/>
    <col min="35" max="35" width="17" style="3" customWidth="1"/>
    <col min="36" max="36" width="6" style="3" customWidth="1"/>
    <col min="37" max="38" width="8.7109375" style="3" customWidth="1"/>
    <col min="39" max="39" width="17.140625" style="3" customWidth="1"/>
    <col min="40" max="41" width="11.140625" style="3" customWidth="1"/>
    <col min="42" max="42" width="20.5703125" style="3" customWidth="1"/>
    <col min="43" max="43" width="11.7109375" style="3" customWidth="1"/>
    <col min="44" max="44" width="11.7109375" style="5" customWidth="1"/>
    <col min="45" max="45" width="19.42578125" style="5" customWidth="1"/>
    <col min="46" max="49" width="17.42578125" style="5" customWidth="1"/>
    <col min="50" max="50" width="21.140625" style="5" customWidth="1"/>
    <col min="51" max="51" width="36.140625" style="6" customWidth="1"/>
    <col min="52" max="55" width="12.28515625" style="6" customWidth="1"/>
    <col min="56" max="56" width="14.5703125" style="5" customWidth="1"/>
    <col min="57" max="57" width="25.85546875" style="1" customWidth="1"/>
    <col min="58" max="58" width="17" style="6" customWidth="1"/>
    <col min="59" max="63" width="14.28515625" style="6" customWidth="1"/>
    <col min="64" max="64" width="12.28515625" style="6" customWidth="1"/>
    <col min="65" max="65" width="9.85546875" style="6" customWidth="1"/>
    <col min="66" max="66" width="10.28515625" style="6" customWidth="1"/>
    <col min="67" max="68" width="12.28515625" style="6" customWidth="1"/>
    <col min="69" max="69" width="11.42578125" style="6"/>
    <col min="70" max="70" width="12.28515625" style="6" customWidth="1"/>
    <col min="71" max="71" width="20.5703125" style="3" customWidth="1"/>
    <col min="72" max="72" width="20.85546875" style="6" customWidth="1"/>
    <col min="73" max="73" width="16.5703125" style="6" customWidth="1"/>
    <col min="74" max="78" width="15" style="6" customWidth="1"/>
    <col min="79" max="79" width="13.5703125" style="6" customWidth="1"/>
    <col min="80" max="81" width="12.42578125" style="6" customWidth="1"/>
    <col min="82" max="85" width="12.28515625" style="6" customWidth="1"/>
    <col min="86" max="86" width="11.42578125" style="6"/>
    <col min="87" max="87" width="29" style="6" customWidth="1"/>
    <col min="88" max="88" width="14.7109375" style="6" customWidth="1"/>
    <col min="89" max="90" width="11.5703125" style="6" customWidth="1"/>
    <col min="91" max="91" width="15.7109375" style="6" customWidth="1"/>
    <col min="92" max="93" width="11.5703125" style="6" customWidth="1"/>
    <col min="94" max="94" width="9.5703125" style="6" customWidth="1"/>
    <col min="95" max="95" width="9.5703125" customWidth="1"/>
    <col min="96" max="96" width="12.85546875" style="6" customWidth="1"/>
    <col min="97" max="97" width="17.42578125" style="5" customWidth="1"/>
    <col min="98" max="98" width="12.42578125" style="5" customWidth="1"/>
    <col min="99" max="99" width="10.140625" style="5" customWidth="1"/>
    <col min="100" max="100" width="10.28515625" style="5" customWidth="1"/>
    <col min="101" max="102" width="7.5703125" style="5" customWidth="1"/>
    <col min="103" max="103" width="19.42578125" style="6" customWidth="1"/>
    <col min="104" max="104" width="14.42578125" style="5" customWidth="1"/>
    <col min="105" max="105" width="30.7109375" style="3" customWidth="1"/>
    <col min="106" max="106" width="12" style="3" customWidth="1"/>
    <col min="107" max="107" width="9.140625" style="3" customWidth="1"/>
    <col min="108" max="108" width="8.85546875" style="3" customWidth="1"/>
    <col min="109" max="109" width="7.140625" customWidth="1"/>
    <col min="110" max="110" width="11.5703125" style="3" customWidth="1"/>
    <col min="111" max="111" width="7.140625" style="3" customWidth="1"/>
    <col min="112" max="112" width="6.28515625" style="3" customWidth="1"/>
    <col min="113" max="114" width="7.28515625" style="3" customWidth="1"/>
    <col min="115" max="115" width="7.85546875" style="3" customWidth="1"/>
    <col min="116" max="117" width="8.28515625" style="3" customWidth="1"/>
    <col min="118" max="118" width="13.5703125" style="3" customWidth="1"/>
    <col min="119" max="119" width="13.28515625" style="3" customWidth="1"/>
    <col min="120" max="120" width="9.42578125" style="3" customWidth="1"/>
    <col min="121" max="121" width="6.140625" customWidth="1"/>
    <col min="122" max="122" width="12" style="3" customWidth="1"/>
    <col min="123" max="123" width="11.28515625" style="3" customWidth="1"/>
    <col min="124" max="124" width="10" style="3" customWidth="1"/>
    <col min="125" max="125" width="12.140625" style="3" customWidth="1"/>
    <col min="126" max="127" width="14.28515625" style="3" customWidth="1"/>
    <col min="128" max="128" width="17.28515625" style="3" customWidth="1"/>
    <col min="129" max="131" width="14.28515625" style="3" customWidth="1"/>
    <col min="132" max="132" width="29.28515625" style="7" customWidth="1"/>
    <col min="133" max="133" width="22.5703125" style="7" customWidth="1"/>
  </cols>
  <sheetData>
    <row r="1" spans="1:133" s="27" customFormat="1" ht="33.75" customHeight="1" x14ac:dyDescent="0.3">
      <c r="A1" s="8"/>
      <c r="B1" s="9"/>
      <c r="C1" s="8"/>
      <c r="D1" s="10" t="s">
        <v>0</v>
      </c>
      <c r="E1" s="11"/>
      <c r="F1" s="11"/>
      <c r="G1" s="11"/>
      <c r="H1" s="11"/>
      <c r="I1" s="11"/>
      <c r="J1" s="11"/>
      <c r="K1" s="11"/>
      <c r="L1" s="11"/>
      <c r="M1" s="12"/>
      <c r="N1" s="13" t="s">
        <v>1</v>
      </c>
      <c r="O1" s="14"/>
      <c r="P1" s="15"/>
      <c r="Q1" s="16"/>
      <c r="R1" s="17"/>
      <c r="S1" s="11"/>
      <c r="T1" s="11"/>
      <c r="U1" s="11"/>
      <c r="V1" s="11"/>
      <c r="W1" s="11"/>
      <c r="X1" s="11"/>
      <c r="Y1" s="17"/>
      <c r="Z1" s="16"/>
      <c r="AA1" s="16"/>
      <c r="AB1" s="17"/>
      <c r="AC1" s="17"/>
      <c r="AD1" s="17"/>
      <c r="AE1" s="9"/>
      <c r="AF1" s="13" t="s">
        <v>2</v>
      </c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1"/>
      <c r="AS1" s="11"/>
      <c r="AT1" s="12"/>
      <c r="AU1" s="12"/>
      <c r="AV1" s="12"/>
      <c r="AW1" s="12"/>
      <c r="AX1" s="12"/>
      <c r="AY1" s="18"/>
      <c r="AZ1" s="18"/>
      <c r="BA1" s="18"/>
      <c r="BB1" s="18"/>
      <c r="BC1" s="18"/>
      <c r="BD1" s="12"/>
      <c r="BE1" s="19"/>
      <c r="BF1" s="20" t="s">
        <v>3</v>
      </c>
      <c r="BG1" s="20"/>
      <c r="BH1" s="17"/>
      <c r="BI1" s="17"/>
      <c r="BJ1" s="11"/>
      <c r="BK1" s="11"/>
      <c r="BL1" s="11"/>
      <c r="BM1" s="11"/>
      <c r="BN1" s="11"/>
      <c r="BO1" s="11"/>
      <c r="BP1" s="14"/>
      <c r="BQ1" s="11"/>
      <c r="BR1" s="14"/>
      <c r="BS1" s="16"/>
      <c r="BT1" s="21"/>
      <c r="BU1" s="20" t="s">
        <v>4</v>
      </c>
      <c r="BV1" s="20"/>
      <c r="BW1" s="17"/>
      <c r="BX1" s="17"/>
      <c r="BY1" s="11"/>
      <c r="BZ1" s="17"/>
      <c r="CA1" s="11"/>
      <c r="CB1" s="11"/>
      <c r="CC1" s="17"/>
      <c r="CD1" s="17"/>
      <c r="CE1" s="17"/>
      <c r="CF1" s="17"/>
      <c r="CG1" s="17"/>
      <c r="CH1" s="17"/>
      <c r="CI1" s="22"/>
      <c r="CJ1" s="12"/>
      <c r="CK1" s="12"/>
      <c r="CL1" s="12"/>
      <c r="CM1" s="12"/>
      <c r="CN1" s="12"/>
      <c r="CO1" s="12"/>
      <c r="CP1" s="12"/>
      <c r="CQ1" s="23"/>
      <c r="CR1" s="16" t="s">
        <v>5</v>
      </c>
      <c r="CS1" s="16"/>
      <c r="CT1" s="16"/>
      <c r="CU1" s="16"/>
      <c r="CV1" s="16"/>
      <c r="CW1" s="16"/>
      <c r="CX1" s="16"/>
      <c r="CY1" s="12"/>
      <c r="CZ1" s="20" t="s">
        <v>6</v>
      </c>
      <c r="DA1" s="17"/>
      <c r="DB1" s="17"/>
      <c r="DC1" s="8"/>
      <c r="DD1" s="17"/>
      <c r="DE1" s="16"/>
      <c r="DF1" s="16" t="s">
        <v>7</v>
      </c>
      <c r="DG1" s="16"/>
      <c r="DH1" s="11"/>
      <c r="DI1" s="11"/>
      <c r="DJ1" s="11"/>
      <c r="DK1" s="11"/>
      <c r="DL1" s="11"/>
      <c r="DM1" s="11"/>
      <c r="DN1" s="14"/>
      <c r="DO1" s="14"/>
      <c r="DP1" s="14"/>
      <c r="DQ1" s="24"/>
      <c r="DR1" s="20" t="s">
        <v>8</v>
      </c>
      <c r="DS1" s="16"/>
      <c r="DT1" s="16"/>
      <c r="DU1" s="17"/>
      <c r="DV1" s="16"/>
      <c r="DW1" s="16"/>
      <c r="DX1" s="17"/>
      <c r="DY1" s="17"/>
      <c r="DZ1" s="17"/>
      <c r="EA1" s="17"/>
      <c r="EB1" s="25"/>
      <c r="EC1" s="26"/>
    </row>
    <row r="2" spans="1:133" s="39" customFormat="1" ht="61.5" customHeight="1" x14ac:dyDescent="0.2">
      <c r="A2" s="28" t="s">
        <v>9</v>
      </c>
      <c r="B2" s="29" t="s">
        <v>10</v>
      </c>
      <c r="C2" s="28"/>
      <c r="D2" s="28" t="s">
        <v>11</v>
      </c>
      <c r="E2" s="28"/>
      <c r="F2" s="28" t="s">
        <v>12</v>
      </c>
      <c r="G2" s="28"/>
      <c r="H2" s="28" t="s">
        <v>13</v>
      </c>
      <c r="I2" s="29"/>
      <c r="J2" s="28" t="s">
        <v>14</v>
      </c>
      <c r="K2" s="28" t="s">
        <v>15</v>
      </c>
      <c r="L2" s="30" t="s">
        <v>16</v>
      </c>
      <c r="M2" s="30"/>
      <c r="N2" s="31" t="s">
        <v>17</v>
      </c>
      <c r="O2" s="32" t="s">
        <v>18</v>
      </c>
      <c r="P2" s="6" t="s">
        <v>19</v>
      </c>
      <c r="Q2" s="28" t="s">
        <v>20</v>
      </c>
      <c r="R2" s="31" t="s">
        <v>21</v>
      </c>
      <c r="S2" s="30" t="s">
        <v>22</v>
      </c>
      <c r="T2" s="32" t="s">
        <v>23</v>
      </c>
      <c r="U2" s="30"/>
      <c r="V2" s="32" t="s">
        <v>24</v>
      </c>
      <c r="W2" s="32" t="s">
        <v>25</v>
      </c>
      <c r="X2" s="32"/>
      <c r="Y2" s="31" t="s">
        <v>26</v>
      </c>
      <c r="Z2" s="28" t="str">
        <f>'Other Vitamins &amp; Drugs'!Q1</f>
        <v>No other vitamins</v>
      </c>
      <c r="AA2" s="28"/>
      <c r="AB2" s="31" t="s">
        <v>27</v>
      </c>
      <c r="AC2" s="31"/>
      <c r="AD2" s="31"/>
      <c r="AE2" s="29" t="str">
        <f>B2</f>
        <v>Report</v>
      </c>
      <c r="AF2" s="28" t="s">
        <v>28</v>
      </c>
      <c r="AG2" s="28" t="s">
        <v>29</v>
      </c>
      <c r="AH2" s="28" t="s">
        <v>30</v>
      </c>
      <c r="AI2" s="28" t="s">
        <v>31</v>
      </c>
      <c r="AJ2" s="28" t="s">
        <v>32</v>
      </c>
      <c r="AK2" s="28" t="s">
        <v>33</v>
      </c>
      <c r="AL2" s="28" t="s">
        <v>34</v>
      </c>
      <c r="AM2" s="31" t="s">
        <v>35</v>
      </c>
      <c r="AN2" s="28" t="s">
        <v>36</v>
      </c>
      <c r="AO2" s="31" t="s">
        <v>37</v>
      </c>
      <c r="AP2" s="28" t="s">
        <v>38</v>
      </c>
      <c r="AQ2" s="28" t="s">
        <v>39</v>
      </c>
      <c r="AR2" s="30" t="s">
        <v>40</v>
      </c>
      <c r="AS2" s="30" t="s">
        <v>41</v>
      </c>
      <c r="AT2" s="30" t="s">
        <v>42</v>
      </c>
      <c r="AU2" s="32" t="s">
        <v>43</v>
      </c>
      <c r="AV2" s="30" t="s">
        <v>44</v>
      </c>
      <c r="AW2" s="30" t="s">
        <v>45</v>
      </c>
      <c r="AX2" s="30" t="s">
        <v>46</v>
      </c>
      <c r="AY2" s="32" t="s">
        <v>47</v>
      </c>
      <c r="AZ2" s="32" t="s">
        <v>48</v>
      </c>
      <c r="BA2" s="32" t="s">
        <v>49</v>
      </c>
      <c r="BB2" s="32" t="s">
        <v>50</v>
      </c>
      <c r="BC2" s="32" t="s">
        <v>51</v>
      </c>
      <c r="BD2" s="32" t="s">
        <v>52</v>
      </c>
      <c r="BE2" s="1" t="str">
        <f>B2</f>
        <v>Report</v>
      </c>
      <c r="BF2" s="32" t="s">
        <v>53</v>
      </c>
      <c r="BG2" s="32" t="s">
        <v>54</v>
      </c>
      <c r="BH2" s="31" t="s">
        <v>55</v>
      </c>
      <c r="BI2" s="31" t="s">
        <v>55</v>
      </c>
      <c r="BJ2" s="30" t="s">
        <v>56</v>
      </c>
      <c r="BK2" s="30" t="s">
        <v>56</v>
      </c>
      <c r="BL2" s="33" t="s">
        <v>56</v>
      </c>
      <c r="BM2" s="32" t="s">
        <v>57</v>
      </c>
      <c r="BN2" s="30" t="s">
        <v>58</v>
      </c>
      <c r="BO2" s="30" t="s">
        <v>59</v>
      </c>
      <c r="BP2" s="32" t="s">
        <v>59</v>
      </c>
      <c r="BQ2" s="30" t="s">
        <v>60</v>
      </c>
      <c r="BR2" s="32" t="s">
        <v>61</v>
      </c>
      <c r="BS2" s="34" t="s">
        <v>29</v>
      </c>
      <c r="BT2" s="6" t="str">
        <f>B2</f>
        <v>Report</v>
      </c>
      <c r="BU2" s="32" t="s">
        <v>53</v>
      </c>
      <c r="BV2" s="32" t="s">
        <v>54</v>
      </c>
      <c r="BW2" s="31" t="s">
        <v>55</v>
      </c>
      <c r="BX2" s="31" t="s">
        <v>55</v>
      </c>
      <c r="BY2" s="30" t="s">
        <v>56</v>
      </c>
      <c r="BZ2" s="31" t="s">
        <v>56</v>
      </c>
      <c r="CA2" s="35" t="s">
        <v>62</v>
      </c>
      <c r="CB2" s="30"/>
      <c r="CC2" s="36" t="s">
        <v>63</v>
      </c>
      <c r="CD2" s="32" t="s">
        <v>57</v>
      </c>
      <c r="CE2" s="30" t="s">
        <v>58</v>
      </c>
      <c r="CF2" s="30" t="s">
        <v>59</v>
      </c>
      <c r="CG2" s="32" t="s">
        <v>59</v>
      </c>
      <c r="CH2" s="37" t="s">
        <v>64</v>
      </c>
      <c r="CI2" s="38" t="str">
        <f>B2</f>
        <v>Report</v>
      </c>
      <c r="CJ2" s="32" t="str">
        <f>Z2</f>
        <v>No other vitamins</v>
      </c>
      <c r="CK2" s="30" t="s">
        <v>56</v>
      </c>
      <c r="CL2" s="30" t="s">
        <v>56</v>
      </c>
      <c r="CM2" s="32" t="str">
        <f>AB2</f>
        <v>Vit C
po / iv</v>
      </c>
      <c r="CN2" s="30" t="s">
        <v>56</v>
      </c>
      <c r="CO2" s="30" t="s">
        <v>56</v>
      </c>
      <c r="CP2" s="30" t="s">
        <v>56</v>
      </c>
      <c r="CR2" s="31" t="s">
        <v>65</v>
      </c>
      <c r="CS2" s="30" t="s">
        <v>66</v>
      </c>
      <c r="CT2" s="30" t="s">
        <v>67</v>
      </c>
      <c r="CU2" s="30" t="s">
        <v>68</v>
      </c>
      <c r="CV2" s="30" t="s">
        <v>69</v>
      </c>
      <c r="CW2" s="30" t="s">
        <v>70</v>
      </c>
      <c r="CX2" s="30"/>
      <c r="CY2" s="30" t="str">
        <f>B2</f>
        <v>Report</v>
      </c>
      <c r="CZ2" s="32" t="s">
        <v>71</v>
      </c>
      <c r="DA2" s="31" t="s">
        <v>72</v>
      </c>
      <c r="DB2" s="31" t="s">
        <v>72</v>
      </c>
      <c r="DC2" s="28"/>
      <c r="DD2" s="31" t="s">
        <v>73</v>
      </c>
      <c r="DF2" s="28" t="s">
        <v>74</v>
      </c>
      <c r="DG2" s="28"/>
      <c r="DH2" s="32" t="s">
        <v>75</v>
      </c>
      <c r="DI2" s="32" t="s">
        <v>76</v>
      </c>
      <c r="DJ2" s="32"/>
      <c r="DK2" s="32" t="s">
        <v>77</v>
      </c>
      <c r="DL2" s="30"/>
      <c r="DM2" s="30"/>
      <c r="DN2" s="32" t="s">
        <v>78</v>
      </c>
      <c r="DO2" s="32" t="s">
        <v>79</v>
      </c>
      <c r="DP2" s="32" t="s">
        <v>80</v>
      </c>
      <c r="DQ2" s="40"/>
      <c r="DR2" s="28" t="s">
        <v>81</v>
      </c>
      <c r="DS2" s="28" t="s">
        <v>82</v>
      </c>
      <c r="DT2" s="28" t="s">
        <v>83</v>
      </c>
      <c r="DU2" s="31" t="s">
        <v>84</v>
      </c>
      <c r="DV2" s="28" t="s">
        <v>85</v>
      </c>
      <c r="DW2" s="28" t="s">
        <v>86</v>
      </c>
      <c r="DX2" s="31" t="s">
        <v>87</v>
      </c>
      <c r="DY2" s="31" t="s">
        <v>88</v>
      </c>
      <c r="DZ2" s="31"/>
      <c r="EA2" s="31" t="s">
        <v>89</v>
      </c>
      <c r="EB2" s="41" t="s">
        <v>90</v>
      </c>
      <c r="EC2" s="42" t="str">
        <f>B2</f>
        <v>Report</v>
      </c>
    </row>
    <row r="3" spans="1:133" ht="33" customHeight="1" x14ac:dyDescent="0.2">
      <c r="Y3" s="6" t="s">
        <v>91</v>
      </c>
      <c r="Z3" s="3" t="s">
        <v>92</v>
      </c>
      <c r="AB3" s="1" t="s">
        <v>93</v>
      </c>
      <c r="AC3" s="1" t="s">
        <v>94</v>
      </c>
      <c r="AD3" s="1"/>
      <c r="AM3" s="1" t="s">
        <v>95</v>
      </c>
      <c r="AN3" s="1" t="s">
        <v>96</v>
      </c>
      <c r="AO3" s="1" t="s">
        <v>97</v>
      </c>
      <c r="BF3" s="6" t="s">
        <v>98</v>
      </c>
      <c r="BG3" s="6" t="s">
        <v>99</v>
      </c>
      <c r="BH3" s="6" t="s">
        <v>100</v>
      </c>
      <c r="BI3" s="6" t="s">
        <v>101</v>
      </c>
      <c r="BJ3" s="6" t="s">
        <v>100</v>
      </c>
      <c r="BK3" s="6" t="s">
        <v>101</v>
      </c>
      <c r="BL3" s="43" t="s">
        <v>102</v>
      </c>
      <c r="BN3" s="6" t="s">
        <v>103</v>
      </c>
      <c r="BO3" s="6" t="s">
        <v>104</v>
      </c>
      <c r="BP3" s="6" t="s">
        <v>105</v>
      </c>
      <c r="BQ3" s="6" t="s">
        <v>106</v>
      </c>
      <c r="BS3" s="44" t="s">
        <v>107</v>
      </c>
      <c r="BU3" s="6" t="s">
        <v>98</v>
      </c>
      <c r="BV3" s="6" t="s">
        <v>99</v>
      </c>
      <c r="BW3" s="6" t="s">
        <v>100</v>
      </c>
      <c r="BX3" s="6" t="s">
        <v>101</v>
      </c>
      <c r="BY3" s="6" t="s">
        <v>100</v>
      </c>
      <c r="BZ3" s="6" t="s">
        <v>101</v>
      </c>
      <c r="CA3" s="43" t="s">
        <v>102</v>
      </c>
      <c r="CC3" s="45" t="s">
        <v>108</v>
      </c>
      <c r="CE3" s="6" t="s">
        <v>103</v>
      </c>
      <c r="CF3" s="6" t="s">
        <v>104</v>
      </c>
      <c r="CG3" s="6" t="s">
        <v>105</v>
      </c>
      <c r="CH3" s="45"/>
      <c r="CI3" s="38"/>
      <c r="CK3" s="46" t="s">
        <v>109</v>
      </c>
      <c r="CL3" s="46" t="s">
        <v>110</v>
      </c>
      <c r="CM3" s="6" t="str">
        <f>AB3</f>
        <v>at start</v>
      </c>
      <c r="CN3" s="46" t="s">
        <v>111</v>
      </c>
      <c r="CO3" s="46" t="s">
        <v>112</v>
      </c>
      <c r="CP3" s="46" t="s">
        <v>94</v>
      </c>
      <c r="CS3" s="5" t="s">
        <v>113</v>
      </c>
      <c r="CT3" s="5" t="s">
        <v>114</v>
      </c>
      <c r="CU3" s="5" t="s">
        <v>115</v>
      </c>
      <c r="CV3" s="5" t="s">
        <v>116</v>
      </c>
      <c r="CZ3" s="5" t="s">
        <v>117</v>
      </c>
      <c r="DA3" s="3" t="s">
        <v>118</v>
      </c>
      <c r="DB3" s="3" t="s">
        <v>119</v>
      </c>
      <c r="DD3" s="3" t="s">
        <v>118</v>
      </c>
      <c r="DH3" s="5"/>
      <c r="DI3" s="5"/>
      <c r="DJ3" s="5"/>
      <c r="DK3" s="5"/>
      <c r="DL3" s="5"/>
      <c r="DM3" s="5"/>
      <c r="DN3" s="5"/>
      <c r="DO3" s="5"/>
      <c r="DP3" s="5"/>
      <c r="DQ3" s="47"/>
      <c r="DV3" s="1" t="s">
        <v>120</v>
      </c>
      <c r="DW3" s="1" t="s">
        <v>121</v>
      </c>
      <c r="DX3" s="1"/>
      <c r="DY3" s="1"/>
      <c r="DZ3" s="1"/>
      <c r="EA3" s="1" t="s">
        <v>122</v>
      </c>
      <c r="EB3" s="48"/>
      <c r="EC3" s="48"/>
    </row>
    <row r="4" spans="1:133" ht="24" customHeight="1" x14ac:dyDescent="0.2">
      <c r="Y4" s="6"/>
      <c r="AB4" s="1"/>
      <c r="AC4" s="1"/>
      <c r="AD4" s="1"/>
      <c r="AM4" s="1"/>
      <c r="AN4" s="1"/>
      <c r="AO4" s="1"/>
      <c r="BF4" s="6" t="s">
        <v>123</v>
      </c>
      <c r="BH4" s="6" t="s">
        <v>124</v>
      </c>
      <c r="BJ4" s="49" t="s">
        <v>125</v>
      </c>
      <c r="BK4" s="49"/>
      <c r="BL4" s="43"/>
      <c r="BO4" s="5">
        <v>80</v>
      </c>
      <c r="BP4" s="50">
        <f>BO4/80</f>
        <v>1</v>
      </c>
      <c r="BS4" s="1"/>
      <c r="BU4" s="6" t="s">
        <v>123</v>
      </c>
      <c r="BW4" s="6" t="s">
        <v>124</v>
      </c>
      <c r="CA4" s="43"/>
      <c r="CC4" s="45"/>
      <c r="CF4" s="5">
        <v>80</v>
      </c>
      <c r="CG4" s="50">
        <f>CF4/80</f>
        <v>1</v>
      </c>
      <c r="CH4" s="45"/>
      <c r="CI4" s="38"/>
      <c r="CK4" s="46"/>
      <c r="CL4" s="46"/>
      <c r="CN4" s="46"/>
      <c r="CO4" s="46"/>
      <c r="CP4" s="46"/>
      <c r="DH4" s="5"/>
      <c r="DI4" s="5"/>
      <c r="DJ4" s="5"/>
      <c r="DK4" s="5"/>
      <c r="DL4" s="5"/>
      <c r="DM4" s="5"/>
      <c r="DN4" s="5"/>
      <c r="DO4" s="5"/>
      <c r="DP4" s="5"/>
      <c r="DQ4" s="47"/>
      <c r="DV4" s="1"/>
      <c r="DW4" s="1"/>
      <c r="DX4" s="1"/>
      <c r="DY4" s="1"/>
      <c r="DZ4" s="1"/>
      <c r="EA4" s="1" t="s">
        <v>126</v>
      </c>
      <c r="EB4" s="48"/>
      <c r="EC4" s="48"/>
    </row>
    <row r="5" spans="1:133" ht="24" customHeight="1" x14ac:dyDescent="0.2">
      <c r="AB5" s="1"/>
      <c r="AC5" s="1"/>
      <c r="AD5" s="1"/>
      <c r="AQ5" s="51"/>
      <c r="BH5" s="6">
        <v>10</v>
      </c>
      <c r="BJ5" s="52" t="s">
        <v>127</v>
      </c>
      <c r="BK5" s="52"/>
      <c r="BL5" s="52"/>
      <c r="BM5" s="52"/>
      <c r="BN5" s="52"/>
      <c r="BO5" s="5"/>
      <c r="BS5" s="1"/>
      <c r="BW5" s="6">
        <v>10</v>
      </c>
      <c r="CA5" s="53"/>
      <c r="CB5" s="54"/>
      <c r="CC5" s="45"/>
      <c r="CD5" s="55"/>
      <c r="CE5" s="55"/>
      <c r="CF5" s="55"/>
      <c r="CH5" s="45"/>
      <c r="CI5" s="38"/>
      <c r="CJ5" s="54"/>
      <c r="CK5" s="56"/>
      <c r="CL5" s="56"/>
      <c r="CM5" s="54"/>
      <c r="CN5" s="56"/>
      <c r="CO5" s="56"/>
      <c r="CP5" s="56"/>
      <c r="DB5" s="1"/>
      <c r="DH5" s="5"/>
      <c r="DI5" s="5"/>
      <c r="DJ5" s="5"/>
      <c r="DK5" s="5"/>
      <c r="DL5" s="5"/>
      <c r="DM5" s="5"/>
      <c r="DN5" s="5"/>
      <c r="DO5" s="5"/>
      <c r="DP5" s="5"/>
      <c r="DQ5" s="47"/>
      <c r="DR5" s="5"/>
      <c r="DS5" s="5"/>
      <c r="DT5" s="5"/>
      <c r="DU5" s="5"/>
      <c r="DV5" s="5"/>
      <c r="DW5" s="5"/>
      <c r="DX5" s="5"/>
      <c r="DY5" s="5"/>
      <c r="DZ5" s="5"/>
      <c r="EA5" s="5"/>
      <c r="EB5" s="57"/>
      <c r="EC5" s="48"/>
    </row>
    <row r="6" spans="1:133" ht="24" customHeight="1" x14ac:dyDescent="0.2">
      <c r="AB6" s="1"/>
      <c r="AC6" s="1"/>
      <c r="AD6" s="1"/>
      <c r="AQ6" s="51"/>
      <c r="BJ6" s="58" t="s">
        <v>128</v>
      </c>
      <c r="BL6" s="59"/>
      <c r="BM6" s="5"/>
      <c r="BN6" s="5"/>
      <c r="BS6" s="1"/>
      <c r="CA6" s="53"/>
      <c r="CB6" s="54"/>
      <c r="CC6" s="45"/>
      <c r="CD6" s="55"/>
      <c r="CE6" s="55"/>
      <c r="CF6" s="55"/>
      <c r="CH6" s="45"/>
      <c r="CI6" s="38"/>
      <c r="CJ6" s="54"/>
      <c r="CK6" s="56"/>
      <c r="CL6" s="56"/>
      <c r="CM6" s="54"/>
      <c r="CN6" s="56"/>
      <c r="CO6" s="56"/>
      <c r="CP6" s="56"/>
      <c r="DB6" s="1"/>
      <c r="DH6" s="5"/>
      <c r="DI6" s="5"/>
      <c r="DJ6" s="5"/>
      <c r="DK6" s="5"/>
      <c r="DL6" s="5"/>
      <c r="DM6" s="5"/>
      <c r="DN6" s="5"/>
      <c r="DO6" s="5"/>
      <c r="DP6" s="5"/>
      <c r="DQ6" s="47"/>
      <c r="DR6" s="5"/>
      <c r="DS6" s="5"/>
      <c r="DT6" s="5"/>
      <c r="DU6" s="5"/>
      <c r="DV6" s="5"/>
      <c r="DW6" s="5"/>
      <c r="DX6" s="5"/>
      <c r="DY6" s="5"/>
      <c r="DZ6" s="5"/>
      <c r="EA6" s="5"/>
      <c r="EB6" s="57"/>
      <c r="EC6" s="48"/>
    </row>
    <row r="7" spans="1:133" s="72" customFormat="1" ht="18" customHeight="1" x14ac:dyDescent="0.2">
      <c r="A7" s="60">
        <v>76</v>
      </c>
      <c r="B7" s="29" t="s">
        <v>129</v>
      </c>
      <c r="C7" s="61"/>
      <c r="D7" s="61">
        <v>2016</v>
      </c>
      <c r="E7" s="61"/>
      <c r="F7" s="61" t="s">
        <v>130</v>
      </c>
      <c r="G7" s="61"/>
      <c r="H7" s="62">
        <v>50</v>
      </c>
      <c r="I7" s="62"/>
      <c r="J7" s="61" t="s">
        <v>131</v>
      </c>
      <c r="K7" s="61"/>
      <c r="L7" s="63" t="s">
        <v>132</v>
      </c>
      <c r="M7" s="63"/>
      <c r="N7" s="61" t="s">
        <v>133</v>
      </c>
      <c r="O7" s="30">
        <v>1</v>
      </c>
      <c r="P7" s="63"/>
      <c r="Q7" s="61" t="s">
        <v>115</v>
      </c>
      <c r="R7" s="64">
        <f>O7/$Q$44*1000</f>
        <v>5.6818181818181817</v>
      </c>
      <c r="S7" s="63" t="s">
        <v>134</v>
      </c>
      <c r="T7" s="63" t="s">
        <v>135</v>
      </c>
      <c r="U7" s="63"/>
      <c r="V7" s="63"/>
      <c r="W7" s="63"/>
      <c r="X7" s="63"/>
      <c r="Y7" s="61"/>
      <c r="Z7" s="61">
        <f>'Other Vitamins &amp; Drugs'!Q7</f>
        <v>1</v>
      </c>
      <c r="AA7" s="61"/>
      <c r="AB7" s="61"/>
      <c r="AC7" s="61" t="s">
        <v>136</v>
      </c>
      <c r="AD7" s="61"/>
      <c r="AE7" s="29" t="str">
        <f t="shared" ref="AE7:AE38" si="0">B7</f>
        <v>Abbas</v>
      </c>
      <c r="AF7" s="61" t="s">
        <v>137</v>
      </c>
      <c r="AG7" s="61"/>
      <c r="AH7" s="61" t="str">
        <f>AF7</f>
        <v>Y</v>
      </c>
      <c r="AI7" s="61"/>
      <c r="AJ7" s="61"/>
      <c r="AK7" s="61"/>
      <c r="AL7" s="61"/>
      <c r="AM7" s="61"/>
      <c r="AN7" s="61"/>
      <c r="AO7" s="61"/>
      <c r="AP7" s="61"/>
      <c r="AQ7" s="65"/>
      <c r="AR7" s="63"/>
      <c r="AS7" s="63"/>
      <c r="AT7" s="63"/>
      <c r="AU7" s="63"/>
      <c r="AV7" s="63"/>
      <c r="AW7" s="63"/>
      <c r="AX7" s="63"/>
      <c r="AY7" s="63" t="s">
        <v>138</v>
      </c>
      <c r="AZ7" s="63"/>
      <c r="BA7" s="63" t="s">
        <v>136</v>
      </c>
      <c r="BB7" s="63" t="s">
        <v>136</v>
      </c>
      <c r="BC7" s="63">
        <f>COUNTA(BA7:BB7)</f>
        <v>2</v>
      </c>
      <c r="BD7" s="63"/>
      <c r="BE7" s="28" t="str">
        <f t="shared" ref="BE7:BE38" si="1">B7</f>
        <v>Abbas</v>
      </c>
      <c r="BF7" s="63"/>
      <c r="BG7" s="63"/>
      <c r="BH7" s="63"/>
      <c r="BI7" s="63"/>
      <c r="BJ7" s="63"/>
      <c r="BK7" s="63"/>
      <c r="BL7" s="66" t="s">
        <v>139</v>
      </c>
      <c r="BM7" s="63"/>
      <c r="BN7" s="63"/>
      <c r="BO7" s="67"/>
      <c r="BP7" s="63"/>
      <c r="BQ7" s="63"/>
      <c r="BR7" s="63"/>
      <c r="BS7" s="28"/>
      <c r="BT7" s="30" t="str">
        <f t="shared" ref="BT7:BT38" si="2">B7</f>
        <v>Abbas</v>
      </c>
      <c r="BU7" s="63"/>
      <c r="BV7" s="63"/>
      <c r="BW7" s="63"/>
      <c r="BX7" s="63"/>
      <c r="BY7" s="63"/>
      <c r="BZ7" s="63"/>
      <c r="CA7" s="68"/>
      <c r="CB7" s="69"/>
      <c r="CC7" s="70"/>
      <c r="CD7" s="63"/>
      <c r="CE7" s="63"/>
      <c r="CF7" s="63"/>
      <c r="CG7" s="63"/>
      <c r="CH7" s="70"/>
      <c r="CI7" s="31" t="str">
        <f t="shared" ref="CI7:CI38" si="3">B7</f>
        <v>Abbas</v>
      </c>
      <c r="CJ7" s="32">
        <f t="shared" ref="CJ7:CJ38" si="4">Z7</f>
        <v>1</v>
      </c>
      <c r="CK7" s="69"/>
      <c r="CL7" s="69"/>
      <c r="CM7" s="71"/>
      <c r="CN7" s="69"/>
      <c r="CO7" s="69"/>
      <c r="CP7" s="69"/>
      <c r="CR7" s="63" t="s">
        <v>114</v>
      </c>
      <c r="CS7" s="63">
        <v>347</v>
      </c>
      <c r="CT7" s="61" t="s">
        <v>136</v>
      </c>
      <c r="CU7" s="63"/>
      <c r="CV7" s="63"/>
      <c r="CW7" s="63">
        <v>34</v>
      </c>
      <c r="CX7" s="63"/>
      <c r="CY7" s="30" t="str">
        <f t="shared" ref="CY7:CY38" si="5">B7</f>
        <v>Abbas</v>
      </c>
      <c r="CZ7" s="63">
        <v>3</v>
      </c>
      <c r="DA7" s="61" t="s">
        <v>140</v>
      </c>
      <c r="DB7" s="61">
        <v>4</v>
      </c>
      <c r="DC7" s="61"/>
      <c r="DD7" s="61">
        <v>28</v>
      </c>
      <c r="DF7" s="61">
        <v>92</v>
      </c>
      <c r="DG7" s="61"/>
      <c r="DH7" s="63">
        <v>91</v>
      </c>
      <c r="DI7" s="63">
        <v>56</v>
      </c>
      <c r="DJ7" s="63"/>
      <c r="DK7" s="63">
        <v>20</v>
      </c>
      <c r="DL7" s="63"/>
      <c r="DM7" s="63"/>
      <c r="DN7" s="63">
        <v>85</v>
      </c>
      <c r="DO7" s="63"/>
      <c r="DP7" s="73"/>
      <c r="DQ7" s="73"/>
      <c r="DR7" s="73" t="s">
        <v>136</v>
      </c>
      <c r="DS7" s="73"/>
      <c r="DT7" s="73" t="s">
        <v>136</v>
      </c>
      <c r="DU7" s="73"/>
      <c r="DV7" s="73" t="s">
        <v>136</v>
      </c>
      <c r="DW7" s="73"/>
      <c r="DX7" s="73"/>
      <c r="DY7" s="73"/>
      <c r="DZ7" s="73">
        <f t="shared" ref="DZ7:DZ45" si="6">A7</f>
        <v>76</v>
      </c>
      <c r="EA7" s="74" t="s">
        <v>136</v>
      </c>
      <c r="EB7" s="75" t="s">
        <v>141</v>
      </c>
      <c r="EC7" s="76" t="str">
        <f t="shared" ref="EC7:EC38" si="7">B7</f>
        <v>Abbas</v>
      </c>
    </row>
    <row r="8" spans="1:133" ht="18" customHeight="1" x14ac:dyDescent="0.2">
      <c r="A8" s="28">
        <v>77</v>
      </c>
      <c r="B8" s="2" t="s">
        <v>142</v>
      </c>
      <c r="D8" s="3">
        <v>2021</v>
      </c>
      <c r="F8" s="3" t="s">
        <v>130</v>
      </c>
      <c r="H8" s="7">
        <v>7</v>
      </c>
      <c r="J8" s="3" t="s">
        <v>143</v>
      </c>
      <c r="K8" s="3" t="s">
        <v>144</v>
      </c>
      <c r="N8" s="3" t="s">
        <v>133</v>
      </c>
      <c r="O8" s="5" t="s">
        <v>145</v>
      </c>
      <c r="S8" s="5" t="s">
        <v>134</v>
      </c>
      <c r="T8" s="5" t="s">
        <v>135</v>
      </c>
      <c r="Y8" s="3">
        <v>0.15</v>
      </c>
      <c r="Z8" s="61">
        <f>'Other Vitamins &amp; Drugs'!Q8</f>
        <v>1</v>
      </c>
      <c r="AB8" s="3" t="s">
        <v>146</v>
      </c>
      <c r="AE8" s="2" t="str">
        <f t="shared" si="0"/>
        <v>Abe</v>
      </c>
      <c r="AF8" s="3" t="s">
        <v>137</v>
      </c>
      <c r="AG8" s="61"/>
      <c r="AH8" s="61" t="str">
        <f>AF8</f>
        <v>Y</v>
      </c>
      <c r="AJ8" s="3" t="s">
        <v>137</v>
      </c>
      <c r="AL8" s="3">
        <f>COUNTA(AJ8:AK8)</f>
        <v>1</v>
      </c>
      <c r="AM8" s="3" t="s">
        <v>136</v>
      </c>
      <c r="AN8" s="3" t="s">
        <v>136</v>
      </c>
      <c r="AQ8" s="51"/>
      <c r="AS8" s="5" t="s">
        <v>147</v>
      </c>
      <c r="AT8" s="5" t="s">
        <v>136</v>
      </c>
      <c r="AV8" s="5" t="s">
        <v>148</v>
      </c>
      <c r="AY8" s="5"/>
      <c r="AZ8" s="5"/>
      <c r="BA8" s="5" t="s">
        <v>136</v>
      </c>
      <c r="BB8" s="5" t="s">
        <v>136</v>
      </c>
      <c r="BC8" s="63">
        <f>COUNTA(BA8:BB8)</f>
        <v>2</v>
      </c>
      <c r="BD8" s="5" t="s">
        <v>97</v>
      </c>
      <c r="BE8" s="1" t="str">
        <f t="shared" si="1"/>
        <v>Abe</v>
      </c>
      <c r="BF8" s="5"/>
      <c r="BG8" s="5"/>
      <c r="BH8" s="5"/>
      <c r="BI8" s="77">
        <v>72</v>
      </c>
      <c r="BJ8" s="78">
        <f>0.61*BI8 + 2</f>
        <v>45.92</v>
      </c>
      <c r="BK8" s="5"/>
      <c r="BL8" s="79">
        <f>BJ8</f>
        <v>45.92</v>
      </c>
      <c r="BM8" s="54"/>
      <c r="BN8" s="54"/>
      <c r="BO8" s="80"/>
      <c r="BP8" s="5"/>
      <c r="BQ8" s="5"/>
      <c r="BR8" s="5"/>
      <c r="BS8" s="1"/>
      <c r="BT8" s="6" t="str">
        <f t="shared" si="2"/>
        <v>Abe</v>
      </c>
      <c r="BU8" s="5"/>
      <c r="BV8" s="5"/>
      <c r="BW8" s="5"/>
      <c r="BX8" s="77">
        <v>33</v>
      </c>
      <c r="BY8" s="78">
        <f>0.61*BX8 + 2</f>
        <v>22.13</v>
      </c>
      <c r="BZ8" s="5"/>
      <c r="CA8" s="81">
        <f>BY8</f>
        <v>22.13</v>
      </c>
      <c r="CB8" s="56"/>
      <c r="CC8" s="82">
        <f>BL8/CA8</f>
        <v>2.0750112968820607</v>
      </c>
      <c r="CD8" s="56"/>
      <c r="CE8" s="56"/>
      <c r="CF8" s="56"/>
      <c r="CG8" s="56"/>
      <c r="CH8" s="82"/>
      <c r="CI8" s="38" t="str">
        <f t="shared" si="3"/>
        <v>Abe</v>
      </c>
      <c r="CJ8" s="32">
        <f t="shared" si="4"/>
        <v>1</v>
      </c>
      <c r="CK8" s="69">
        <f>IF(CJ8=1,$CA8)</f>
        <v>22.13</v>
      </c>
      <c r="CL8" s="69"/>
      <c r="CM8" s="54" t="str">
        <f>AB8</f>
        <v>iv</v>
      </c>
      <c r="CN8" s="69"/>
      <c r="CO8" s="69">
        <f>IF($AB8="iv",$CA8)</f>
        <v>22.13</v>
      </c>
      <c r="CP8" s="69"/>
      <c r="CR8" s="5"/>
      <c r="CU8" s="5">
        <v>14.7</v>
      </c>
      <c r="CV8" s="5">
        <v>45</v>
      </c>
      <c r="CW8" s="5">
        <v>72</v>
      </c>
      <c r="CY8" s="6" t="str">
        <f t="shared" si="5"/>
        <v>Abe</v>
      </c>
      <c r="CZ8" s="5">
        <v>1</v>
      </c>
      <c r="DA8" s="3" t="s">
        <v>149</v>
      </c>
      <c r="DB8" s="3">
        <v>4</v>
      </c>
      <c r="DD8" s="3">
        <v>38</v>
      </c>
      <c r="DF8" s="3">
        <v>137</v>
      </c>
      <c r="DH8" s="5">
        <v>87</v>
      </c>
      <c r="DI8" s="5">
        <v>47</v>
      </c>
      <c r="DJ8" s="5"/>
      <c r="DK8" s="5">
        <v>25</v>
      </c>
      <c r="DL8" s="5"/>
      <c r="DM8" s="5"/>
      <c r="DN8" s="5">
        <v>100</v>
      </c>
      <c r="DO8" s="5"/>
      <c r="DP8" s="74"/>
      <c r="DQ8" s="74"/>
      <c r="DR8" s="74"/>
      <c r="DS8" s="74"/>
      <c r="DT8" s="74" t="s">
        <v>136</v>
      </c>
      <c r="DU8" s="74"/>
      <c r="DV8" s="74" t="s">
        <v>136</v>
      </c>
      <c r="DW8" s="74" t="s">
        <v>136</v>
      </c>
      <c r="DX8" s="74"/>
      <c r="DY8" s="74" t="s">
        <v>136</v>
      </c>
      <c r="DZ8" s="73">
        <f t="shared" si="6"/>
        <v>77</v>
      </c>
      <c r="EA8" s="74"/>
      <c r="EB8" s="75" t="s">
        <v>150</v>
      </c>
      <c r="EC8" s="48" t="str">
        <f t="shared" si="7"/>
        <v>Abe</v>
      </c>
    </row>
    <row r="9" spans="1:133" s="100" customFormat="1" ht="18" customHeight="1" x14ac:dyDescent="0.2">
      <c r="A9" s="1">
        <v>78</v>
      </c>
      <c r="B9" s="83" t="s">
        <v>151</v>
      </c>
      <c r="C9" s="84"/>
      <c r="D9" s="84">
        <v>2019</v>
      </c>
      <c r="E9" s="84"/>
      <c r="F9" s="84" t="s">
        <v>130</v>
      </c>
      <c r="G9" s="84"/>
      <c r="H9" s="85">
        <v>73</v>
      </c>
      <c r="I9" s="85"/>
      <c r="J9" s="84" t="s">
        <v>131</v>
      </c>
      <c r="K9" s="84"/>
      <c r="L9" s="86"/>
      <c r="M9" s="86"/>
      <c r="N9" s="84" t="s">
        <v>133</v>
      </c>
      <c r="O9" s="86" t="s">
        <v>145</v>
      </c>
      <c r="P9" s="86"/>
      <c r="Q9" s="84"/>
      <c r="R9" s="84"/>
      <c r="S9" s="86"/>
      <c r="T9" s="86"/>
      <c r="U9" s="86"/>
      <c r="V9" s="86"/>
      <c r="W9" s="86"/>
      <c r="X9" s="86"/>
      <c r="Y9" s="84"/>
      <c r="Z9" s="61"/>
      <c r="AA9" s="3"/>
      <c r="AB9" s="84"/>
      <c r="AC9" s="84"/>
      <c r="AD9" s="84"/>
      <c r="AE9" s="83" t="str">
        <f t="shared" si="0"/>
        <v>Azar</v>
      </c>
      <c r="AF9" s="84" t="s">
        <v>137</v>
      </c>
      <c r="AG9" s="61" t="str">
        <f>BS9</f>
        <v>Yes</v>
      </c>
      <c r="AH9" s="61"/>
      <c r="AI9" s="84" t="s">
        <v>137</v>
      </c>
      <c r="AJ9" s="84"/>
      <c r="AK9" s="84"/>
      <c r="AL9" s="3"/>
      <c r="AM9" s="84"/>
      <c r="AN9" s="84"/>
      <c r="AO9" s="84"/>
      <c r="AP9" s="84" t="s">
        <v>152</v>
      </c>
      <c r="AQ9" s="87" t="s">
        <v>153</v>
      </c>
      <c r="AR9" s="86"/>
      <c r="AS9" s="86" t="s">
        <v>154</v>
      </c>
      <c r="AT9" s="86" t="s">
        <v>136</v>
      </c>
      <c r="AU9" s="86" t="s">
        <v>136</v>
      </c>
      <c r="AV9" s="86" t="s">
        <v>148</v>
      </c>
      <c r="AW9" s="86" t="s">
        <v>155</v>
      </c>
      <c r="AX9" s="86"/>
      <c r="AY9" s="86" t="s">
        <v>156</v>
      </c>
      <c r="AZ9" s="86" t="s">
        <v>157</v>
      </c>
      <c r="BA9" s="86" t="s">
        <v>136</v>
      </c>
      <c r="BB9" s="86" t="s">
        <v>136</v>
      </c>
      <c r="BC9" s="63">
        <f>COUNTA(BA9:BB9)</f>
        <v>2</v>
      </c>
      <c r="BD9" s="86"/>
      <c r="BE9" s="60" t="str">
        <f t="shared" si="1"/>
        <v>Azar</v>
      </c>
      <c r="BF9" s="88">
        <v>5.14</v>
      </c>
      <c r="BG9" s="89">
        <f>4*BF9^2</f>
        <v>105.67839999999998</v>
      </c>
      <c r="BH9" s="90">
        <f>BG9+BH$5</f>
        <v>115.67839999999998</v>
      </c>
      <c r="BI9" s="88">
        <v>112</v>
      </c>
      <c r="BJ9" s="91">
        <f>0.61*BI9 +2</f>
        <v>70.319999999999993</v>
      </c>
      <c r="BK9" s="88">
        <v>50</v>
      </c>
      <c r="BL9" s="92">
        <f>BK9</f>
        <v>50</v>
      </c>
      <c r="BM9" s="93"/>
      <c r="BN9" s="93"/>
      <c r="BO9" s="94"/>
      <c r="BP9" s="86">
        <v>6.7</v>
      </c>
      <c r="BQ9" s="86">
        <v>9</v>
      </c>
      <c r="BR9" s="86" t="s">
        <v>29</v>
      </c>
      <c r="BS9" s="95" t="s">
        <v>158</v>
      </c>
      <c r="BT9" s="96" t="str">
        <f t="shared" si="2"/>
        <v>Azar</v>
      </c>
      <c r="BU9" s="86"/>
      <c r="BV9" s="86"/>
      <c r="BW9" s="89"/>
      <c r="BX9" s="86"/>
      <c r="BY9" s="86"/>
      <c r="BZ9" s="86"/>
      <c r="CA9" s="97"/>
      <c r="CB9" s="89"/>
      <c r="CC9" s="98"/>
      <c r="CD9" s="86"/>
      <c r="CE9" s="86"/>
      <c r="CF9" s="86"/>
      <c r="CG9" s="86"/>
      <c r="CH9" s="98"/>
      <c r="CI9" s="99" t="str">
        <f t="shared" si="3"/>
        <v>Azar</v>
      </c>
      <c r="CJ9" s="32">
        <f t="shared" si="4"/>
        <v>0</v>
      </c>
      <c r="CK9" s="69"/>
      <c r="CL9" s="69"/>
      <c r="CM9" s="93"/>
      <c r="CN9" s="69"/>
      <c r="CO9" s="69"/>
      <c r="CP9" s="69"/>
      <c r="CR9" s="86"/>
      <c r="CS9" s="86"/>
      <c r="CT9" s="86"/>
      <c r="CU9" s="86"/>
      <c r="CV9" s="86"/>
      <c r="CW9" s="86"/>
      <c r="CX9" s="86"/>
      <c r="CY9" s="96" t="str">
        <f t="shared" si="5"/>
        <v>Azar</v>
      </c>
      <c r="CZ9" s="86">
        <v>2</v>
      </c>
      <c r="DA9" s="84" t="s">
        <v>159</v>
      </c>
      <c r="DB9" s="84"/>
      <c r="DC9" s="84"/>
      <c r="DD9" s="84" t="s">
        <v>160</v>
      </c>
      <c r="DF9" s="86">
        <v>102</v>
      </c>
      <c r="DG9" s="84"/>
      <c r="DH9" s="86">
        <v>77</v>
      </c>
      <c r="DI9" s="86">
        <v>56</v>
      </c>
      <c r="DJ9" s="86"/>
      <c r="DK9" s="86">
        <v>24</v>
      </c>
      <c r="DL9" s="86"/>
      <c r="DM9" s="86"/>
      <c r="DN9" s="86">
        <v>84</v>
      </c>
      <c r="DO9" s="86" t="s">
        <v>161</v>
      </c>
      <c r="DP9" s="101" t="s">
        <v>136</v>
      </c>
      <c r="DQ9" s="101"/>
      <c r="DR9" s="101" t="s">
        <v>136</v>
      </c>
      <c r="DS9" s="101" t="s">
        <v>136</v>
      </c>
      <c r="DT9" s="101"/>
      <c r="DU9" s="101"/>
      <c r="DV9" s="101" t="s">
        <v>136</v>
      </c>
      <c r="DW9" s="101"/>
      <c r="DX9" s="101"/>
      <c r="DY9" s="101" t="s">
        <v>136</v>
      </c>
      <c r="DZ9" s="73">
        <f t="shared" si="6"/>
        <v>78</v>
      </c>
      <c r="EA9" s="101"/>
      <c r="EB9" s="102" t="s">
        <v>162</v>
      </c>
      <c r="EC9" s="103" t="str">
        <f t="shared" si="7"/>
        <v>Azar</v>
      </c>
    </row>
    <row r="10" spans="1:133" s="100" customFormat="1" ht="18" customHeight="1" x14ac:dyDescent="0.2">
      <c r="A10" s="60">
        <v>79</v>
      </c>
      <c r="B10" s="83" t="s">
        <v>163</v>
      </c>
      <c r="C10" s="84"/>
      <c r="D10" s="84">
        <v>2023</v>
      </c>
      <c r="E10" s="84"/>
      <c r="F10" s="84" t="s">
        <v>130</v>
      </c>
      <c r="G10" s="84"/>
      <c r="H10" s="85">
        <v>35</v>
      </c>
      <c r="I10" s="85"/>
      <c r="J10" s="84" t="s">
        <v>131</v>
      </c>
      <c r="K10" s="84"/>
      <c r="L10" s="86" t="s">
        <v>164</v>
      </c>
      <c r="M10" s="86"/>
      <c r="N10" s="3" t="s">
        <v>133</v>
      </c>
      <c r="O10" s="5" t="s">
        <v>145</v>
      </c>
      <c r="P10" s="86"/>
      <c r="Q10" s="84"/>
      <c r="R10" s="84"/>
      <c r="S10" s="86"/>
      <c r="T10" s="86"/>
      <c r="U10" s="86"/>
      <c r="V10" s="86"/>
      <c r="W10" s="86"/>
      <c r="X10" s="86"/>
      <c r="Y10" s="84"/>
      <c r="Z10" s="61">
        <f>'Other Vitamins &amp; Drugs'!Q10</f>
        <v>1</v>
      </c>
      <c r="AA10" s="3"/>
      <c r="AB10" s="84"/>
      <c r="AC10" s="84" t="s">
        <v>136</v>
      </c>
      <c r="AD10" s="3"/>
      <c r="AE10" s="29" t="str">
        <f t="shared" si="0"/>
        <v>Azar2</v>
      </c>
      <c r="AF10" s="84" t="s">
        <v>137</v>
      </c>
      <c r="AG10" s="61" t="str">
        <f>BS10</f>
        <v>Yes</v>
      </c>
      <c r="AH10" s="61"/>
      <c r="AI10" s="84" t="s">
        <v>137</v>
      </c>
      <c r="AJ10" s="84" t="s">
        <v>137</v>
      </c>
      <c r="AK10" s="84" t="s">
        <v>137</v>
      </c>
      <c r="AL10" s="3">
        <f>COUNTA(AJ10:AK10)</f>
        <v>2</v>
      </c>
      <c r="AM10" s="84" t="s">
        <v>136</v>
      </c>
      <c r="AN10" s="84" t="s">
        <v>136</v>
      </c>
      <c r="AO10" s="84"/>
      <c r="AP10" s="84" t="s">
        <v>152</v>
      </c>
      <c r="AQ10" s="87" t="s">
        <v>153</v>
      </c>
      <c r="AR10" s="86"/>
      <c r="AS10" s="86" t="s">
        <v>165</v>
      </c>
      <c r="AT10" s="86"/>
      <c r="AU10" s="86" t="s">
        <v>136</v>
      </c>
      <c r="AV10" s="86"/>
      <c r="AW10" s="86" t="s">
        <v>155</v>
      </c>
      <c r="AX10" s="86" t="s">
        <v>137</v>
      </c>
      <c r="AY10" s="86"/>
      <c r="AZ10" s="86"/>
      <c r="BA10" s="86" t="s">
        <v>136</v>
      </c>
      <c r="BB10" s="86" t="s">
        <v>136</v>
      </c>
      <c r="BC10" s="63">
        <f>COUNTA(BA10:BB10)</f>
        <v>2</v>
      </c>
      <c r="BD10" s="86"/>
      <c r="BE10" s="28" t="str">
        <f t="shared" si="1"/>
        <v>Azar2</v>
      </c>
      <c r="BF10" s="86"/>
      <c r="BG10" s="89"/>
      <c r="BH10" s="90"/>
      <c r="BI10" s="86">
        <v>56</v>
      </c>
      <c r="BJ10" s="91">
        <f>0.61*BI10 +2</f>
        <v>36.159999999999997</v>
      </c>
      <c r="BK10" s="88">
        <v>41</v>
      </c>
      <c r="BL10" s="92">
        <f>BK10</f>
        <v>41</v>
      </c>
      <c r="BM10" s="93"/>
      <c r="BN10" s="93"/>
      <c r="BO10" s="94"/>
      <c r="BP10" s="86">
        <v>6</v>
      </c>
      <c r="BQ10" s="86">
        <v>11</v>
      </c>
      <c r="BR10" s="86" t="s">
        <v>29</v>
      </c>
      <c r="BS10" s="95" t="s">
        <v>158</v>
      </c>
      <c r="BT10" s="96" t="str">
        <f t="shared" si="2"/>
        <v>Azar2</v>
      </c>
      <c r="BU10" s="86"/>
      <c r="BV10" s="86"/>
      <c r="BW10" s="89"/>
      <c r="BX10" s="86"/>
      <c r="BY10" s="86"/>
      <c r="BZ10" s="86"/>
      <c r="CA10" s="97"/>
      <c r="CB10" s="89"/>
      <c r="CC10" s="98"/>
      <c r="CD10" s="86"/>
      <c r="CE10" s="86"/>
      <c r="CF10" s="86"/>
      <c r="CG10" s="86"/>
      <c r="CH10" s="98"/>
      <c r="CI10" s="99" t="str">
        <f t="shared" si="3"/>
        <v>Azar2</v>
      </c>
      <c r="CJ10" s="32">
        <f t="shared" si="4"/>
        <v>1</v>
      </c>
      <c r="CK10" s="69"/>
      <c r="CL10" s="69"/>
      <c r="CM10" s="93"/>
      <c r="CN10" s="69"/>
      <c r="CO10" s="69"/>
      <c r="CP10" s="69"/>
      <c r="CR10" s="86"/>
      <c r="CS10" s="86"/>
      <c r="CT10" s="86"/>
      <c r="CU10" s="86"/>
      <c r="CV10" s="86"/>
      <c r="CW10" s="86"/>
      <c r="CX10" s="86"/>
      <c r="CY10" s="96" t="str">
        <f t="shared" si="5"/>
        <v>Azar2</v>
      </c>
      <c r="CZ10" s="86">
        <v>2</v>
      </c>
      <c r="DA10" s="84" t="s">
        <v>166</v>
      </c>
      <c r="DB10" s="84">
        <v>4</v>
      </c>
      <c r="DC10" s="84"/>
      <c r="DD10" s="84">
        <v>21</v>
      </c>
      <c r="DF10" s="86">
        <v>112</v>
      </c>
      <c r="DG10" s="84"/>
      <c r="DH10" s="86"/>
      <c r="DI10" s="86"/>
      <c r="DJ10" s="86"/>
      <c r="DK10" s="86"/>
      <c r="DL10" s="86"/>
      <c r="DM10" s="86"/>
      <c r="DN10" s="86"/>
      <c r="DO10" s="86"/>
      <c r="DP10" s="101"/>
      <c r="DQ10" s="101"/>
      <c r="DR10" s="101" t="s">
        <v>136</v>
      </c>
      <c r="DS10" s="101" t="s">
        <v>136</v>
      </c>
      <c r="DT10" s="101"/>
      <c r="DU10" s="101"/>
      <c r="DV10" s="101" t="s">
        <v>136</v>
      </c>
      <c r="DW10" s="101"/>
      <c r="DX10" s="101" t="s">
        <v>136</v>
      </c>
      <c r="DY10" s="101" t="s">
        <v>136</v>
      </c>
      <c r="DZ10" s="73">
        <f t="shared" si="6"/>
        <v>79</v>
      </c>
      <c r="EA10" s="101"/>
      <c r="EB10" s="102" t="s">
        <v>167</v>
      </c>
      <c r="EC10" s="103" t="str">
        <f t="shared" si="7"/>
        <v>Azar2</v>
      </c>
    </row>
    <row r="11" spans="1:133" s="72" customFormat="1" ht="18" customHeight="1" x14ac:dyDescent="0.2">
      <c r="A11" s="28">
        <v>80</v>
      </c>
      <c r="B11" s="29" t="s">
        <v>168</v>
      </c>
      <c r="C11" s="61"/>
      <c r="D11" s="61">
        <v>2019</v>
      </c>
      <c r="E11" s="61"/>
      <c r="F11" s="61" t="s">
        <v>169</v>
      </c>
      <c r="G11" s="61"/>
      <c r="H11" s="62">
        <v>40</v>
      </c>
      <c r="I11" s="62"/>
      <c r="J11" s="61" t="s">
        <v>143</v>
      </c>
      <c r="K11" s="61"/>
      <c r="L11" s="63"/>
      <c r="M11" s="63"/>
      <c r="N11" s="61" t="s">
        <v>133</v>
      </c>
      <c r="O11" s="63" t="s">
        <v>145</v>
      </c>
      <c r="P11" s="63"/>
      <c r="Q11" s="61"/>
      <c r="R11" s="61">
        <v>5</v>
      </c>
      <c r="S11" s="63"/>
      <c r="T11" s="63"/>
      <c r="U11" s="63"/>
      <c r="V11" s="63"/>
      <c r="W11" s="63"/>
      <c r="X11" s="63"/>
      <c r="Y11" s="61"/>
      <c r="Z11" s="61">
        <f>'Other Vitamins &amp; Drugs'!Q11</f>
        <v>1</v>
      </c>
      <c r="AA11" s="61"/>
      <c r="AB11" s="61"/>
      <c r="AC11" s="61" t="s">
        <v>136</v>
      </c>
      <c r="AD11" s="61"/>
      <c r="AE11" s="29" t="str">
        <f t="shared" si="0"/>
        <v>Benhamed</v>
      </c>
      <c r="AF11" s="61" t="s">
        <v>137</v>
      </c>
      <c r="AG11" s="61"/>
      <c r="AH11" s="61" t="str">
        <f>AF11</f>
        <v>Y</v>
      </c>
      <c r="AI11" s="61"/>
      <c r="AJ11" s="61"/>
      <c r="AK11" s="61"/>
      <c r="AL11" s="3"/>
      <c r="AM11" s="61" t="s">
        <v>136</v>
      </c>
      <c r="AN11" s="61" t="s">
        <v>136</v>
      </c>
      <c r="AO11" s="61"/>
      <c r="AP11" s="61"/>
      <c r="AQ11" s="65"/>
      <c r="AR11" s="63"/>
      <c r="AS11" s="63"/>
      <c r="AT11" s="63"/>
      <c r="AU11" s="63"/>
      <c r="AV11" s="63"/>
      <c r="AW11" s="63"/>
      <c r="AX11" s="63"/>
      <c r="AY11" s="63"/>
      <c r="AZ11" s="63"/>
      <c r="BA11" s="63" t="s">
        <v>136</v>
      </c>
      <c r="BB11" s="63" t="s">
        <v>136</v>
      </c>
      <c r="BC11" s="63">
        <f>COUNTA(BA11:BB11)</f>
        <v>2</v>
      </c>
      <c r="BD11" s="63"/>
      <c r="BE11" s="28" t="str">
        <f t="shared" si="1"/>
        <v>Benhamed</v>
      </c>
      <c r="BF11" s="63"/>
      <c r="BG11" s="63"/>
      <c r="BH11" s="69"/>
      <c r="BI11" s="104">
        <v>100</v>
      </c>
      <c r="BJ11" s="105">
        <f>0.61*BI11 + 2</f>
        <v>63</v>
      </c>
      <c r="BK11" s="63"/>
      <c r="BL11" s="106">
        <f>BJ11</f>
        <v>63</v>
      </c>
      <c r="BM11" s="71"/>
      <c r="BN11" s="71"/>
      <c r="BO11" s="67"/>
      <c r="BP11" s="63"/>
      <c r="BQ11" s="63"/>
      <c r="BR11" s="63"/>
      <c r="BS11" s="63"/>
      <c r="BT11" s="30" t="str">
        <f t="shared" si="2"/>
        <v>Benhamed</v>
      </c>
      <c r="BU11" s="63"/>
      <c r="BV11" s="63"/>
      <c r="BW11" s="69"/>
      <c r="BX11" s="104">
        <v>28</v>
      </c>
      <c r="BY11" s="105">
        <f>0.61*BX11 + 2</f>
        <v>19.079999999999998</v>
      </c>
      <c r="BZ11" s="63"/>
      <c r="CA11" s="68">
        <f>BY11</f>
        <v>19.079999999999998</v>
      </c>
      <c r="CB11" s="69"/>
      <c r="CC11" s="107">
        <f>BL11/CA11</f>
        <v>3.3018867924528306</v>
      </c>
      <c r="CD11" s="69"/>
      <c r="CE11" s="69"/>
      <c r="CF11" s="69"/>
      <c r="CG11" s="69"/>
      <c r="CH11" s="107"/>
      <c r="CI11" s="31" t="str">
        <f t="shared" si="3"/>
        <v>Benhamed</v>
      </c>
      <c r="CJ11" s="32">
        <f t="shared" si="4"/>
        <v>1</v>
      </c>
      <c r="CK11" s="69">
        <f>IF(CJ11=1,$CA11)</f>
        <v>19.079999999999998</v>
      </c>
      <c r="CL11" s="69"/>
      <c r="CM11" s="71"/>
      <c r="CN11" s="69"/>
      <c r="CO11" s="69"/>
      <c r="CP11" s="69">
        <f>IF($AC11="x",$CA11)</f>
        <v>19.079999999999998</v>
      </c>
      <c r="CR11" s="63"/>
      <c r="CS11" s="63"/>
      <c r="CT11" s="63"/>
      <c r="CU11" s="63"/>
      <c r="CV11" s="63"/>
      <c r="CW11" s="63"/>
      <c r="CX11" s="63"/>
      <c r="CY11" s="30" t="str">
        <f t="shared" si="5"/>
        <v>Benhamed</v>
      </c>
      <c r="CZ11" s="63">
        <v>0.3</v>
      </c>
      <c r="DA11" s="61"/>
      <c r="DB11" s="61">
        <v>2</v>
      </c>
      <c r="DC11" s="61"/>
      <c r="DD11" s="61">
        <v>2</v>
      </c>
      <c r="DF11" s="63">
        <v>130</v>
      </c>
      <c r="DG11" s="61"/>
      <c r="DH11" s="63">
        <v>150</v>
      </c>
      <c r="DI11" s="63">
        <v>81</v>
      </c>
      <c r="DJ11" s="63"/>
      <c r="DK11" s="63"/>
      <c r="DL11" s="63"/>
      <c r="DM11" s="63"/>
      <c r="DN11" s="63">
        <v>86</v>
      </c>
      <c r="DO11" s="63"/>
      <c r="DP11" s="73"/>
      <c r="DQ11" s="73"/>
      <c r="DR11" s="73" t="s">
        <v>136</v>
      </c>
      <c r="DS11" s="73"/>
      <c r="DT11" s="73"/>
      <c r="DU11" s="73"/>
      <c r="DV11" s="73"/>
      <c r="DW11" s="73"/>
      <c r="DX11" s="73"/>
      <c r="DY11" s="73"/>
      <c r="DZ11" s="73">
        <f t="shared" si="6"/>
        <v>80</v>
      </c>
      <c r="EA11" s="73"/>
      <c r="EB11" s="108"/>
      <c r="EC11" s="42" t="str">
        <f t="shared" si="7"/>
        <v>Benhamed</v>
      </c>
    </row>
    <row r="12" spans="1:133" ht="33" customHeight="1" x14ac:dyDescent="0.2">
      <c r="A12" s="1">
        <v>81</v>
      </c>
      <c r="B12" s="2" t="s">
        <v>170</v>
      </c>
      <c r="D12" s="3">
        <v>2021</v>
      </c>
      <c r="F12" s="3" t="s">
        <v>130</v>
      </c>
      <c r="H12" s="4">
        <v>48</v>
      </c>
      <c r="J12" s="3" t="s">
        <v>131</v>
      </c>
      <c r="L12" s="5" t="s">
        <v>132</v>
      </c>
      <c r="N12" s="3" t="s">
        <v>133</v>
      </c>
      <c r="O12" s="5" t="s">
        <v>145</v>
      </c>
      <c r="Q12" s="109"/>
      <c r="R12" s="109"/>
      <c r="S12" s="5" t="s">
        <v>134</v>
      </c>
      <c r="T12" s="5">
        <v>142</v>
      </c>
      <c r="U12" s="5" t="s">
        <v>171</v>
      </c>
      <c r="V12" s="5" t="s">
        <v>172</v>
      </c>
      <c r="Z12" s="61">
        <f>'Other Vitamins &amp; Drugs'!Q12</f>
        <v>1</v>
      </c>
      <c r="AB12" s="5" t="s">
        <v>173</v>
      </c>
      <c r="AC12" s="5"/>
      <c r="AD12" s="5"/>
      <c r="AE12" s="2" t="str">
        <f t="shared" si="0"/>
        <v>Conte/Weber</v>
      </c>
      <c r="AF12" s="5" t="s">
        <v>137</v>
      </c>
      <c r="AG12" s="61"/>
      <c r="AH12" s="61" t="str">
        <f>AF12</f>
        <v>Y</v>
      </c>
      <c r="AI12" s="3" t="s">
        <v>137</v>
      </c>
      <c r="AJ12" s="3" t="s">
        <v>137</v>
      </c>
      <c r="AL12" s="3">
        <f>COUNTA(AJ12:AK12)</f>
        <v>1</v>
      </c>
      <c r="AM12" s="3" t="s">
        <v>136</v>
      </c>
      <c r="AN12" s="3" t="s">
        <v>136</v>
      </c>
      <c r="AQ12" s="51"/>
      <c r="AR12" s="110" t="s">
        <v>174</v>
      </c>
      <c r="AY12" s="5" t="s">
        <v>175</v>
      </c>
      <c r="AZ12" s="5"/>
      <c r="BA12" s="5"/>
      <c r="BB12" s="5"/>
      <c r="BC12" s="63"/>
      <c r="BE12" s="1" t="str">
        <f t="shared" si="1"/>
        <v>Conte/Weber</v>
      </c>
      <c r="BF12" s="5"/>
      <c r="BG12" s="5"/>
      <c r="BH12" s="5"/>
      <c r="BI12" s="77">
        <v>60</v>
      </c>
      <c r="BJ12" s="111">
        <f>0.61*BI12 + 2</f>
        <v>38.6</v>
      </c>
      <c r="BK12" s="77">
        <v>35</v>
      </c>
      <c r="BL12" s="79">
        <f>BK12</f>
        <v>35</v>
      </c>
      <c r="BM12" s="54"/>
      <c r="BN12" s="54"/>
      <c r="BO12" s="80"/>
      <c r="BP12" s="5"/>
      <c r="BQ12" s="5">
        <v>16</v>
      </c>
      <c r="BR12" s="5"/>
      <c r="BS12" s="1"/>
      <c r="BT12" s="6" t="str">
        <f t="shared" si="2"/>
        <v>Conte/Weber</v>
      </c>
      <c r="BU12" s="5"/>
      <c r="BV12" s="5"/>
      <c r="BW12" s="5"/>
      <c r="BX12" s="5"/>
      <c r="BY12" s="111"/>
      <c r="BZ12" s="5"/>
      <c r="CA12" s="81"/>
      <c r="CB12" s="56"/>
      <c r="CC12" s="112"/>
      <c r="CD12" s="5"/>
      <c r="CE12" s="5"/>
      <c r="CF12" s="5"/>
      <c r="CG12" s="5"/>
      <c r="CH12" s="112"/>
      <c r="CI12" s="38" t="str">
        <f t="shared" si="3"/>
        <v>Conte/Weber</v>
      </c>
      <c r="CJ12" s="32">
        <f t="shared" si="4"/>
        <v>1</v>
      </c>
      <c r="CK12" s="69"/>
      <c r="CL12" s="69"/>
      <c r="CM12" s="54" t="str">
        <f t="shared" ref="CM12:CM22" si="8">AB12</f>
        <v>po</v>
      </c>
      <c r="CN12" s="69"/>
      <c r="CO12" s="69"/>
      <c r="CP12" s="69"/>
      <c r="CR12" s="5" t="s">
        <v>176</v>
      </c>
      <c r="CS12" s="5" t="s">
        <v>67</v>
      </c>
      <c r="CT12" s="5" t="s">
        <v>136</v>
      </c>
      <c r="CY12" s="6" t="str">
        <f t="shared" si="5"/>
        <v>Conte/Weber</v>
      </c>
      <c r="CZ12" s="5">
        <v>0.5</v>
      </c>
      <c r="DF12" s="5"/>
      <c r="DH12" s="113"/>
      <c r="DI12" s="113"/>
      <c r="DJ12" s="113"/>
      <c r="DK12" s="5"/>
      <c r="DL12" s="5"/>
      <c r="DM12" s="5"/>
      <c r="DN12" s="5"/>
      <c r="DO12" s="5"/>
      <c r="DP12" s="74"/>
      <c r="DQ12" s="114"/>
      <c r="DR12" s="74" t="s">
        <v>136</v>
      </c>
      <c r="DS12" s="74" t="s">
        <v>136</v>
      </c>
      <c r="DT12" s="74"/>
      <c r="DU12" s="74"/>
      <c r="DV12" s="74"/>
      <c r="DW12" s="74"/>
      <c r="DX12" s="74"/>
      <c r="DY12" s="74" t="s">
        <v>136</v>
      </c>
      <c r="DZ12" s="73">
        <f t="shared" si="6"/>
        <v>81</v>
      </c>
      <c r="EA12" s="74"/>
      <c r="EB12" s="75" t="s">
        <v>177</v>
      </c>
      <c r="EC12" s="58" t="str">
        <f t="shared" si="7"/>
        <v>Conte/Weber</v>
      </c>
    </row>
    <row r="13" spans="1:133" s="100" customFormat="1" ht="18" customHeight="1" x14ac:dyDescent="0.2">
      <c r="A13" s="60">
        <v>82</v>
      </c>
      <c r="B13" s="83" t="s">
        <v>178</v>
      </c>
      <c r="C13" s="84"/>
      <c r="D13" s="84">
        <v>2018</v>
      </c>
      <c r="E13" s="84"/>
      <c r="F13" s="84" t="s">
        <v>130</v>
      </c>
      <c r="G13" s="84"/>
      <c r="H13" s="115">
        <v>6</v>
      </c>
      <c r="I13" s="85"/>
      <c r="J13" s="84" t="s">
        <v>143</v>
      </c>
      <c r="K13" s="84"/>
      <c r="L13" s="86"/>
      <c r="M13" s="86"/>
      <c r="N13" s="84" t="s">
        <v>133</v>
      </c>
      <c r="O13" s="86"/>
      <c r="P13" s="86"/>
      <c r="Q13" s="84"/>
      <c r="R13" s="116"/>
      <c r="S13" s="86" t="s">
        <v>134</v>
      </c>
      <c r="T13" s="86">
        <v>20</v>
      </c>
      <c r="U13" s="86" t="s">
        <v>171</v>
      </c>
      <c r="V13" s="86" t="s">
        <v>179</v>
      </c>
      <c r="W13" s="86"/>
      <c r="X13" s="86"/>
      <c r="Y13" s="84">
        <v>0.3</v>
      </c>
      <c r="Z13" s="61">
        <f>'Other Vitamins &amp; Drugs'!Q13</f>
        <v>0</v>
      </c>
      <c r="AA13" s="3"/>
      <c r="AB13" s="86" t="s">
        <v>146</v>
      </c>
      <c r="AC13" s="86"/>
      <c r="AD13" s="86"/>
      <c r="AE13" s="83" t="str">
        <f t="shared" si="0"/>
        <v>Dean/Kim</v>
      </c>
      <c r="AF13" s="84" t="s">
        <v>137</v>
      </c>
      <c r="AG13" s="61" t="str">
        <f>BS13</f>
        <v>Yes</v>
      </c>
      <c r="AH13" s="61"/>
      <c r="AI13" s="84" t="s">
        <v>137</v>
      </c>
      <c r="AJ13" s="84" t="s">
        <v>137</v>
      </c>
      <c r="AK13" s="84"/>
      <c r="AL13" s="3">
        <f>COUNTA(AJ13:AK13)</f>
        <v>1</v>
      </c>
      <c r="AM13" s="84" t="s">
        <v>136</v>
      </c>
      <c r="AN13" s="84" t="s">
        <v>136</v>
      </c>
      <c r="AO13" s="84"/>
      <c r="AP13" s="84"/>
      <c r="AQ13" s="87"/>
      <c r="AR13" s="86"/>
      <c r="AS13" s="86"/>
      <c r="AT13" s="86"/>
      <c r="AU13" s="86"/>
      <c r="AV13" s="86"/>
      <c r="AW13" s="86"/>
      <c r="AX13" s="86"/>
      <c r="AY13" s="117" t="s">
        <v>180</v>
      </c>
      <c r="AZ13" s="117"/>
      <c r="BA13" s="117" t="s">
        <v>136</v>
      </c>
      <c r="BB13" s="117" t="s">
        <v>136</v>
      </c>
      <c r="BC13" s="63">
        <f>COUNTA(BA13:BB13)</f>
        <v>2</v>
      </c>
      <c r="BD13" s="86"/>
      <c r="BE13" s="60" t="str">
        <f t="shared" si="1"/>
        <v>Dean/Kim</v>
      </c>
      <c r="BF13" s="86"/>
      <c r="BG13" s="86"/>
      <c r="BH13" s="86"/>
      <c r="BI13" s="88">
        <v>68</v>
      </c>
      <c r="BJ13" s="118">
        <f>0.61*BI13 +2</f>
        <v>43.48</v>
      </c>
      <c r="BK13" s="86"/>
      <c r="BL13" s="92">
        <f>BJ13</f>
        <v>43.48</v>
      </c>
      <c r="BM13" s="93">
        <v>3.5</v>
      </c>
      <c r="BN13" s="119">
        <v>0.85</v>
      </c>
      <c r="BO13" s="94"/>
      <c r="BP13" s="120">
        <f>BM13/BN13</f>
        <v>4.1176470588235299</v>
      </c>
      <c r="BQ13" s="86">
        <v>4</v>
      </c>
      <c r="BR13" s="117" t="s">
        <v>29</v>
      </c>
      <c r="BS13" s="95" t="s">
        <v>158</v>
      </c>
      <c r="BT13" s="96" t="str">
        <f t="shared" si="2"/>
        <v>Dean/Kim</v>
      </c>
      <c r="BU13" s="86"/>
      <c r="BV13" s="86"/>
      <c r="BW13" s="86"/>
      <c r="BX13" s="104">
        <v>19</v>
      </c>
      <c r="BY13" s="105">
        <f>0.61*BX13 + 2</f>
        <v>13.59</v>
      </c>
      <c r="BZ13" s="63"/>
      <c r="CA13" s="68">
        <f>BY13</f>
        <v>13.59</v>
      </c>
      <c r="CB13" s="89"/>
      <c r="CC13" s="107">
        <f>BL13/CA13</f>
        <v>3.1994113318616626</v>
      </c>
      <c r="CD13" s="86"/>
      <c r="CE13" s="86"/>
      <c r="CF13" s="86"/>
      <c r="CG13" s="86"/>
      <c r="CH13" s="98"/>
      <c r="CI13" s="99" t="str">
        <f t="shared" si="3"/>
        <v>Dean/Kim</v>
      </c>
      <c r="CJ13" s="32">
        <f t="shared" si="4"/>
        <v>0</v>
      </c>
      <c r="CK13" s="69"/>
      <c r="CL13" s="69">
        <f>IF(CK13=0,$CA13)</f>
        <v>13.59</v>
      </c>
      <c r="CM13" s="93" t="str">
        <f t="shared" si="8"/>
        <v>iv</v>
      </c>
      <c r="CN13" s="69"/>
      <c r="CO13" s="69">
        <f>IF($AB13="iv",$CA13)</f>
        <v>13.59</v>
      </c>
      <c r="CP13" s="69"/>
      <c r="CR13" s="84" t="s">
        <v>114</v>
      </c>
      <c r="CS13" s="86">
        <v>850</v>
      </c>
      <c r="CT13" s="86" t="s">
        <v>136</v>
      </c>
      <c r="CU13" s="86"/>
      <c r="CV13" s="86"/>
      <c r="CW13" s="86"/>
      <c r="CX13" s="86"/>
      <c r="CY13" s="96" t="str">
        <f t="shared" si="5"/>
        <v>Dean/Kim</v>
      </c>
      <c r="CZ13" s="86">
        <v>3</v>
      </c>
      <c r="DA13" s="84"/>
      <c r="DB13" s="84"/>
      <c r="DC13" s="84"/>
      <c r="DD13" s="84">
        <v>2</v>
      </c>
      <c r="DF13" s="86"/>
      <c r="DG13" s="84"/>
      <c r="DH13" s="86">
        <v>108</v>
      </c>
      <c r="DI13" s="86">
        <v>68</v>
      </c>
      <c r="DJ13" s="86"/>
      <c r="DK13" s="86"/>
      <c r="DL13" s="86"/>
      <c r="DM13" s="86"/>
      <c r="DN13" s="86"/>
      <c r="DO13" s="86"/>
      <c r="DP13" s="101"/>
      <c r="DQ13" s="121"/>
      <c r="DR13" s="101"/>
      <c r="DS13" s="101"/>
      <c r="DT13" s="101"/>
      <c r="DU13" s="101"/>
      <c r="DV13" s="101"/>
      <c r="DW13" s="101" t="s">
        <v>136</v>
      </c>
      <c r="DX13" s="101"/>
      <c r="DY13" s="101" t="s">
        <v>136</v>
      </c>
      <c r="DZ13" s="73">
        <f t="shared" si="6"/>
        <v>82</v>
      </c>
      <c r="EA13" s="101"/>
      <c r="EB13" s="102" t="s">
        <v>167</v>
      </c>
      <c r="EC13" s="103" t="str">
        <f t="shared" si="7"/>
        <v>Dean/Kim</v>
      </c>
    </row>
    <row r="14" spans="1:133" s="72" customFormat="1" ht="18" customHeight="1" x14ac:dyDescent="0.2">
      <c r="A14" s="28">
        <v>83</v>
      </c>
      <c r="B14" s="29" t="s">
        <v>181</v>
      </c>
      <c r="C14" s="61"/>
      <c r="D14" s="61">
        <v>2013</v>
      </c>
      <c r="E14" s="61"/>
      <c r="F14" s="61" t="s">
        <v>130</v>
      </c>
      <c r="G14" s="61"/>
      <c r="H14" s="122">
        <v>9</v>
      </c>
      <c r="I14" s="62"/>
      <c r="J14" s="61" t="s">
        <v>143</v>
      </c>
      <c r="K14" s="61" t="s">
        <v>144</v>
      </c>
      <c r="L14" s="63"/>
      <c r="M14" s="63"/>
      <c r="N14" s="61" t="s">
        <v>133</v>
      </c>
      <c r="O14" s="63" t="s">
        <v>145</v>
      </c>
      <c r="P14" s="63"/>
      <c r="Q14" s="61"/>
      <c r="R14" s="61"/>
      <c r="S14" s="63" t="s">
        <v>182</v>
      </c>
      <c r="T14" s="63">
        <v>55</v>
      </c>
      <c r="U14" s="63" t="s">
        <v>171</v>
      </c>
      <c r="V14" s="63" t="s">
        <v>183</v>
      </c>
      <c r="W14" s="63" t="s">
        <v>158</v>
      </c>
      <c r="X14" s="63"/>
      <c r="Y14" s="61"/>
      <c r="Z14" s="61">
        <f>'Other Vitamins &amp; Drugs'!Q14</f>
        <v>0</v>
      </c>
      <c r="AA14" s="61"/>
      <c r="AB14" s="63" t="s">
        <v>146</v>
      </c>
      <c r="AC14" s="63"/>
      <c r="AD14" s="63"/>
      <c r="AE14" s="29" t="str">
        <f t="shared" si="0"/>
        <v>Duvall</v>
      </c>
      <c r="AF14" s="61" t="s">
        <v>137</v>
      </c>
      <c r="AG14" s="61"/>
      <c r="AH14" s="61" t="str">
        <f>AF14</f>
        <v>Y</v>
      </c>
      <c r="AI14" s="61"/>
      <c r="AJ14" s="61" t="s">
        <v>137</v>
      </c>
      <c r="AK14" s="61"/>
      <c r="AL14" s="3">
        <f>COUNTA(AJ14:AK14)</f>
        <v>1</v>
      </c>
      <c r="AM14" s="61" t="s">
        <v>136</v>
      </c>
      <c r="AN14" s="61" t="s">
        <v>136</v>
      </c>
      <c r="AO14" s="61" t="s">
        <v>136</v>
      </c>
      <c r="AP14" s="61"/>
      <c r="AQ14" s="65"/>
      <c r="AR14" s="63"/>
      <c r="AS14" s="63" t="s">
        <v>184</v>
      </c>
      <c r="AT14" s="63" t="s">
        <v>136</v>
      </c>
      <c r="AU14" s="63"/>
      <c r="AV14" s="63" t="s">
        <v>148</v>
      </c>
      <c r="AW14" s="63"/>
      <c r="AX14" s="63"/>
      <c r="AY14" s="63"/>
      <c r="AZ14" s="63"/>
      <c r="BA14" s="63" t="s">
        <v>136</v>
      </c>
      <c r="BB14" s="63"/>
      <c r="BC14" s="63">
        <f>COUNTA(BA14:BB14)</f>
        <v>1</v>
      </c>
      <c r="BD14" s="63" t="s">
        <v>185</v>
      </c>
      <c r="BE14" s="28" t="str">
        <f t="shared" si="1"/>
        <v>Duvall</v>
      </c>
      <c r="BF14" s="63"/>
      <c r="BG14" s="63"/>
      <c r="BH14" s="63"/>
      <c r="BI14" s="63"/>
      <c r="BJ14" s="123"/>
      <c r="BK14" s="104">
        <v>45</v>
      </c>
      <c r="BL14" s="106">
        <f>BK14</f>
        <v>45</v>
      </c>
      <c r="BM14" s="71"/>
      <c r="BN14" s="71"/>
      <c r="BO14" s="67"/>
      <c r="BP14" s="63"/>
      <c r="BQ14" s="124"/>
      <c r="BR14" s="63"/>
      <c r="BS14" s="28"/>
      <c r="BT14" s="30" t="str">
        <f t="shared" si="2"/>
        <v>Duvall</v>
      </c>
      <c r="BU14" s="63"/>
      <c r="BV14" s="63"/>
      <c r="BW14" s="63"/>
      <c r="BX14" s="63"/>
      <c r="BY14" s="123"/>
      <c r="BZ14" s="63"/>
      <c r="CA14" s="68"/>
      <c r="CB14" s="69"/>
      <c r="CC14" s="70"/>
      <c r="CD14" s="63"/>
      <c r="CE14" s="63"/>
      <c r="CF14" s="63"/>
      <c r="CG14" s="63"/>
      <c r="CH14" s="70"/>
      <c r="CI14" s="31" t="str">
        <f t="shared" si="3"/>
        <v>Duvall</v>
      </c>
      <c r="CJ14" s="32">
        <f t="shared" si="4"/>
        <v>0</v>
      </c>
      <c r="CK14" s="69"/>
      <c r="CL14" s="69"/>
      <c r="CM14" s="71" t="str">
        <f t="shared" si="8"/>
        <v>iv</v>
      </c>
      <c r="CN14" s="69"/>
      <c r="CO14" s="69"/>
      <c r="CP14" s="69"/>
      <c r="CR14" s="61"/>
      <c r="CS14" s="63">
        <v>2091</v>
      </c>
      <c r="CT14" s="63" t="s">
        <v>136</v>
      </c>
      <c r="CU14" s="63">
        <v>13</v>
      </c>
      <c r="CV14" s="63">
        <v>23</v>
      </c>
      <c r="CW14" s="63"/>
      <c r="CX14" s="63"/>
      <c r="CY14" s="30" t="str">
        <f t="shared" si="5"/>
        <v>Duvall</v>
      </c>
      <c r="CZ14" s="63">
        <v>4</v>
      </c>
      <c r="DA14" s="61"/>
      <c r="DB14" s="61">
        <v>5</v>
      </c>
      <c r="DC14" s="61"/>
      <c r="DD14" s="61">
        <v>9</v>
      </c>
      <c r="DF14" s="63">
        <v>135</v>
      </c>
      <c r="DG14" s="61"/>
      <c r="DH14" s="63">
        <v>79</v>
      </c>
      <c r="DI14" s="63">
        <v>66</v>
      </c>
      <c r="DJ14" s="63"/>
      <c r="DK14" s="63">
        <v>26</v>
      </c>
      <c r="DL14" s="63"/>
      <c r="DM14" s="63"/>
      <c r="DN14" s="63" t="s">
        <v>186</v>
      </c>
      <c r="DO14" s="63" t="s">
        <v>187</v>
      </c>
      <c r="DP14" s="73" t="s">
        <v>136</v>
      </c>
      <c r="DQ14" s="73"/>
      <c r="DR14" s="73" t="s">
        <v>136</v>
      </c>
      <c r="DS14" s="73"/>
      <c r="DT14" s="73"/>
      <c r="DU14" s="73"/>
      <c r="DV14" s="73"/>
      <c r="DW14" s="73" t="s">
        <v>136</v>
      </c>
      <c r="DX14" s="73"/>
      <c r="DY14" s="73" t="s">
        <v>136</v>
      </c>
      <c r="DZ14" s="73">
        <f t="shared" si="6"/>
        <v>83</v>
      </c>
      <c r="EA14" s="74"/>
      <c r="EB14" s="102" t="s">
        <v>167</v>
      </c>
      <c r="EC14" s="42" t="str">
        <f t="shared" si="7"/>
        <v>Duvall</v>
      </c>
    </row>
    <row r="15" spans="1:133" ht="18" customHeight="1" x14ac:dyDescent="0.2">
      <c r="A15" s="1">
        <v>84</v>
      </c>
      <c r="B15" s="2" t="s">
        <v>188</v>
      </c>
      <c r="D15" s="3">
        <v>2020</v>
      </c>
      <c r="F15" s="3" t="s">
        <v>189</v>
      </c>
      <c r="H15" s="4">
        <v>51</v>
      </c>
      <c r="J15" s="3" t="s">
        <v>143</v>
      </c>
      <c r="L15" s="5" t="s">
        <v>190</v>
      </c>
      <c r="N15" s="3" t="s">
        <v>133</v>
      </c>
      <c r="O15" s="6">
        <v>0.5</v>
      </c>
      <c r="Q15" s="3" t="s">
        <v>115</v>
      </c>
      <c r="R15" s="50">
        <f>O15/$Q$44*1000</f>
        <v>2.8409090909090908</v>
      </c>
      <c r="Y15" s="3">
        <v>1</v>
      </c>
      <c r="Z15" s="61">
        <f>'Other Vitamins &amp; Drugs'!Q15</f>
        <v>1</v>
      </c>
      <c r="AB15" s="5" t="s">
        <v>146</v>
      </c>
      <c r="AC15" s="5"/>
      <c r="AD15" s="5"/>
      <c r="AE15" s="2" t="str">
        <f t="shared" si="0"/>
        <v>Ferreira/Cavalcante</v>
      </c>
      <c r="AF15" s="3" t="s">
        <v>137</v>
      </c>
      <c r="AG15" s="61"/>
      <c r="AH15" s="61" t="str">
        <f>AF15</f>
        <v>Y</v>
      </c>
      <c r="AJ15" s="3" t="s">
        <v>137</v>
      </c>
      <c r="AK15" s="3" t="s">
        <v>137</v>
      </c>
      <c r="AL15" s="3">
        <f>COUNTA(AJ15:AK15)</f>
        <v>2</v>
      </c>
      <c r="AM15" s="3" t="s">
        <v>136</v>
      </c>
      <c r="AN15" s="3" t="s">
        <v>136</v>
      </c>
      <c r="AO15" s="3" t="s">
        <v>136</v>
      </c>
      <c r="AQ15" s="51"/>
      <c r="AS15" s="5" t="s">
        <v>191</v>
      </c>
      <c r="AV15" s="5" t="s">
        <v>148</v>
      </c>
      <c r="AY15" s="5"/>
      <c r="AZ15" s="5"/>
      <c r="BA15" s="5" t="s">
        <v>136</v>
      </c>
      <c r="BB15" s="5"/>
      <c r="BC15" s="63">
        <f>COUNTA(BA15:BB15)</f>
        <v>1</v>
      </c>
      <c r="BE15" s="1" t="str">
        <f t="shared" si="1"/>
        <v>Ferreira/Cavalcante</v>
      </c>
      <c r="BF15" s="5"/>
      <c r="BG15" s="5"/>
      <c r="BH15" s="5"/>
      <c r="BI15" s="77">
        <v>61</v>
      </c>
      <c r="BJ15" s="78">
        <f>0.61*BI15 + 2</f>
        <v>39.21</v>
      </c>
      <c r="BL15" s="79">
        <f>BJ15</f>
        <v>39.21</v>
      </c>
      <c r="BM15" s="54"/>
      <c r="BN15" s="54"/>
      <c r="BO15" s="80"/>
      <c r="BP15" s="5"/>
      <c r="BQ15" s="47"/>
      <c r="BR15" s="5"/>
      <c r="BS15" s="1"/>
      <c r="BT15" s="6" t="str">
        <f t="shared" si="2"/>
        <v>Ferreira/Cavalcante</v>
      </c>
      <c r="BU15" s="5"/>
      <c r="BV15" s="5"/>
      <c r="BW15" s="5"/>
      <c r="BX15" s="5"/>
      <c r="BY15" s="111"/>
      <c r="BZ15" s="5"/>
      <c r="CA15" s="81"/>
      <c r="CB15" s="56"/>
      <c r="CC15" s="112"/>
      <c r="CD15" s="5"/>
      <c r="CE15" s="5"/>
      <c r="CF15" s="5"/>
      <c r="CG15" s="5"/>
      <c r="CH15" s="112"/>
      <c r="CI15" s="38" t="str">
        <f t="shared" si="3"/>
        <v>Ferreira/Cavalcante</v>
      </c>
      <c r="CJ15" s="32">
        <f t="shared" si="4"/>
        <v>1</v>
      </c>
      <c r="CK15" s="69"/>
      <c r="CL15" s="69"/>
      <c r="CM15" s="54" t="str">
        <f t="shared" si="8"/>
        <v>iv</v>
      </c>
      <c r="CN15" s="69"/>
      <c r="CO15" s="69"/>
      <c r="CP15" s="69"/>
      <c r="CR15" s="5"/>
      <c r="CW15" s="5">
        <v>51</v>
      </c>
      <c r="CY15" s="6" t="str">
        <f t="shared" si="5"/>
        <v>Ferreira/Cavalcante</v>
      </c>
      <c r="CZ15" s="5">
        <v>1</v>
      </c>
      <c r="DD15" s="109"/>
      <c r="DF15" s="5" t="s">
        <v>192</v>
      </c>
      <c r="DH15" s="5"/>
      <c r="DI15" s="5"/>
      <c r="DJ15" s="5"/>
      <c r="DK15" s="5">
        <v>20</v>
      </c>
      <c r="DL15" s="5"/>
      <c r="DM15" s="5"/>
      <c r="DN15" s="5">
        <v>98</v>
      </c>
      <c r="DO15" s="5"/>
      <c r="DP15" s="74"/>
      <c r="DQ15" s="74"/>
      <c r="DR15" s="74" t="s">
        <v>136</v>
      </c>
      <c r="DS15" s="74" t="s">
        <v>136</v>
      </c>
      <c r="DT15" s="74"/>
      <c r="DU15" s="74"/>
      <c r="DV15" s="74" t="s">
        <v>136</v>
      </c>
      <c r="DW15" s="74" t="s">
        <v>136</v>
      </c>
      <c r="DX15" s="74"/>
      <c r="DY15" s="74" t="s">
        <v>136</v>
      </c>
      <c r="DZ15" s="73">
        <f t="shared" si="6"/>
        <v>84</v>
      </c>
      <c r="EA15" s="74"/>
      <c r="EB15" s="102" t="s">
        <v>167</v>
      </c>
      <c r="EC15" s="58" t="str">
        <f t="shared" si="7"/>
        <v>Ferreira/Cavalcante</v>
      </c>
    </row>
    <row r="16" spans="1:133" s="100" customFormat="1" ht="27" customHeight="1" x14ac:dyDescent="0.2">
      <c r="A16" s="60">
        <v>85</v>
      </c>
      <c r="B16" s="83" t="s">
        <v>193</v>
      </c>
      <c r="C16" s="84"/>
      <c r="D16" s="84">
        <v>2019</v>
      </c>
      <c r="E16" s="84"/>
      <c r="F16" s="84" t="s">
        <v>130</v>
      </c>
      <c r="G16" s="84"/>
      <c r="H16" s="84">
        <v>17</v>
      </c>
      <c r="I16" s="85"/>
      <c r="J16" s="84" t="s">
        <v>143</v>
      </c>
      <c r="K16" s="84"/>
      <c r="L16" s="86"/>
      <c r="M16" s="86"/>
      <c r="N16" s="84" t="s">
        <v>133</v>
      </c>
      <c r="O16" s="86" t="s">
        <v>145</v>
      </c>
      <c r="P16" s="86"/>
      <c r="Q16" s="84"/>
      <c r="R16" s="125"/>
      <c r="S16" s="86"/>
      <c r="T16" s="86"/>
      <c r="U16" s="86"/>
      <c r="V16" s="86"/>
      <c r="W16" s="86"/>
      <c r="X16" s="86"/>
      <c r="Y16" s="84"/>
      <c r="Z16" s="61">
        <f>'Other Vitamins &amp; Drugs'!Q16</f>
        <v>0</v>
      </c>
      <c r="AA16" s="3"/>
      <c r="AB16" s="86" t="s">
        <v>173</v>
      </c>
      <c r="AC16" s="86"/>
      <c r="AD16" s="86"/>
      <c r="AE16" s="83" t="str">
        <f t="shared" si="0"/>
        <v>Frank</v>
      </c>
      <c r="AF16" s="84" t="s">
        <v>137</v>
      </c>
      <c r="AG16" s="61"/>
      <c r="AH16" s="61" t="str">
        <f>AF16</f>
        <v>Y</v>
      </c>
      <c r="AI16" s="84"/>
      <c r="AJ16" s="84" t="s">
        <v>137</v>
      </c>
      <c r="AK16" s="84"/>
      <c r="AL16" s="3">
        <f>COUNTA(AJ16:AK16)</f>
        <v>1</v>
      </c>
      <c r="AM16" s="84" t="s">
        <v>136</v>
      </c>
      <c r="AN16" s="84" t="s">
        <v>136</v>
      </c>
      <c r="AO16" s="84"/>
      <c r="AP16" s="84"/>
      <c r="AQ16" s="87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63"/>
      <c r="BD16" s="86"/>
      <c r="BE16" s="60" t="str">
        <f t="shared" si="1"/>
        <v>Frank</v>
      </c>
      <c r="BF16" s="88">
        <v>4.2</v>
      </c>
      <c r="BG16" s="89">
        <f>4*BF16^2</f>
        <v>70.56</v>
      </c>
      <c r="BH16" s="90">
        <f>BG16+BH$5</f>
        <v>80.56</v>
      </c>
      <c r="BI16" s="86"/>
      <c r="BJ16" s="118">
        <f>0.61*BH16 +2</f>
        <v>51.141599999999997</v>
      </c>
      <c r="BK16" s="86"/>
      <c r="BL16" s="92">
        <f>BJ16</f>
        <v>51.141599999999997</v>
      </c>
      <c r="BM16" s="93"/>
      <c r="BN16" s="93"/>
      <c r="BO16" s="94"/>
      <c r="BP16" s="86"/>
      <c r="BQ16" s="126"/>
      <c r="BR16" s="86"/>
      <c r="BS16" s="60"/>
      <c r="BT16" s="96" t="str">
        <f t="shared" si="2"/>
        <v>Frank</v>
      </c>
      <c r="BU16" s="88">
        <v>2.4</v>
      </c>
      <c r="BV16" s="89">
        <f>4*BU16^2</f>
        <v>23.04</v>
      </c>
      <c r="BW16" s="90">
        <f>BV16+BW$5</f>
        <v>33.04</v>
      </c>
      <c r="BX16" s="86"/>
      <c r="BY16" s="118">
        <f>0.61*BW16 +2</f>
        <v>22.154399999999999</v>
      </c>
      <c r="BZ16" s="86"/>
      <c r="CA16" s="97">
        <f>BY16</f>
        <v>22.154399999999999</v>
      </c>
      <c r="CB16" s="89"/>
      <c r="CC16" s="127">
        <f t="shared" ref="CC16:CC22" si="9">BL16/CA16</f>
        <v>2.3084172895677608</v>
      </c>
      <c r="CD16" s="89"/>
      <c r="CE16" s="89"/>
      <c r="CF16" s="89"/>
      <c r="CG16" s="89"/>
      <c r="CH16" s="127"/>
      <c r="CI16" s="99" t="str">
        <f t="shared" si="3"/>
        <v>Frank</v>
      </c>
      <c r="CJ16" s="32">
        <f t="shared" si="4"/>
        <v>0</v>
      </c>
      <c r="CK16" s="69"/>
      <c r="CL16" s="69">
        <f>IF(CK16=0,$CA16)</f>
        <v>22.154399999999999</v>
      </c>
      <c r="CM16" s="93" t="str">
        <f t="shared" si="8"/>
        <v>po</v>
      </c>
      <c r="CN16" s="69">
        <f>IF($AB16="po",$CA16)</f>
        <v>22.154399999999999</v>
      </c>
      <c r="CO16" s="69"/>
      <c r="CP16" s="69"/>
      <c r="CR16" s="117" t="s">
        <v>194</v>
      </c>
      <c r="CS16" s="117" t="s">
        <v>195</v>
      </c>
      <c r="CT16" s="86" t="s">
        <v>136</v>
      </c>
      <c r="CU16" s="86"/>
      <c r="CV16" s="86">
        <v>19</v>
      </c>
      <c r="CW16" s="86">
        <v>111</v>
      </c>
      <c r="CX16" s="86"/>
      <c r="CY16" s="96" t="str">
        <f t="shared" si="5"/>
        <v>Frank</v>
      </c>
      <c r="CZ16" s="86">
        <v>0.5</v>
      </c>
      <c r="DA16" s="84"/>
      <c r="DB16" s="84">
        <v>2</v>
      </c>
      <c r="DC16" s="84"/>
      <c r="DD16" s="84">
        <v>30</v>
      </c>
      <c r="DF16" s="86"/>
      <c r="DG16" s="84"/>
      <c r="DH16" s="86"/>
      <c r="DI16" s="86"/>
      <c r="DJ16" s="86"/>
      <c r="DK16" s="86"/>
      <c r="DL16" s="86"/>
      <c r="DM16" s="86"/>
      <c r="DN16" s="86"/>
      <c r="DO16" s="86" t="s">
        <v>158</v>
      </c>
      <c r="DP16" s="101" t="s">
        <v>136</v>
      </c>
      <c r="DQ16" s="101"/>
      <c r="DR16" s="101"/>
      <c r="DS16" s="101" t="s">
        <v>136</v>
      </c>
      <c r="DT16" s="101"/>
      <c r="DU16" s="101" t="s">
        <v>136</v>
      </c>
      <c r="DV16" s="101" t="s">
        <v>136</v>
      </c>
      <c r="DW16" s="101" t="s">
        <v>136</v>
      </c>
      <c r="DX16" s="101" t="s">
        <v>136</v>
      </c>
      <c r="DY16" s="74" t="s">
        <v>136</v>
      </c>
      <c r="DZ16" s="73">
        <f t="shared" si="6"/>
        <v>85</v>
      </c>
      <c r="EA16" s="74"/>
      <c r="EB16" s="102" t="s">
        <v>167</v>
      </c>
      <c r="EC16" s="103" t="str">
        <f t="shared" si="7"/>
        <v>Frank</v>
      </c>
    </row>
    <row r="17" spans="1:133" s="72" customFormat="1" ht="18" customHeight="1" x14ac:dyDescent="0.25">
      <c r="A17" s="28">
        <v>86</v>
      </c>
      <c r="B17" s="29" t="s">
        <v>196</v>
      </c>
      <c r="C17" s="61"/>
      <c r="D17" s="63">
        <v>2020</v>
      </c>
      <c r="E17" s="61"/>
      <c r="F17" s="61" t="s">
        <v>130</v>
      </c>
      <c r="G17" s="61"/>
      <c r="H17" s="62">
        <v>60</v>
      </c>
      <c r="I17" s="62"/>
      <c r="J17" s="61" t="s">
        <v>143</v>
      </c>
      <c r="K17" s="61"/>
      <c r="L17" s="63"/>
      <c r="M17" s="63"/>
      <c r="N17" s="61" t="s">
        <v>133</v>
      </c>
      <c r="O17" s="63" t="s">
        <v>145</v>
      </c>
      <c r="P17" s="63"/>
      <c r="Q17" s="61"/>
      <c r="R17" s="64"/>
      <c r="S17" s="63"/>
      <c r="T17" s="63"/>
      <c r="U17" s="63"/>
      <c r="V17" s="63"/>
      <c r="W17" s="63"/>
      <c r="X17" s="63"/>
      <c r="Y17" s="61">
        <v>2</v>
      </c>
      <c r="Z17" s="61">
        <f>'Other Vitamins &amp; Drugs'!Q17</f>
        <v>0</v>
      </c>
      <c r="AA17" s="61"/>
      <c r="AB17" s="63" t="s">
        <v>173</v>
      </c>
      <c r="AC17" s="63"/>
      <c r="AD17" s="63"/>
      <c r="AE17" s="29" t="str">
        <f t="shared" si="0"/>
        <v>Gayen</v>
      </c>
      <c r="AF17" s="61" t="s">
        <v>137</v>
      </c>
      <c r="AG17" s="61" t="str">
        <f>BS17</f>
        <v>Yes</v>
      </c>
      <c r="AH17" s="61"/>
      <c r="AI17" s="61" t="s">
        <v>137</v>
      </c>
      <c r="AJ17" s="61"/>
      <c r="AK17" s="61"/>
      <c r="AL17" s="3"/>
      <c r="AM17" s="61"/>
      <c r="AN17" s="61"/>
      <c r="AO17" s="61"/>
      <c r="AP17" s="61"/>
      <c r="AQ17" s="65"/>
      <c r="AR17" s="63"/>
      <c r="AS17" s="63"/>
      <c r="AT17" s="63"/>
      <c r="AU17" s="63"/>
      <c r="AV17" s="63"/>
      <c r="AW17" s="63" t="s">
        <v>155</v>
      </c>
      <c r="AX17" s="63"/>
      <c r="AY17" s="128"/>
      <c r="AZ17" s="128"/>
      <c r="BA17" s="128" t="s">
        <v>136</v>
      </c>
      <c r="BB17" s="128"/>
      <c r="BC17" s="63">
        <f t="shared" ref="BC17:BC23" si="10">COUNTA(BA17:BB17)</f>
        <v>1</v>
      </c>
      <c r="BD17" s="63"/>
      <c r="BE17" s="28" t="str">
        <f t="shared" si="1"/>
        <v>Gayen</v>
      </c>
      <c r="BF17" s="63"/>
      <c r="BG17" s="63"/>
      <c r="BH17" s="63"/>
      <c r="BI17" s="129">
        <v>72</v>
      </c>
      <c r="BJ17" s="111">
        <f>0.61*BI17 + 2</f>
        <v>45.92</v>
      </c>
      <c r="BK17" s="129">
        <v>41</v>
      </c>
      <c r="BL17" s="106">
        <f>BK17</f>
        <v>41</v>
      </c>
      <c r="BM17" s="71"/>
      <c r="BN17" s="71"/>
      <c r="BO17" s="67">
        <v>694</v>
      </c>
      <c r="BP17" s="50">
        <f>BO17/80</f>
        <v>8.6750000000000007</v>
      </c>
      <c r="BQ17" s="63">
        <v>11</v>
      </c>
      <c r="BR17" s="128" t="s">
        <v>29</v>
      </c>
      <c r="BS17" s="34" t="s">
        <v>158</v>
      </c>
      <c r="BT17" s="30" t="str">
        <f t="shared" si="2"/>
        <v>Gayen</v>
      </c>
      <c r="BU17" s="63"/>
      <c r="BV17" s="63"/>
      <c r="BW17" s="63"/>
      <c r="BX17" s="104">
        <v>29</v>
      </c>
      <c r="BY17" s="105">
        <f>0.61*BX17 + 2</f>
        <v>19.690000000000001</v>
      </c>
      <c r="BZ17" s="63"/>
      <c r="CA17" s="68">
        <f>BY17</f>
        <v>19.690000000000001</v>
      </c>
      <c r="CB17" s="69"/>
      <c r="CC17" s="107">
        <f t="shared" si="9"/>
        <v>2.0822752666328084</v>
      </c>
      <c r="CD17" s="69"/>
      <c r="CE17" s="69"/>
      <c r="CF17" s="69">
        <v>316</v>
      </c>
      <c r="CG17" s="50">
        <f>CF17/80</f>
        <v>3.95</v>
      </c>
      <c r="CH17" s="107">
        <f>BP17/CG17</f>
        <v>2.1962025316455698</v>
      </c>
      <c r="CI17" s="31" t="str">
        <f t="shared" si="3"/>
        <v>Gayen</v>
      </c>
      <c r="CJ17" s="32">
        <f t="shared" si="4"/>
        <v>0</v>
      </c>
      <c r="CK17" s="69"/>
      <c r="CL17" s="69">
        <f>IF(CK17=0,$CA17)</f>
        <v>19.690000000000001</v>
      </c>
      <c r="CM17" s="71" t="str">
        <f t="shared" si="8"/>
        <v>po</v>
      </c>
      <c r="CN17" s="69">
        <f>IF($AB17="po",$CA17)</f>
        <v>19.690000000000001</v>
      </c>
      <c r="CO17" s="69"/>
      <c r="CP17" s="69"/>
      <c r="CR17" s="69"/>
      <c r="CS17" s="63"/>
      <c r="CT17" s="63"/>
      <c r="CU17" s="63"/>
      <c r="CV17" s="63"/>
      <c r="CW17" s="63">
        <v>84</v>
      </c>
      <c r="CX17" s="63"/>
      <c r="CY17" s="30" t="str">
        <f t="shared" si="5"/>
        <v>Gayen</v>
      </c>
      <c r="CZ17" s="63">
        <v>4</v>
      </c>
      <c r="DA17" s="61"/>
      <c r="DB17" s="61"/>
      <c r="DC17" s="61"/>
      <c r="DD17" s="61">
        <v>150</v>
      </c>
      <c r="DF17" s="63">
        <v>72</v>
      </c>
      <c r="DG17" s="61"/>
      <c r="DH17" s="63">
        <v>159</v>
      </c>
      <c r="DI17" s="63">
        <v>98</v>
      </c>
      <c r="DJ17" s="63"/>
      <c r="DK17" s="63"/>
      <c r="DL17" s="63"/>
      <c r="DM17" s="63"/>
      <c r="DN17" s="63">
        <v>99</v>
      </c>
      <c r="DO17" s="63"/>
      <c r="DP17" s="73"/>
      <c r="DQ17" s="73"/>
      <c r="DR17" s="73" t="s">
        <v>136</v>
      </c>
      <c r="DS17" s="73" t="s">
        <v>136</v>
      </c>
      <c r="DT17" s="73"/>
      <c r="DU17" s="73"/>
      <c r="DV17" s="73" t="s">
        <v>136</v>
      </c>
      <c r="DW17" s="73" t="s">
        <v>136</v>
      </c>
      <c r="DX17" s="73"/>
      <c r="DY17" s="73" t="s">
        <v>136</v>
      </c>
      <c r="DZ17" s="73">
        <f t="shared" si="6"/>
        <v>86</v>
      </c>
      <c r="EA17" s="73"/>
      <c r="EB17" s="108" t="s">
        <v>197</v>
      </c>
      <c r="EC17" s="42" t="str">
        <f t="shared" si="7"/>
        <v>Gayen</v>
      </c>
    </row>
    <row r="18" spans="1:133" ht="18" customHeight="1" x14ac:dyDescent="0.2">
      <c r="A18" s="1">
        <v>87</v>
      </c>
      <c r="B18" s="2" t="s">
        <v>198</v>
      </c>
      <c r="D18" s="3">
        <v>2018</v>
      </c>
      <c r="F18" s="3" t="s">
        <v>199</v>
      </c>
      <c r="H18" s="4">
        <v>66</v>
      </c>
      <c r="J18" s="3" t="s">
        <v>143</v>
      </c>
      <c r="N18" s="3" t="s">
        <v>133</v>
      </c>
      <c r="O18" s="5" t="s">
        <v>145</v>
      </c>
      <c r="Y18" s="3">
        <v>1</v>
      </c>
      <c r="Z18" s="61">
        <f>'Other Vitamins &amp; Drugs'!Q18</f>
        <v>1</v>
      </c>
      <c r="AB18" s="5" t="s">
        <v>173</v>
      </c>
      <c r="AC18" s="5"/>
      <c r="AD18" s="5"/>
      <c r="AE18" s="2" t="str">
        <f t="shared" si="0"/>
        <v>Ghulam</v>
      </c>
      <c r="AF18" s="3" t="s">
        <v>137</v>
      </c>
      <c r="AG18" s="61"/>
      <c r="AH18" s="61" t="str">
        <f>AF18</f>
        <v>Y</v>
      </c>
      <c r="AJ18" s="3" t="s">
        <v>137</v>
      </c>
      <c r="AK18" s="3" t="s">
        <v>137</v>
      </c>
      <c r="AL18" s="3">
        <f>COUNTA(AJ18:AK18)</f>
        <v>2</v>
      </c>
      <c r="AM18" s="3" t="s">
        <v>136</v>
      </c>
      <c r="AN18" s="3" t="s">
        <v>136</v>
      </c>
      <c r="AO18" s="3" t="s">
        <v>136</v>
      </c>
      <c r="AQ18" s="51" t="s">
        <v>153</v>
      </c>
      <c r="AR18" s="5" t="s">
        <v>200</v>
      </c>
      <c r="AS18" s="5" t="s">
        <v>201</v>
      </c>
      <c r="AV18" s="5" t="s">
        <v>148</v>
      </c>
      <c r="AY18" s="5"/>
      <c r="AZ18" s="5"/>
      <c r="BA18" s="5" t="s">
        <v>136</v>
      </c>
      <c r="BB18" s="5"/>
      <c r="BC18" s="63">
        <f t="shared" si="10"/>
        <v>1</v>
      </c>
      <c r="BE18" s="1" t="str">
        <f t="shared" si="1"/>
        <v>Ghulam</v>
      </c>
      <c r="BF18" s="5"/>
      <c r="BG18" s="5"/>
      <c r="BH18" s="5"/>
      <c r="BI18" s="77">
        <v>97</v>
      </c>
      <c r="BJ18" s="78">
        <f>0.61*BI18 + 2</f>
        <v>61.17</v>
      </c>
      <c r="BK18" s="5"/>
      <c r="BL18" s="79">
        <f>BJ18</f>
        <v>61.17</v>
      </c>
      <c r="BM18" s="54"/>
      <c r="BN18" s="54"/>
      <c r="BO18" s="80"/>
      <c r="BP18" s="5"/>
      <c r="BQ18" s="47"/>
      <c r="BR18" s="5"/>
      <c r="BS18" s="1"/>
      <c r="BT18" s="6" t="str">
        <f t="shared" si="2"/>
        <v>Ghulam</v>
      </c>
      <c r="BU18" s="5"/>
      <c r="BV18" s="5"/>
      <c r="BW18" s="5"/>
      <c r="BX18" s="77">
        <v>28</v>
      </c>
      <c r="BY18" s="78">
        <f>0.61*BX18 + 2</f>
        <v>19.079999999999998</v>
      </c>
      <c r="BZ18" s="5"/>
      <c r="CA18" s="81">
        <f>BY18</f>
        <v>19.079999999999998</v>
      </c>
      <c r="CB18" s="56"/>
      <c r="CC18" s="82">
        <f t="shared" si="9"/>
        <v>3.2059748427672958</v>
      </c>
      <c r="CD18" s="56"/>
      <c r="CE18" s="56"/>
      <c r="CF18" s="56"/>
      <c r="CG18" s="56"/>
      <c r="CH18" s="82"/>
      <c r="CI18" s="38" t="str">
        <f t="shared" si="3"/>
        <v>Ghulam</v>
      </c>
      <c r="CJ18" s="32">
        <f t="shared" si="4"/>
        <v>1</v>
      </c>
      <c r="CK18" s="69">
        <f>IF(CJ18=1,$CA18)</f>
        <v>19.079999999999998</v>
      </c>
      <c r="CL18" s="69"/>
      <c r="CM18" s="54" t="str">
        <f t="shared" si="8"/>
        <v>po</v>
      </c>
      <c r="CN18" s="69">
        <f>IF($AB18="po",$CA18)</f>
        <v>19.079999999999998</v>
      </c>
      <c r="CO18" s="69"/>
      <c r="CP18" s="69"/>
      <c r="CR18" s="56" t="s">
        <v>114</v>
      </c>
      <c r="CS18" s="5">
        <v>298</v>
      </c>
      <c r="CT18" s="5" t="s">
        <v>136</v>
      </c>
      <c r="CW18" s="5">
        <v>104</v>
      </c>
      <c r="CY18" s="6" t="str">
        <f t="shared" si="5"/>
        <v>Ghulam</v>
      </c>
      <c r="CZ18" s="5">
        <f>4+6+3</f>
        <v>13</v>
      </c>
      <c r="DB18" s="3">
        <v>7</v>
      </c>
      <c r="DD18" s="3">
        <v>14</v>
      </c>
      <c r="DF18" s="5"/>
      <c r="DH18" s="5">
        <v>115</v>
      </c>
      <c r="DI18" s="5">
        <v>70</v>
      </c>
      <c r="DJ18" s="5"/>
      <c r="DK18" s="5"/>
      <c r="DL18" s="5"/>
      <c r="DM18" s="5"/>
      <c r="DN18" s="5">
        <v>91</v>
      </c>
      <c r="DO18" s="5"/>
      <c r="DP18" s="74"/>
      <c r="DQ18" s="114"/>
      <c r="DR18" s="74" t="s">
        <v>136</v>
      </c>
      <c r="DS18" s="74"/>
      <c r="DT18" s="74"/>
      <c r="DU18" s="74"/>
      <c r="DV18" s="74" t="s">
        <v>136</v>
      </c>
      <c r="DW18" s="74"/>
      <c r="DX18" s="74"/>
      <c r="DY18" s="74"/>
      <c r="DZ18" s="73">
        <f t="shared" si="6"/>
        <v>87</v>
      </c>
      <c r="EA18" s="74" t="s">
        <v>136</v>
      </c>
      <c r="EB18" s="75" t="s">
        <v>202</v>
      </c>
      <c r="EC18" s="58" t="str">
        <f t="shared" si="7"/>
        <v>Ghulam</v>
      </c>
    </row>
    <row r="19" spans="1:133" s="100" customFormat="1" ht="18" customHeight="1" x14ac:dyDescent="0.2">
      <c r="A19" s="60">
        <v>88</v>
      </c>
      <c r="B19" s="83" t="s">
        <v>203</v>
      </c>
      <c r="C19" s="84"/>
      <c r="D19" s="84">
        <v>2021</v>
      </c>
      <c r="E19" s="84"/>
      <c r="F19" s="84" t="s">
        <v>130</v>
      </c>
      <c r="G19" s="84"/>
      <c r="H19" s="84">
        <v>22</v>
      </c>
      <c r="I19" s="85"/>
      <c r="J19" s="84" t="s">
        <v>143</v>
      </c>
      <c r="K19" s="84" t="s">
        <v>144</v>
      </c>
      <c r="L19" s="86"/>
      <c r="M19" s="86"/>
      <c r="N19" s="84" t="s">
        <v>204</v>
      </c>
      <c r="O19" s="86" t="s">
        <v>145</v>
      </c>
      <c r="P19" s="86"/>
      <c r="Q19" s="84"/>
      <c r="R19" s="84"/>
      <c r="S19" s="86"/>
      <c r="T19" s="86"/>
      <c r="U19" s="86"/>
      <c r="V19" s="86"/>
      <c r="W19" s="86"/>
      <c r="X19" s="86"/>
      <c r="Y19" s="84">
        <v>1</v>
      </c>
      <c r="Z19" s="61">
        <f>'Other Vitamins &amp; Drugs'!Q19</f>
        <v>1</v>
      </c>
      <c r="AA19" s="3"/>
      <c r="AB19" s="86" t="s">
        <v>173</v>
      </c>
      <c r="AC19" s="86"/>
      <c r="AD19" s="86"/>
      <c r="AE19" s="83" t="str">
        <f t="shared" si="0"/>
        <v>Gilmore/Al-Qadi</v>
      </c>
      <c r="AF19" s="84" t="s">
        <v>137</v>
      </c>
      <c r="AG19" s="61"/>
      <c r="AH19" s="61" t="str">
        <f>AF19</f>
        <v>Y</v>
      </c>
      <c r="AI19" s="84"/>
      <c r="AJ19" s="84" t="s">
        <v>137</v>
      </c>
      <c r="AK19" s="84" t="s">
        <v>137</v>
      </c>
      <c r="AL19" s="3">
        <f>COUNTA(AJ19:AK19)</f>
        <v>2</v>
      </c>
      <c r="AM19" s="84" t="s">
        <v>136</v>
      </c>
      <c r="AN19" s="84" t="s">
        <v>136</v>
      </c>
      <c r="AO19" s="84"/>
      <c r="AP19" s="84"/>
      <c r="AQ19" s="87"/>
      <c r="AR19" s="86"/>
      <c r="AS19" s="86"/>
      <c r="AT19" s="86"/>
      <c r="AU19" s="86"/>
      <c r="AV19" s="86"/>
      <c r="AW19" s="86"/>
      <c r="AX19" s="86"/>
      <c r="AY19" s="86" t="s">
        <v>205</v>
      </c>
      <c r="AZ19" s="86"/>
      <c r="BA19" s="86" t="s">
        <v>136</v>
      </c>
      <c r="BB19" s="86"/>
      <c r="BC19" s="63">
        <f t="shared" si="10"/>
        <v>1</v>
      </c>
      <c r="BD19" s="86"/>
      <c r="BE19" s="60" t="str">
        <f t="shared" si="1"/>
        <v>Gilmore/Al-Qadi</v>
      </c>
      <c r="BF19" s="88">
        <v>3.4</v>
      </c>
      <c r="BG19" s="89">
        <f>4*BF19^2</f>
        <v>46.239999999999995</v>
      </c>
      <c r="BH19" s="90">
        <f>BG19+BH$5</f>
        <v>56.239999999999995</v>
      </c>
      <c r="BI19" s="88">
        <v>50</v>
      </c>
      <c r="BJ19" s="118">
        <f>0.61*BI19 +2</f>
        <v>32.5</v>
      </c>
      <c r="BK19" s="86"/>
      <c r="BL19" s="92">
        <f>BJ19</f>
        <v>32.5</v>
      </c>
      <c r="BM19" s="93"/>
      <c r="BN19" s="93"/>
      <c r="BO19" s="94"/>
      <c r="BP19" s="86"/>
      <c r="BQ19" s="86"/>
      <c r="BR19" s="86"/>
      <c r="BS19" s="60"/>
      <c r="BT19" s="96" t="str">
        <f t="shared" si="2"/>
        <v>Gilmore/Al-Qadi</v>
      </c>
      <c r="BU19" s="86"/>
      <c r="BV19" s="86"/>
      <c r="BW19" s="86"/>
      <c r="BX19" s="88">
        <v>16</v>
      </c>
      <c r="BY19" s="118">
        <f>0.61*BX19 + 2</f>
        <v>11.76</v>
      </c>
      <c r="BZ19" s="86"/>
      <c r="CA19" s="97">
        <f>BY19</f>
        <v>11.76</v>
      </c>
      <c r="CB19" s="89"/>
      <c r="CC19" s="127">
        <f t="shared" si="9"/>
        <v>2.7636054421768708</v>
      </c>
      <c r="CD19" s="89"/>
      <c r="CE19" s="89"/>
      <c r="CF19" s="89"/>
      <c r="CG19" s="89"/>
      <c r="CH19" s="127"/>
      <c r="CI19" s="99" t="str">
        <f t="shared" si="3"/>
        <v>Gilmore/Al-Qadi</v>
      </c>
      <c r="CJ19" s="32">
        <f t="shared" si="4"/>
        <v>1</v>
      </c>
      <c r="CK19" s="69">
        <f>IF(CJ19=1,$CA19)</f>
        <v>11.76</v>
      </c>
      <c r="CL19" s="69"/>
      <c r="CM19" s="93" t="str">
        <f t="shared" si="8"/>
        <v>po</v>
      </c>
      <c r="CN19" s="69">
        <f>IF($AB19="po",$CA19)</f>
        <v>11.76</v>
      </c>
      <c r="CO19" s="69"/>
      <c r="CP19" s="69"/>
      <c r="CR19" s="89"/>
      <c r="CS19" s="86"/>
      <c r="CT19" s="86"/>
      <c r="CU19" s="86"/>
      <c r="CV19" s="86"/>
      <c r="CW19" s="86"/>
      <c r="CX19" s="86"/>
      <c r="CY19" s="96" t="str">
        <f t="shared" si="5"/>
        <v>Gilmore/Al-Qadi</v>
      </c>
      <c r="CZ19" s="86"/>
      <c r="DA19" s="84"/>
      <c r="DB19" s="84"/>
      <c r="DC19" s="84"/>
      <c r="DD19" s="84">
        <v>42</v>
      </c>
      <c r="DF19" s="86">
        <v>70</v>
      </c>
      <c r="DG19" s="84"/>
      <c r="DH19" s="86">
        <v>117</v>
      </c>
      <c r="DI19" s="86">
        <v>75</v>
      </c>
      <c r="DJ19" s="86"/>
      <c r="DK19" s="86">
        <v>18</v>
      </c>
      <c r="DL19" s="86"/>
      <c r="DM19" s="86"/>
      <c r="DN19" s="86">
        <v>98</v>
      </c>
      <c r="DO19" s="86"/>
      <c r="DP19" s="101"/>
      <c r="DQ19" s="121"/>
      <c r="DR19" s="101" t="s">
        <v>136</v>
      </c>
      <c r="DS19" s="101" t="s">
        <v>136</v>
      </c>
      <c r="DT19" s="101"/>
      <c r="DU19" s="101"/>
      <c r="DV19" s="101" t="s">
        <v>136</v>
      </c>
      <c r="DW19" s="101"/>
      <c r="DX19" s="101" t="s">
        <v>136</v>
      </c>
      <c r="DY19" s="101"/>
      <c r="DZ19" s="73">
        <f t="shared" si="6"/>
        <v>88</v>
      </c>
      <c r="EA19" s="101"/>
      <c r="EB19" s="102"/>
      <c r="EC19" s="103" t="str">
        <f t="shared" si="7"/>
        <v>Gilmore/Al-Qadi</v>
      </c>
    </row>
    <row r="20" spans="1:133" s="72" customFormat="1" ht="18" customHeight="1" x14ac:dyDescent="0.2">
      <c r="A20" s="28">
        <v>89</v>
      </c>
      <c r="B20" s="29" t="s">
        <v>206</v>
      </c>
      <c r="C20" s="61"/>
      <c r="D20" s="61">
        <v>2019</v>
      </c>
      <c r="E20" s="61"/>
      <c r="F20" s="61" t="s">
        <v>207</v>
      </c>
      <c r="G20" s="61"/>
      <c r="H20" s="122">
        <v>3</v>
      </c>
      <c r="I20" s="62"/>
      <c r="J20" s="61" t="s">
        <v>143</v>
      </c>
      <c r="K20" s="61" t="s">
        <v>144</v>
      </c>
      <c r="L20" s="63"/>
      <c r="M20" s="63"/>
      <c r="N20" s="61" t="s">
        <v>133</v>
      </c>
      <c r="O20" s="63" t="s">
        <v>145</v>
      </c>
      <c r="P20" s="63"/>
      <c r="Q20" s="61"/>
      <c r="R20" s="61"/>
      <c r="S20" s="63" t="s">
        <v>134</v>
      </c>
      <c r="T20" s="63">
        <v>20</v>
      </c>
      <c r="U20" s="63"/>
      <c r="V20" s="63" t="s">
        <v>208</v>
      </c>
      <c r="W20" s="63" t="s">
        <v>158</v>
      </c>
      <c r="X20" s="63"/>
      <c r="Y20" s="61">
        <v>0.5</v>
      </c>
      <c r="Z20" s="61">
        <f>'Other Vitamins &amp; Drugs'!Q20</f>
        <v>0</v>
      </c>
      <c r="AA20" s="61"/>
      <c r="AB20" s="63" t="s">
        <v>146</v>
      </c>
      <c r="AC20" s="63"/>
      <c r="AD20" s="63"/>
      <c r="AE20" s="29" t="str">
        <f t="shared" si="0"/>
        <v>Ichiyanagi</v>
      </c>
      <c r="AF20" s="61" t="s">
        <v>137</v>
      </c>
      <c r="AG20" s="61" t="str">
        <f>BS20</f>
        <v>Yes</v>
      </c>
      <c r="AH20" s="61"/>
      <c r="AI20" s="61" t="s">
        <v>137</v>
      </c>
      <c r="AJ20" s="61"/>
      <c r="AK20" s="61"/>
      <c r="AL20" s="3"/>
      <c r="AM20" s="61"/>
      <c r="AN20" s="61"/>
      <c r="AO20" s="61"/>
      <c r="AP20" s="61"/>
      <c r="AQ20" s="65"/>
      <c r="AR20" s="63"/>
      <c r="AS20" s="63"/>
      <c r="AT20" s="63"/>
      <c r="AU20" s="63"/>
      <c r="AV20" s="63"/>
      <c r="AW20" s="63"/>
      <c r="AX20" s="63"/>
      <c r="AY20" s="63"/>
      <c r="AZ20" s="63"/>
      <c r="BA20" s="63" t="s">
        <v>136</v>
      </c>
      <c r="BB20" s="63" t="s">
        <v>136</v>
      </c>
      <c r="BC20" s="63">
        <f t="shared" si="10"/>
        <v>2</v>
      </c>
      <c r="BD20" s="63" t="s">
        <v>209</v>
      </c>
      <c r="BE20" s="28" t="str">
        <f t="shared" si="1"/>
        <v>Ichiyanagi</v>
      </c>
      <c r="BF20" s="104">
        <v>4.0999999999999996</v>
      </c>
      <c r="BG20" s="56">
        <f>4*BF20^2</f>
        <v>67.239999999999995</v>
      </c>
      <c r="BH20" s="90">
        <f>BG20+BH$5</f>
        <v>77.239999999999995</v>
      </c>
      <c r="BI20" s="104">
        <v>98</v>
      </c>
      <c r="BJ20" s="123">
        <f>0.61*BI20 +2</f>
        <v>61.78</v>
      </c>
      <c r="BK20" s="104">
        <v>77</v>
      </c>
      <c r="BL20" s="106">
        <f>BK20</f>
        <v>77</v>
      </c>
      <c r="BM20" s="30">
        <v>22.62</v>
      </c>
      <c r="BN20" s="119">
        <v>0.55000000000000004</v>
      </c>
      <c r="BO20" s="67"/>
      <c r="BP20" s="120">
        <f>BM20/BN20</f>
        <v>41.127272727272725</v>
      </c>
      <c r="BQ20" s="63">
        <v>9.5</v>
      </c>
      <c r="BR20" s="63"/>
      <c r="BS20" s="34" t="s">
        <v>158</v>
      </c>
      <c r="BT20" s="30" t="str">
        <f t="shared" si="2"/>
        <v>Ichiyanagi</v>
      </c>
      <c r="BU20" s="130">
        <v>2</v>
      </c>
      <c r="BV20" s="56">
        <f>4*BU20^2</f>
        <v>16</v>
      </c>
      <c r="BW20" s="90">
        <f>BV20+BW$5</f>
        <v>26</v>
      </c>
      <c r="BX20" s="63"/>
      <c r="BY20" s="123">
        <f>0.61*BW20 +2</f>
        <v>17.86</v>
      </c>
      <c r="BZ20" s="131">
        <v>19</v>
      </c>
      <c r="CA20" s="68">
        <f>BZ20</f>
        <v>19</v>
      </c>
      <c r="CB20" s="69"/>
      <c r="CC20" s="107">
        <f t="shared" si="9"/>
        <v>4.0526315789473681</v>
      </c>
      <c r="CD20" s="69">
        <v>2.3199999999999998</v>
      </c>
      <c r="CE20" s="69">
        <v>0.55000000000000004</v>
      </c>
      <c r="CG20" s="69">
        <f>CD20/CE20</f>
        <v>4.2181818181818178</v>
      </c>
      <c r="CH20" s="107">
        <f>BP20/CG20</f>
        <v>9.75</v>
      </c>
      <c r="CI20" s="31" t="str">
        <f t="shared" si="3"/>
        <v>Ichiyanagi</v>
      </c>
      <c r="CJ20" s="32">
        <f t="shared" si="4"/>
        <v>0</v>
      </c>
      <c r="CK20" s="69"/>
      <c r="CL20" s="69">
        <f>IF(CK20=0,$CA20)</f>
        <v>19</v>
      </c>
      <c r="CM20" s="71" t="str">
        <f t="shared" si="8"/>
        <v>iv</v>
      </c>
      <c r="CN20" s="69"/>
      <c r="CO20" s="69">
        <f>IF($AB20="iv",$CA20)</f>
        <v>19</v>
      </c>
      <c r="CP20" s="69"/>
      <c r="CR20" s="63" t="s">
        <v>176</v>
      </c>
      <c r="CS20" s="63">
        <v>14513</v>
      </c>
      <c r="CT20" s="63" t="s">
        <v>136</v>
      </c>
      <c r="CU20" s="63"/>
      <c r="CV20" s="63"/>
      <c r="CW20" s="63"/>
      <c r="CX20" s="63"/>
      <c r="CY20" s="30" t="str">
        <f t="shared" si="5"/>
        <v>Ichiyanagi</v>
      </c>
      <c r="CZ20" s="63"/>
      <c r="DA20" s="61"/>
      <c r="DB20" s="61">
        <v>1</v>
      </c>
      <c r="DC20" s="61"/>
      <c r="DD20" s="61">
        <v>1</v>
      </c>
      <c r="DF20" s="63">
        <v>135</v>
      </c>
      <c r="DG20" s="61"/>
      <c r="DH20" s="63">
        <v>105</v>
      </c>
      <c r="DI20" s="63">
        <v>93</v>
      </c>
      <c r="DJ20" s="63"/>
      <c r="DK20" s="63">
        <v>36</v>
      </c>
      <c r="DL20" s="63"/>
      <c r="DM20" s="63"/>
      <c r="DN20" s="63">
        <v>100</v>
      </c>
      <c r="DO20" s="63"/>
      <c r="DP20" s="73"/>
      <c r="DQ20" s="73"/>
      <c r="DR20" s="73" t="s">
        <v>136</v>
      </c>
      <c r="DS20" s="73"/>
      <c r="DT20" s="73" t="s">
        <v>136</v>
      </c>
      <c r="DU20" s="73"/>
      <c r="DV20" s="73"/>
      <c r="DW20" s="73"/>
      <c r="DX20" s="73"/>
      <c r="DY20" s="73" t="s">
        <v>136</v>
      </c>
      <c r="DZ20" s="73">
        <f t="shared" si="6"/>
        <v>89</v>
      </c>
      <c r="EA20" s="74"/>
      <c r="EB20" s="102" t="s">
        <v>167</v>
      </c>
      <c r="EC20" s="42" t="str">
        <f t="shared" si="7"/>
        <v>Ichiyanagi</v>
      </c>
    </row>
    <row r="21" spans="1:133" ht="18" customHeight="1" x14ac:dyDescent="0.2">
      <c r="A21" s="1">
        <v>90</v>
      </c>
      <c r="B21" s="2" t="s">
        <v>210</v>
      </c>
      <c r="D21" s="3">
        <v>2012</v>
      </c>
      <c r="F21" s="3" t="s">
        <v>211</v>
      </c>
      <c r="H21" s="3">
        <v>40</v>
      </c>
      <c r="J21" s="3" t="s">
        <v>131</v>
      </c>
      <c r="N21" s="3" t="s">
        <v>133</v>
      </c>
      <c r="O21" s="5" t="s">
        <v>145</v>
      </c>
      <c r="R21" s="109"/>
      <c r="Y21" s="3">
        <v>1</v>
      </c>
      <c r="Z21" s="61">
        <f>'Other Vitamins &amp; Drugs'!Q21</f>
        <v>0</v>
      </c>
      <c r="AB21" s="5" t="s">
        <v>173</v>
      </c>
      <c r="AC21" s="5"/>
      <c r="AD21" s="5"/>
      <c r="AE21" s="2" t="str">
        <f t="shared" si="0"/>
        <v>Kupari</v>
      </c>
      <c r="AF21" s="3" t="s">
        <v>137</v>
      </c>
      <c r="AG21" s="61" t="str">
        <f>BS21</f>
        <v>Yes</v>
      </c>
      <c r="AH21" s="61"/>
      <c r="AI21" s="3" t="s">
        <v>137</v>
      </c>
      <c r="AJ21" s="3" t="s">
        <v>137</v>
      </c>
      <c r="AK21" s="3" t="s">
        <v>137</v>
      </c>
      <c r="AL21" s="3">
        <f>COUNTA(AJ21:AK21)</f>
        <v>2</v>
      </c>
      <c r="AM21" s="3" t="s">
        <v>136</v>
      </c>
      <c r="AQ21" s="51"/>
      <c r="AS21" s="5" t="s">
        <v>212</v>
      </c>
      <c r="AV21" s="5" t="s">
        <v>148</v>
      </c>
      <c r="AX21" s="5" t="s">
        <v>137</v>
      </c>
      <c r="AY21" s="5"/>
      <c r="AZ21" s="5"/>
      <c r="BA21" s="5" t="s">
        <v>136</v>
      </c>
      <c r="BB21" s="5"/>
      <c r="BC21" s="63">
        <f t="shared" si="10"/>
        <v>1</v>
      </c>
      <c r="BE21" s="1" t="str">
        <f t="shared" si="1"/>
        <v>Kupari</v>
      </c>
      <c r="BF21" s="5"/>
      <c r="BG21" s="5"/>
      <c r="BH21" s="5"/>
      <c r="BI21" s="77">
        <v>74</v>
      </c>
      <c r="BJ21" s="111">
        <f>0.61*BI21 + 2</f>
        <v>47.14</v>
      </c>
      <c r="BK21" s="77">
        <v>48</v>
      </c>
      <c r="BL21" s="79">
        <f>BK21</f>
        <v>48</v>
      </c>
      <c r="BM21" s="54"/>
      <c r="BN21" s="54"/>
      <c r="BO21" s="80">
        <v>2400</v>
      </c>
      <c r="BP21" s="50">
        <f>BO21/80</f>
        <v>30</v>
      </c>
      <c r="BQ21" s="5">
        <v>3</v>
      </c>
      <c r="BR21" s="5"/>
      <c r="BS21" s="44" t="s">
        <v>158</v>
      </c>
      <c r="BT21" s="6" t="str">
        <f t="shared" si="2"/>
        <v>Kupari</v>
      </c>
      <c r="BU21" s="5"/>
      <c r="BV21" s="5"/>
      <c r="BW21" s="5"/>
      <c r="BX21" s="5">
        <v>26</v>
      </c>
      <c r="BY21" s="111">
        <f>0.61*BX21 + 2</f>
        <v>17.86</v>
      </c>
      <c r="BZ21" s="77">
        <v>15</v>
      </c>
      <c r="CA21" s="81">
        <f>BZ21</f>
        <v>15</v>
      </c>
      <c r="CB21" s="56"/>
      <c r="CC21" s="82">
        <f t="shared" si="9"/>
        <v>3.2</v>
      </c>
      <c r="CD21" s="56"/>
      <c r="CE21" s="56"/>
      <c r="CF21" s="56"/>
      <c r="CG21" s="111">
        <v>1.34</v>
      </c>
      <c r="CH21" s="82">
        <f>BP21/CG21</f>
        <v>22.388059701492537</v>
      </c>
      <c r="CI21" s="38" t="str">
        <f t="shared" si="3"/>
        <v>Kupari</v>
      </c>
      <c r="CJ21" s="32">
        <f t="shared" si="4"/>
        <v>0</v>
      </c>
      <c r="CK21" s="69"/>
      <c r="CL21" s="69">
        <f>IF(CK21=0,$CA21)</f>
        <v>15</v>
      </c>
      <c r="CM21" s="54" t="str">
        <f t="shared" si="8"/>
        <v>po</v>
      </c>
      <c r="CN21" s="69">
        <f>IF($AB21="po",$CA21)</f>
        <v>15</v>
      </c>
      <c r="CO21" s="69"/>
      <c r="CP21" s="69"/>
      <c r="CR21" s="56"/>
      <c r="CW21" s="5">
        <v>74</v>
      </c>
      <c r="CY21" s="6" t="str">
        <f t="shared" si="5"/>
        <v>Kupari</v>
      </c>
      <c r="CZ21" s="5">
        <v>18</v>
      </c>
      <c r="DB21" s="3">
        <v>2</v>
      </c>
      <c r="DD21" s="3">
        <v>7</v>
      </c>
      <c r="DF21" s="5">
        <v>105</v>
      </c>
      <c r="DH21" s="5">
        <v>115</v>
      </c>
      <c r="DI21" s="5">
        <v>75</v>
      </c>
      <c r="DJ21" s="5"/>
      <c r="DK21" s="5"/>
      <c r="DL21" s="5"/>
      <c r="DM21" s="5"/>
      <c r="DN21" s="5">
        <v>77</v>
      </c>
      <c r="DO21" s="5"/>
      <c r="DP21" s="74" t="s">
        <v>136</v>
      </c>
      <c r="DQ21" s="74"/>
      <c r="DR21" s="74" t="s">
        <v>136</v>
      </c>
      <c r="DS21" s="74"/>
      <c r="DT21" s="74"/>
      <c r="DU21" s="74"/>
      <c r="DV21" s="74" t="s">
        <v>136</v>
      </c>
      <c r="DW21" s="74"/>
      <c r="DX21" s="74"/>
      <c r="DY21" s="74"/>
      <c r="DZ21" s="73">
        <f t="shared" si="6"/>
        <v>90</v>
      </c>
      <c r="EA21" s="74" t="s">
        <v>136</v>
      </c>
      <c r="EB21" s="75" t="s">
        <v>213</v>
      </c>
      <c r="EC21" s="58" t="str">
        <f t="shared" si="7"/>
        <v>Kupari</v>
      </c>
    </row>
    <row r="22" spans="1:133" s="100" customFormat="1" ht="18" customHeight="1" x14ac:dyDescent="0.2">
      <c r="A22" s="60">
        <v>91</v>
      </c>
      <c r="B22" s="83" t="s">
        <v>214</v>
      </c>
      <c r="C22" s="84"/>
      <c r="D22" s="84">
        <v>2023</v>
      </c>
      <c r="E22" s="84"/>
      <c r="F22" s="84" t="s">
        <v>130</v>
      </c>
      <c r="G22" s="84"/>
      <c r="H22" s="84">
        <v>25</v>
      </c>
      <c r="I22" s="85"/>
      <c r="J22" s="84" t="s">
        <v>131</v>
      </c>
      <c r="K22" s="84"/>
      <c r="L22" s="117"/>
      <c r="M22" s="117"/>
      <c r="N22" s="84" t="s">
        <v>133</v>
      </c>
      <c r="O22" s="117" t="s">
        <v>145</v>
      </c>
      <c r="P22" s="117">
        <v>1</v>
      </c>
      <c r="Q22" s="84" t="s">
        <v>115</v>
      </c>
      <c r="R22" s="125">
        <f>P22/$Q$44*1000</f>
        <v>5.6818181818181817</v>
      </c>
      <c r="S22" s="63" t="s">
        <v>134</v>
      </c>
      <c r="T22" s="117"/>
      <c r="U22" s="117"/>
      <c r="V22" s="117"/>
      <c r="W22" s="117"/>
      <c r="X22" s="117"/>
      <c r="Y22" s="84">
        <v>2</v>
      </c>
      <c r="Z22" s="61">
        <f>'Other Vitamins &amp; Drugs'!Q22</f>
        <v>1</v>
      </c>
      <c r="AA22" s="3"/>
      <c r="AB22" s="117" t="s">
        <v>146</v>
      </c>
      <c r="AC22" s="117"/>
      <c r="AD22" s="117"/>
      <c r="AE22" s="83" t="str">
        <f t="shared" si="0"/>
        <v>Kurnick</v>
      </c>
      <c r="AF22" s="84" t="s">
        <v>137</v>
      </c>
      <c r="AG22" s="61" t="str">
        <f>BS22</f>
        <v>Yes</v>
      </c>
      <c r="AH22" s="61"/>
      <c r="AI22" s="84" t="s">
        <v>137</v>
      </c>
      <c r="AJ22" s="84" t="s">
        <v>137</v>
      </c>
      <c r="AK22" s="84"/>
      <c r="AL22" s="3"/>
      <c r="AM22" s="84" t="s">
        <v>136</v>
      </c>
      <c r="AN22" s="84"/>
      <c r="AO22" s="84"/>
      <c r="AP22" s="84"/>
      <c r="AQ22" s="87"/>
      <c r="AR22" s="117"/>
      <c r="AS22" s="117" t="s">
        <v>165</v>
      </c>
      <c r="AT22" s="117"/>
      <c r="AU22" s="117" t="s">
        <v>136</v>
      </c>
      <c r="AV22" s="117"/>
      <c r="AW22" s="117"/>
      <c r="AX22" s="117"/>
      <c r="AY22" s="86"/>
      <c r="AZ22" s="86"/>
      <c r="BA22" s="86" t="s">
        <v>136</v>
      </c>
      <c r="BB22" s="86"/>
      <c r="BC22" s="63">
        <f t="shared" si="10"/>
        <v>1</v>
      </c>
      <c r="BD22" s="117"/>
      <c r="BE22" s="60" t="str">
        <f t="shared" si="1"/>
        <v>Kurnick</v>
      </c>
      <c r="BF22" s="86"/>
      <c r="BG22" s="77">
        <v>56.1</v>
      </c>
      <c r="BH22" s="90">
        <f>BG22+BH$5</f>
        <v>66.099999999999994</v>
      </c>
      <c r="BI22" s="77">
        <v>71.099999999999994</v>
      </c>
      <c r="BJ22" s="91">
        <f>0.61*BI22 + 2</f>
        <v>45.370999999999995</v>
      </c>
      <c r="BK22" s="77">
        <v>48</v>
      </c>
      <c r="BL22" s="79">
        <f>BK22</f>
        <v>48</v>
      </c>
      <c r="BM22" s="93"/>
      <c r="BN22" s="93"/>
      <c r="BO22" s="94"/>
      <c r="BP22" s="89">
        <v>16</v>
      </c>
      <c r="BQ22" s="86">
        <v>13</v>
      </c>
      <c r="BR22" s="86"/>
      <c r="BS22" s="44" t="s">
        <v>158</v>
      </c>
      <c r="BT22" s="96" t="str">
        <f t="shared" si="2"/>
        <v>Kurnick</v>
      </c>
      <c r="BU22" s="86"/>
      <c r="BV22" s="132">
        <v>16</v>
      </c>
      <c r="BW22" s="90">
        <f>BV22+BW$5</f>
        <v>26</v>
      </c>
      <c r="BX22" s="88">
        <v>36</v>
      </c>
      <c r="BY22" s="78">
        <f>0.61*BX22 + 2</f>
        <v>23.96</v>
      </c>
      <c r="BZ22" s="5"/>
      <c r="CA22" s="81">
        <f>BY22</f>
        <v>23.96</v>
      </c>
      <c r="CB22" s="89"/>
      <c r="CC22" s="82">
        <f t="shared" si="9"/>
        <v>2.003338898163606</v>
      </c>
      <c r="CD22" s="89"/>
      <c r="CE22" s="89"/>
      <c r="CF22" s="89"/>
      <c r="CG22" s="69">
        <v>4.3</v>
      </c>
      <c r="CH22" s="82">
        <f>BP22/CG22</f>
        <v>3.7209302325581395</v>
      </c>
      <c r="CI22" s="99" t="str">
        <f t="shared" si="3"/>
        <v>Kurnick</v>
      </c>
      <c r="CJ22" s="32">
        <f t="shared" si="4"/>
        <v>1</v>
      </c>
      <c r="CK22" s="69">
        <f>IF(CJ22=1,$CA22)</f>
        <v>23.96</v>
      </c>
      <c r="CL22" s="69"/>
      <c r="CM22" s="54" t="str">
        <f t="shared" si="8"/>
        <v>iv</v>
      </c>
      <c r="CN22" s="69"/>
      <c r="CO22" s="69">
        <f>IF($AB22="iv",$CA22)</f>
        <v>23.96</v>
      </c>
      <c r="CP22" s="69"/>
      <c r="CR22" s="89" t="s">
        <v>215</v>
      </c>
      <c r="CS22" s="133">
        <v>330000</v>
      </c>
      <c r="CT22" s="117" t="s">
        <v>136</v>
      </c>
      <c r="CU22" s="117"/>
      <c r="CV22" s="117"/>
      <c r="CW22" s="117">
        <v>71</v>
      </c>
      <c r="CX22" s="117"/>
      <c r="CY22" s="96" t="str">
        <f t="shared" si="5"/>
        <v>Kurnick</v>
      </c>
      <c r="CZ22" s="117">
        <v>0.5</v>
      </c>
      <c r="DA22" s="84" t="s">
        <v>216</v>
      </c>
      <c r="DB22" s="84"/>
      <c r="DC22" s="84"/>
      <c r="DD22" s="84">
        <f>14-4</f>
        <v>10</v>
      </c>
      <c r="DF22" s="117">
        <v>140</v>
      </c>
      <c r="DG22" s="84"/>
      <c r="DH22" s="117">
        <v>131</v>
      </c>
      <c r="DI22" s="117">
        <v>93</v>
      </c>
      <c r="DJ22" s="117"/>
      <c r="DK22" s="117"/>
      <c r="DL22" s="117"/>
      <c r="DM22" s="117"/>
      <c r="DN22" s="117">
        <v>100</v>
      </c>
      <c r="DO22" s="117"/>
      <c r="DP22" s="101"/>
      <c r="DQ22" s="134"/>
      <c r="DR22" s="101" t="s">
        <v>136</v>
      </c>
      <c r="DS22" s="101"/>
      <c r="DT22" s="101" t="s">
        <v>136</v>
      </c>
      <c r="DU22" s="101"/>
      <c r="DV22" s="101"/>
      <c r="DW22" s="101" t="s">
        <v>136</v>
      </c>
      <c r="DX22" s="101"/>
      <c r="DY22" s="101"/>
      <c r="DZ22" s="73">
        <f t="shared" si="6"/>
        <v>91</v>
      </c>
      <c r="EA22" s="101" t="s">
        <v>136</v>
      </c>
      <c r="EB22" s="102" t="s">
        <v>217</v>
      </c>
      <c r="EC22" s="135" t="str">
        <f t="shared" si="7"/>
        <v>Kurnick</v>
      </c>
    </row>
    <row r="23" spans="1:133" s="72" customFormat="1" ht="18" customHeight="1" x14ac:dyDescent="0.2">
      <c r="A23" s="28">
        <v>92</v>
      </c>
      <c r="B23" s="29" t="s">
        <v>218</v>
      </c>
      <c r="C23" s="61"/>
      <c r="D23" s="61">
        <v>1996</v>
      </c>
      <c r="E23" s="61"/>
      <c r="F23" s="61" t="s">
        <v>130</v>
      </c>
      <c r="G23" s="61"/>
      <c r="H23" s="61">
        <v>40</v>
      </c>
      <c r="I23" s="62"/>
      <c r="J23" s="61" t="s">
        <v>131</v>
      </c>
      <c r="K23" s="61"/>
      <c r="L23" s="63" t="s">
        <v>219</v>
      </c>
      <c r="M23" s="63"/>
      <c r="N23" s="61" t="s">
        <v>133</v>
      </c>
      <c r="O23" s="30">
        <v>2</v>
      </c>
      <c r="P23" s="63"/>
      <c r="Q23" s="61" t="s">
        <v>115</v>
      </c>
      <c r="R23" s="64">
        <f>O23/$Q$44*1000</f>
        <v>11.363636363636363</v>
      </c>
      <c r="S23" s="63" t="s">
        <v>134</v>
      </c>
      <c r="T23" s="63">
        <v>178</v>
      </c>
      <c r="U23" s="63" t="s">
        <v>171</v>
      </c>
      <c r="V23" s="63" t="s">
        <v>220</v>
      </c>
      <c r="W23" s="63"/>
      <c r="X23" s="63"/>
      <c r="Y23" s="61"/>
      <c r="Z23" s="61">
        <f>'Other Vitamins &amp; Drugs'!Q23</f>
        <v>1</v>
      </c>
      <c r="AA23" s="61"/>
      <c r="AB23" s="63"/>
      <c r="AC23" s="63" t="s">
        <v>136</v>
      </c>
      <c r="AD23" s="63"/>
      <c r="AE23" s="29" t="str">
        <f t="shared" si="0"/>
        <v>Mehta</v>
      </c>
      <c r="AF23" s="61" t="s">
        <v>137</v>
      </c>
      <c r="AG23" s="61"/>
      <c r="AH23" s="61" t="str">
        <f>AF23</f>
        <v>Y</v>
      </c>
      <c r="AI23" s="61" t="s">
        <v>137</v>
      </c>
      <c r="AJ23" s="61" t="s">
        <v>137</v>
      </c>
      <c r="AK23" s="61"/>
      <c r="AL23" s="3">
        <f t="shared" ref="AL23:AL29" si="11">COUNTA(AJ23:AK23)</f>
        <v>1</v>
      </c>
      <c r="AM23" s="61"/>
      <c r="AN23" s="61"/>
      <c r="AO23" s="61"/>
      <c r="AP23" s="61" t="s">
        <v>221</v>
      </c>
      <c r="AQ23" s="65">
        <v>0.53</v>
      </c>
      <c r="AR23" s="63"/>
      <c r="AS23" s="63"/>
      <c r="AT23" s="63"/>
      <c r="AU23" s="63"/>
      <c r="AV23" s="63"/>
      <c r="AW23" s="63"/>
      <c r="AX23" s="63"/>
      <c r="AY23" s="63"/>
      <c r="AZ23" s="63"/>
      <c r="BA23" s="63" t="s">
        <v>136</v>
      </c>
      <c r="BB23" s="63"/>
      <c r="BC23" s="63">
        <f t="shared" si="10"/>
        <v>1</v>
      </c>
      <c r="BD23" s="63"/>
      <c r="BE23" s="28" t="str">
        <f t="shared" si="1"/>
        <v>Mehta</v>
      </c>
      <c r="BF23" s="63"/>
      <c r="BG23" s="63"/>
      <c r="BH23" s="63"/>
      <c r="BI23" s="104">
        <v>55</v>
      </c>
      <c r="BJ23" s="105">
        <f>0.61*BI23 + 2</f>
        <v>35.549999999999997</v>
      </c>
      <c r="BK23" s="63"/>
      <c r="BL23" s="79">
        <f>BJ23</f>
        <v>35.549999999999997</v>
      </c>
      <c r="BM23" s="71"/>
      <c r="BN23" s="71"/>
      <c r="BO23" s="67"/>
      <c r="BP23" s="63"/>
      <c r="BQ23" s="63"/>
      <c r="BR23" s="63"/>
      <c r="BS23" s="28"/>
      <c r="BT23" s="30" t="str">
        <f t="shared" si="2"/>
        <v>Mehta</v>
      </c>
      <c r="BU23" s="63"/>
      <c r="BV23" s="63"/>
      <c r="BW23" s="63"/>
      <c r="BX23" s="63"/>
      <c r="BY23" s="123"/>
      <c r="BZ23" s="63"/>
      <c r="CA23" s="68"/>
      <c r="CB23" s="69"/>
      <c r="CC23" s="107"/>
      <c r="CD23" s="69"/>
      <c r="CE23" s="69"/>
      <c r="CF23" s="69"/>
      <c r="CG23" s="69"/>
      <c r="CH23" s="107"/>
      <c r="CI23" s="31" t="str">
        <f t="shared" si="3"/>
        <v>Mehta</v>
      </c>
      <c r="CJ23" s="32">
        <f t="shared" si="4"/>
        <v>1</v>
      </c>
      <c r="CK23" s="69"/>
      <c r="CL23" s="69"/>
      <c r="CM23" s="71"/>
      <c r="CN23" s="69"/>
      <c r="CO23" s="69"/>
      <c r="CP23" s="69"/>
      <c r="CR23" s="69"/>
      <c r="CS23" s="63"/>
      <c r="CT23" s="63"/>
      <c r="CU23" s="63"/>
      <c r="CV23" s="63">
        <v>12</v>
      </c>
      <c r="CW23" s="63">
        <v>118</v>
      </c>
      <c r="CX23" s="63"/>
      <c r="CY23" s="30" t="str">
        <f t="shared" si="5"/>
        <v>Mehta</v>
      </c>
      <c r="CZ23" s="63">
        <v>3</v>
      </c>
      <c r="DA23" s="61"/>
      <c r="DB23" s="61">
        <v>7</v>
      </c>
      <c r="DC23" s="61"/>
      <c r="DD23" s="61">
        <v>19</v>
      </c>
      <c r="DF23" s="63"/>
      <c r="DG23" s="61"/>
      <c r="DH23" s="63"/>
      <c r="DI23" s="63"/>
      <c r="DJ23" s="63"/>
      <c r="DK23" s="63"/>
      <c r="DL23" s="63"/>
      <c r="DM23" s="63"/>
      <c r="DN23" s="63"/>
      <c r="DO23" s="63"/>
      <c r="DP23" s="73"/>
      <c r="DQ23" s="136"/>
      <c r="DR23" s="73" t="s">
        <v>136</v>
      </c>
      <c r="DS23" s="73" t="s">
        <v>136</v>
      </c>
      <c r="DT23" s="73" t="s">
        <v>136</v>
      </c>
      <c r="DU23" s="73"/>
      <c r="DV23" s="73" t="s">
        <v>136</v>
      </c>
      <c r="DW23" s="73" t="s">
        <v>136</v>
      </c>
      <c r="DX23" s="73"/>
      <c r="DY23" s="73"/>
      <c r="DZ23" s="73">
        <f t="shared" si="6"/>
        <v>92</v>
      </c>
      <c r="EA23" s="73"/>
      <c r="EB23" s="108"/>
      <c r="EC23" s="42" t="str">
        <f t="shared" si="7"/>
        <v>Mehta</v>
      </c>
    </row>
    <row r="24" spans="1:133" ht="18" customHeight="1" x14ac:dyDescent="0.2">
      <c r="A24" s="1">
        <v>93</v>
      </c>
      <c r="B24" s="2" t="s">
        <v>222</v>
      </c>
      <c r="D24" s="3">
        <v>2011</v>
      </c>
      <c r="F24" s="3" t="s">
        <v>130</v>
      </c>
      <c r="H24" s="4">
        <v>74</v>
      </c>
      <c r="J24" s="3" t="s">
        <v>131</v>
      </c>
      <c r="L24" s="5" t="s">
        <v>223</v>
      </c>
      <c r="N24" s="3" t="s">
        <v>133</v>
      </c>
      <c r="O24" s="5" t="s">
        <v>145</v>
      </c>
      <c r="P24" s="5">
        <v>1.2</v>
      </c>
      <c r="Q24" s="3" t="s">
        <v>115</v>
      </c>
      <c r="R24" s="50">
        <f>P24/$Q$44*1000</f>
        <v>6.8181818181818175</v>
      </c>
      <c r="S24" s="5" t="s">
        <v>224</v>
      </c>
      <c r="T24" s="5" t="s">
        <v>135</v>
      </c>
      <c r="Y24" s="3">
        <v>1</v>
      </c>
      <c r="Z24" s="61">
        <f>'Other Vitamins &amp; Drugs'!Q24</f>
        <v>1</v>
      </c>
      <c r="AB24" s="5" t="s">
        <v>173</v>
      </c>
      <c r="AC24" s="5"/>
      <c r="AD24" s="5"/>
      <c r="AE24" s="2" t="str">
        <f t="shared" si="0"/>
        <v>Mertens-case3</v>
      </c>
      <c r="AG24" s="61"/>
      <c r="AH24" s="61"/>
      <c r="AI24" s="3" t="s">
        <v>137</v>
      </c>
      <c r="AJ24" s="3" t="s">
        <v>137</v>
      </c>
      <c r="AL24" s="3">
        <f t="shared" si="11"/>
        <v>1</v>
      </c>
      <c r="AP24" s="3" t="s">
        <v>225</v>
      </c>
      <c r="AQ24" s="51">
        <v>0.46</v>
      </c>
      <c r="AY24" s="5"/>
      <c r="AZ24" s="5"/>
      <c r="BA24" s="5"/>
      <c r="BB24" s="5"/>
      <c r="BC24" s="63"/>
      <c r="BE24" s="1" t="str">
        <f t="shared" si="1"/>
        <v>Mertens-case3</v>
      </c>
      <c r="BF24" s="5"/>
      <c r="BG24" s="5"/>
      <c r="BH24" s="5"/>
      <c r="BI24" s="77">
        <v>80</v>
      </c>
      <c r="BJ24" s="78">
        <f>0.61*BI24 + 2</f>
        <v>50.8</v>
      </c>
      <c r="BK24" s="5"/>
      <c r="BL24" s="79">
        <f>BJ24</f>
        <v>50.8</v>
      </c>
      <c r="BM24" s="54"/>
      <c r="BN24" s="54"/>
      <c r="BO24" s="80"/>
      <c r="BP24" s="5"/>
      <c r="BQ24" s="5"/>
      <c r="BR24" s="5"/>
      <c r="BS24" s="1"/>
      <c r="BT24" s="6" t="str">
        <f t="shared" si="2"/>
        <v>Mertens-case3</v>
      </c>
      <c r="BU24" s="5"/>
      <c r="BV24" s="5"/>
      <c r="BW24" s="5"/>
      <c r="BX24" s="5" t="s">
        <v>226</v>
      </c>
      <c r="BY24" s="111"/>
      <c r="BZ24" s="5"/>
      <c r="CA24" s="81"/>
      <c r="CB24" s="56"/>
      <c r="CC24" s="82"/>
      <c r="CD24" s="56"/>
      <c r="CE24" s="56"/>
      <c r="CF24" s="56"/>
      <c r="CG24" s="56"/>
      <c r="CH24" s="82"/>
      <c r="CI24" s="38" t="str">
        <f t="shared" si="3"/>
        <v>Mertens-case3</v>
      </c>
      <c r="CJ24" s="32">
        <f t="shared" si="4"/>
        <v>1</v>
      </c>
      <c r="CK24" s="69"/>
      <c r="CL24" s="69"/>
      <c r="CM24" s="54" t="str">
        <f t="shared" ref="CM24:CM29" si="12">AB24</f>
        <v>po</v>
      </c>
      <c r="CN24" s="69"/>
      <c r="CO24" s="69"/>
      <c r="CP24" s="69"/>
      <c r="CR24" s="56"/>
      <c r="CV24" s="5">
        <v>41</v>
      </c>
      <c r="CW24" s="5">
        <v>124</v>
      </c>
      <c r="CY24" s="6" t="str">
        <f t="shared" si="5"/>
        <v>Mertens-case3</v>
      </c>
      <c r="CZ24" s="5" t="s">
        <v>227</v>
      </c>
      <c r="DD24" s="3">
        <v>150</v>
      </c>
      <c r="DF24" s="5"/>
      <c r="DH24" s="5"/>
      <c r="DI24" s="5"/>
      <c r="DJ24" s="5"/>
      <c r="DK24" s="5"/>
      <c r="DL24" s="5"/>
      <c r="DM24" s="5"/>
      <c r="DN24" s="5"/>
      <c r="DO24" s="5"/>
      <c r="DP24" s="74"/>
      <c r="DQ24" s="114"/>
      <c r="DR24" s="74" t="s">
        <v>136</v>
      </c>
      <c r="DS24" s="74" t="s">
        <v>136</v>
      </c>
      <c r="DT24" s="74"/>
      <c r="DU24" s="74"/>
      <c r="DV24" s="74" t="s">
        <v>136</v>
      </c>
      <c r="DW24" s="74"/>
      <c r="DX24" s="74"/>
      <c r="DY24" s="74"/>
      <c r="DZ24" s="73">
        <f t="shared" si="6"/>
        <v>93</v>
      </c>
      <c r="EA24" s="74"/>
      <c r="EB24" s="75"/>
      <c r="EC24" s="48" t="str">
        <f t="shared" si="7"/>
        <v>Mertens-case3</v>
      </c>
    </row>
    <row r="25" spans="1:133" s="100" customFormat="1" ht="18" customHeight="1" x14ac:dyDescent="0.2">
      <c r="A25" s="60">
        <v>94</v>
      </c>
      <c r="B25" s="83" t="s">
        <v>228</v>
      </c>
      <c r="C25" s="84"/>
      <c r="D25" s="84">
        <v>2009</v>
      </c>
      <c r="E25" s="84"/>
      <c r="F25" s="84" t="s">
        <v>130</v>
      </c>
      <c r="G25" s="84"/>
      <c r="H25" s="85">
        <v>73</v>
      </c>
      <c r="I25" s="85"/>
      <c r="J25" s="84" t="s">
        <v>131</v>
      </c>
      <c r="K25" s="84"/>
      <c r="L25" s="117"/>
      <c r="M25" s="117"/>
      <c r="N25" s="84" t="s">
        <v>133</v>
      </c>
      <c r="O25" s="117" t="s">
        <v>145</v>
      </c>
      <c r="P25" s="117">
        <v>1.2</v>
      </c>
      <c r="Q25" s="84" t="s">
        <v>115</v>
      </c>
      <c r="R25" s="125">
        <f>P25/$Q$44*1000</f>
        <v>6.8181818181818175</v>
      </c>
      <c r="S25" s="117" t="s">
        <v>182</v>
      </c>
      <c r="T25" s="117">
        <v>23</v>
      </c>
      <c r="U25" s="117" t="s">
        <v>171</v>
      </c>
      <c r="V25" s="117" t="s">
        <v>229</v>
      </c>
      <c r="W25" s="117"/>
      <c r="X25" s="117"/>
      <c r="Y25" s="84"/>
      <c r="Z25" s="61">
        <f>'Other Vitamins &amp; Drugs'!Q25</f>
        <v>1</v>
      </c>
      <c r="AA25" s="3"/>
      <c r="AB25" s="117" t="s">
        <v>173</v>
      </c>
      <c r="AC25" s="117"/>
      <c r="AD25" s="117"/>
      <c r="AE25" s="83" t="str">
        <f t="shared" si="0"/>
        <v>Nagamatsu/McEvoy</v>
      </c>
      <c r="AF25" s="84" t="s">
        <v>137</v>
      </c>
      <c r="AG25" s="61"/>
      <c r="AH25" s="61" t="str">
        <f>AF25</f>
        <v>Y</v>
      </c>
      <c r="AI25" s="84" t="s">
        <v>137</v>
      </c>
      <c r="AJ25" s="84" t="s">
        <v>137</v>
      </c>
      <c r="AK25" s="84" t="s">
        <v>137</v>
      </c>
      <c r="AL25" s="3">
        <f t="shared" si="11"/>
        <v>2</v>
      </c>
      <c r="AM25" s="84" t="s">
        <v>136</v>
      </c>
      <c r="AN25" s="84" t="s">
        <v>136</v>
      </c>
      <c r="AO25" s="84"/>
      <c r="AP25" s="84" t="s">
        <v>230</v>
      </c>
      <c r="AQ25" s="87">
        <v>0.46</v>
      </c>
      <c r="AR25" s="117"/>
      <c r="AS25" s="117" t="s">
        <v>231</v>
      </c>
      <c r="AT25" s="117"/>
      <c r="AU25" s="117"/>
      <c r="AV25" s="117" t="s">
        <v>148</v>
      </c>
      <c r="AW25" s="117" t="s">
        <v>155</v>
      </c>
      <c r="AX25" s="117"/>
      <c r="AY25" s="86" t="s">
        <v>232</v>
      </c>
      <c r="AZ25" s="86"/>
      <c r="BA25" s="86"/>
      <c r="BB25" s="86"/>
      <c r="BC25" s="63"/>
      <c r="BD25" s="117"/>
      <c r="BE25" s="60" t="str">
        <f t="shared" si="1"/>
        <v>Nagamatsu/McEvoy</v>
      </c>
      <c r="BF25" s="86"/>
      <c r="BG25" s="86"/>
      <c r="BH25" s="86"/>
      <c r="BI25" s="88">
        <v>73</v>
      </c>
      <c r="BJ25" s="91">
        <f>0.61*BI25 + 2</f>
        <v>46.53</v>
      </c>
      <c r="BK25" s="88">
        <v>48</v>
      </c>
      <c r="BL25" s="92">
        <f>BK25</f>
        <v>48</v>
      </c>
      <c r="BM25" s="93"/>
      <c r="BN25" s="93"/>
      <c r="BO25" s="94"/>
      <c r="BP25" s="86"/>
      <c r="BQ25" s="86" t="s">
        <v>97</v>
      </c>
      <c r="BR25" s="86" t="s">
        <v>29</v>
      </c>
      <c r="BS25" s="60"/>
      <c r="BT25" s="96" t="str">
        <f t="shared" si="2"/>
        <v>Nagamatsu/McEvoy</v>
      </c>
      <c r="BU25" s="86"/>
      <c r="BV25" s="86"/>
      <c r="BW25" s="86"/>
      <c r="BX25" s="88">
        <v>35</v>
      </c>
      <c r="BY25" s="118">
        <f>0.61*BX25 + 2</f>
        <v>23.349999999999998</v>
      </c>
      <c r="BZ25" s="86"/>
      <c r="CA25" s="97">
        <f>BY25</f>
        <v>23.349999999999998</v>
      </c>
      <c r="CB25" s="89"/>
      <c r="CC25" s="127">
        <f>BL25/CA25</f>
        <v>2.0556745182012848</v>
      </c>
      <c r="CD25" s="89"/>
      <c r="CE25" s="89"/>
      <c r="CF25" s="89"/>
      <c r="CG25" s="89"/>
      <c r="CH25" s="127"/>
      <c r="CI25" s="99" t="str">
        <f t="shared" si="3"/>
        <v>Nagamatsu/McEvoy</v>
      </c>
      <c r="CJ25" s="32">
        <f t="shared" si="4"/>
        <v>1</v>
      </c>
      <c r="CK25" s="69">
        <f>IF(CJ25=1,$CA25)</f>
        <v>23.349999999999998</v>
      </c>
      <c r="CL25" s="69"/>
      <c r="CM25" s="93" t="str">
        <f t="shared" si="12"/>
        <v>po</v>
      </c>
      <c r="CN25" s="69">
        <f>IF($AB25="po",$CA25)</f>
        <v>23.349999999999998</v>
      </c>
      <c r="CO25" s="69"/>
      <c r="CP25" s="69"/>
      <c r="CR25" s="89"/>
      <c r="CS25" s="117"/>
      <c r="CT25" s="117"/>
      <c r="CU25" s="117"/>
      <c r="CV25" s="117"/>
      <c r="CW25" s="117"/>
      <c r="CX25" s="117"/>
      <c r="CY25" s="96" t="str">
        <f t="shared" si="5"/>
        <v>Nagamatsu/McEvoy</v>
      </c>
      <c r="CZ25" s="117">
        <v>3</v>
      </c>
      <c r="DA25" s="84"/>
      <c r="DB25" s="84"/>
      <c r="DC25" s="84"/>
      <c r="DD25" s="84">
        <v>90</v>
      </c>
      <c r="DF25" s="117">
        <v>79</v>
      </c>
      <c r="DG25" s="84"/>
      <c r="DH25" s="117">
        <v>100</v>
      </c>
      <c r="DI25" s="117">
        <v>59</v>
      </c>
      <c r="DJ25" s="117"/>
      <c r="DK25" s="117">
        <v>16</v>
      </c>
      <c r="DL25" s="117"/>
      <c r="DM25" s="117"/>
      <c r="DN25" s="117">
        <v>97</v>
      </c>
      <c r="DO25" s="86" t="s">
        <v>233</v>
      </c>
      <c r="DP25" s="101" t="s">
        <v>136</v>
      </c>
      <c r="DQ25" s="121"/>
      <c r="DR25" s="101" t="s">
        <v>136</v>
      </c>
      <c r="DS25" s="101" t="s">
        <v>136</v>
      </c>
      <c r="DT25" s="101"/>
      <c r="DU25" s="101" t="s">
        <v>136</v>
      </c>
      <c r="DV25" s="101" t="s">
        <v>136</v>
      </c>
      <c r="DW25" s="101"/>
      <c r="DX25" s="101"/>
      <c r="DY25" s="101" t="s">
        <v>136</v>
      </c>
      <c r="DZ25" s="73">
        <f t="shared" si="6"/>
        <v>94</v>
      </c>
      <c r="EA25" s="101"/>
      <c r="EB25" s="102" t="s">
        <v>234</v>
      </c>
      <c r="EC25" s="135" t="str">
        <f t="shared" si="7"/>
        <v>Nagamatsu/McEvoy</v>
      </c>
    </row>
    <row r="26" spans="1:133" s="72" customFormat="1" ht="18" customHeight="1" x14ac:dyDescent="0.2">
      <c r="A26" s="28">
        <v>95</v>
      </c>
      <c r="B26" s="29" t="s">
        <v>235</v>
      </c>
      <c r="C26" s="61"/>
      <c r="D26" s="61">
        <v>2022</v>
      </c>
      <c r="E26" s="61"/>
      <c r="F26" s="61" t="s">
        <v>207</v>
      </c>
      <c r="G26" s="61"/>
      <c r="H26" s="122">
        <v>2</v>
      </c>
      <c r="I26" s="62"/>
      <c r="J26" s="61" t="s">
        <v>131</v>
      </c>
      <c r="K26" s="61"/>
      <c r="L26" s="63"/>
      <c r="M26" s="63"/>
      <c r="N26" s="61" t="s">
        <v>133</v>
      </c>
      <c r="O26" s="63" t="s">
        <v>145</v>
      </c>
      <c r="P26" s="63">
        <v>0.2</v>
      </c>
      <c r="Q26" s="61" t="s">
        <v>115</v>
      </c>
      <c r="R26" s="64">
        <f>P26/$Q$44*1000</f>
        <v>1.1363636363636365</v>
      </c>
      <c r="S26" s="63" t="s">
        <v>182</v>
      </c>
      <c r="T26" s="63">
        <v>13</v>
      </c>
      <c r="U26" s="63" t="s">
        <v>236</v>
      </c>
      <c r="V26" s="63" t="s">
        <v>237</v>
      </c>
      <c r="W26" s="63" t="s">
        <v>158</v>
      </c>
      <c r="X26" s="63"/>
      <c r="Y26" s="61">
        <v>0.84</v>
      </c>
      <c r="Z26" s="61">
        <f>'Other Vitamins &amp; Drugs'!Q26</f>
        <v>0</v>
      </c>
      <c r="AA26" s="61"/>
      <c r="AB26" s="63" t="s">
        <v>146</v>
      </c>
      <c r="AC26" s="63"/>
      <c r="AD26" s="63"/>
      <c r="AE26" s="29" t="str">
        <f t="shared" si="0"/>
        <v>Nariai</v>
      </c>
      <c r="AF26" s="61" t="s">
        <v>137</v>
      </c>
      <c r="AG26" s="61"/>
      <c r="AH26" s="61" t="str">
        <f>AF26</f>
        <v>Y</v>
      </c>
      <c r="AI26" s="61"/>
      <c r="AJ26" s="61" t="s">
        <v>137</v>
      </c>
      <c r="AK26" s="61"/>
      <c r="AL26" s="3">
        <f t="shared" si="11"/>
        <v>1</v>
      </c>
      <c r="AM26" s="61" t="s">
        <v>136</v>
      </c>
      <c r="AN26" s="61" t="s">
        <v>136</v>
      </c>
      <c r="AO26" s="61"/>
      <c r="AP26" s="61"/>
      <c r="AQ26" s="65"/>
      <c r="AR26" s="63"/>
      <c r="AS26" s="63"/>
      <c r="AT26" s="63"/>
      <c r="AU26" s="63"/>
      <c r="AV26" s="63"/>
      <c r="AW26" s="63"/>
      <c r="AX26" s="63"/>
      <c r="AY26" s="63" t="s">
        <v>238</v>
      </c>
      <c r="AZ26" s="63"/>
      <c r="BA26" s="63" t="s">
        <v>136</v>
      </c>
      <c r="BB26" s="63" t="s">
        <v>136</v>
      </c>
      <c r="BC26" s="63">
        <f>COUNTA(BA26:BB26)</f>
        <v>2</v>
      </c>
      <c r="BD26" s="63"/>
      <c r="BE26" s="28" t="str">
        <f t="shared" si="1"/>
        <v>Nariai</v>
      </c>
      <c r="BF26" s="63"/>
      <c r="BG26" s="137">
        <v>75</v>
      </c>
      <c r="BH26" s="90">
        <f>BG26+BH$5</f>
        <v>85</v>
      </c>
      <c r="BJ26" s="105">
        <f>0.61*BH26 +2</f>
        <v>53.85</v>
      </c>
      <c r="BK26" s="63"/>
      <c r="BL26" s="106">
        <f>BJ26</f>
        <v>53.85</v>
      </c>
      <c r="BM26" s="71"/>
      <c r="BN26" s="71"/>
      <c r="BO26" s="67"/>
      <c r="BP26" s="63"/>
      <c r="BQ26" s="63"/>
      <c r="BR26" s="63"/>
      <c r="BS26" s="28"/>
      <c r="BT26" s="30" t="str">
        <f t="shared" si="2"/>
        <v>Nariai</v>
      </c>
      <c r="BU26" s="63"/>
      <c r="BV26" s="132">
        <v>22</v>
      </c>
      <c r="BW26" s="90">
        <f>BV26+BW$5</f>
        <v>32</v>
      </c>
      <c r="BX26" s="63"/>
      <c r="BY26" s="105">
        <f>0.61*BW26 + 2</f>
        <v>21.52</v>
      </c>
      <c r="BZ26" s="63"/>
      <c r="CA26" s="68">
        <f>BY26</f>
        <v>21.52</v>
      </c>
      <c r="CB26" s="69"/>
      <c r="CC26" s="107">
        <f>BL26/CA26</f>
        <v>2.5023234200743496</v>
      </c>
      <c r="CD26" s="69"/>
      <c r="CE26" s="69"/>
      <c r="CF26" s="69"/>
      <c r="CG26" s="69"/>
      <c r="CH26" s="107"/>
      <c r="CI26" s="31" t="str">
        <f t="shared" si="3"/>
        <v>Nariai</v>
      </c>
      <c r="CJ26" s="32">
        <f t="shared" si="4"/>
        <v>0</v>
      </c>
      <c r="CK26" s="69"/>
      <c r="CL26" s="69">
        <f>IF(CK26=0,$CA26)</f>
        <v>21.52</v>
      </c>
      <c r="CM26" s="71" t="str">
        <f t="shared" si="12"/>
        <v>iv</v>
      </c>
      <c r="CN26" s="69"/>
      <c r="CO26" s="69">
        <f>IF($AB26="iv",$CA26)</f>
        <v>21.52</v>
      </c>
      <c r="CP26" s="69"/>
      <c r="CR26" s="69" t="s">
        <v>114</v>
      </c>
      <c r="CS26" s="63">
        <v>195</v>
      </c>
      <c r="CT26" s="61" t="s">
        <v>136</v>
      </c>
      <c r="CU26" s="61"/>
      <c r="CV26" s="61"/>
      <c r="CW26" s="63">
        <v>70</v>
      </c>
      <c r="CX26" s="63"/>
      <c r="CY26" s="30" t="str">
        <f t="shared" si="5"/>
        <v>Nariai</v>
      </c>
      <c r="CZ26" s="61">
        <v>2</v>
      </c>
      <c r="DA26" s="61"/>
      <c r="DB26" s="61"/>
      <c r="DC26" s="61"/>
      <c r="DD26" s="61">
        <v>2</v>
      </c>
      <c r="DF26" s="63">
        <v>140</v>
      </c>
      <c r="DG26" s="61"/>
      <c r="DH26" s="63">
        <v>86</v>
      </c>
      <c r="DI26" s="63">
        <v>49</v>
      </c>
      <c r="DJ26" s="63"/>
      <c r="DK26" s="63">
        <v>40</v>
      </c>
      <c r="DL26" s="63"/>
      <c r="DM26" s="63"/>
      <c r="DN26" s="63">
        <v>80</v>
      </c>
      <c r="DO26" s="63"/>
      <c r="DP26" s="73"/>
      <c r="DQ26" s="73"/>
      <c r="DR26" s="73"/>
      <c r="DS26" s="73" t="s">
        <v>136</v>
      </c>
      <c r="DT26" s="73" t="s">
        <v>136</v>
      </c>
      <c r="DU26" s="73"/>
      <c r="DV26" s="73"/>
      <c r="DW26" s="73" t="s">
        <v>136</v>
      </c>
      <c r="DX26" s="73"/>
      <c r="DY26" s="73" t="s">
        <v>136</v>
      </c>
      <c r="DZ26" s="73">
        <f t="shared" si="6"/>
        <v>95</v>
      </c>
      <c r="EA26" s="74"/>
      <c r="EB26" s="102" t="s">
        <v>167</v>
      </c>
      <c r="EC26" s="42" t="str">
        <f t="shared" si="7"/>
        <v>Nariai</v>
      </c>
    </row>
    <row r="27" spans="1:133" ht="18" customHeight="1" x14ac:dyDescent="0.2">
      <c r="A27" s="1">
        <v>96</v>
      </c>
      <c r="B27" s="2" t="s">
        <v>239</v>
      </c>
      <c r="D27" s="3">
        <v>2019</v>
      </c>
      <c r="F27" s="3" t="s">
        <v>130</v>
      </c>
      <c r="H27" s="138">
        <v>48</v>
      </c>
      <c r="J27" s="3" t="s">
        <v>131</v>
      </c>
      <c r="N27" s="3" t="s">
        <v>133</v>
      </c>
      <c r="O27" s="5" t="s">
        <v>145</v>
      </c>
      <c r="P27" s="5">
        <v>0.1</v>
      </c>
      <c r="Q27" s="3" t="s">
        <v>115</v>
      </c>
      <c r="R27" s="50">
        <f>P27/$Q$44*1000</f>
        <v>0.56818181818181823</v>
      </c>
      <c r="Z27" s="61">
        <f>'Other Vitamins &amp; Drugs'!Q27</f>
        <v>0</v>
      </c>
      <c r="AB27" s="5" t="s">
        <v>173</v>
      </c>
      <c r="AC27" s="5"/>
      <c r="AD27" s="5"/>
      <c r="AE27" s="2" t="str">
        <f t="shared" si="0"/>
        <v>Penn/Marston</v>
      </c>
      <c r="AF27" s="3" t="s">
        <v>137</v>
      </c>
      <c r="AG27" s="61" t="str">
        <f>BS27</f>
        <v>Yes</v>
      </c>
      <c r="AH27" s="61"/>
      <c r="AI27" s="3" t="s">
        <v>137</v>
      </c>
      <c r="AJ27" s="3" t="s">
        <v>137</v>
      </c>
      <c r="AL27" s="3">
        <f t="shared" si="11"/>
        <v>1</v>
      </c>
      <c r="AM27" s="3" t="s">
        <v>136</v>
      </c>
      <c r="AQ27" s="51"/>
      <c r="AS27" s="5" t="s">
        <v>240</v>
      </c>
      <c r="AU27" s="5" t="s">
        <v>136</v>
      </c>
      <c r="AV27" s="5" t="s">
        <v>148</v>
      </c>
      <c r="AW27" s="5" t="s">
        <v>155</v>
      </c>
      <c r="AY27" s="5" t="s">
        <v>241</v>
      </c>
      <c r="AZ27" s="5"/>
      <c r="BA27" s="5"/>
      <c r="BB27" s="5" t="s">
        <v>136</v>
      </c>
      <c r="BC27" s="63">
        <f>COUNTA(BA27:BB27)</f>
        <v>1</v>
      </c>
      <c r="BE27" s="1" t="str">
        <f t="shared" si="1"/>
        <v>Penn/Marston</v>
      </c>
      <c r="BF27" s="5"/>
      <c r="BG27" s="5"/>
      <c r="BH27" s="5"/>
      <c r="BI27" s="77">
        <v>57</v>
      </c>
      <c r="BJ27" s="111">
        <f>0.61*BI27 + 2</f>
        <v>36.769999999999996</v>
      </c>
      <c r="BK27" s="77">
        <v>41</v>
      </c>
      <c r="BL27" s="79">
        <f>BK27</f>
        <v>41</v>
      </c>
      <c r="BM27" s="54"/>
      <c r="BN27" s="54"/>
      <c r="BO27" s="80">
        <v>1050</v>
      </c>
      <c r="BP27" s="50">
        <f>BO27/80</f>
        <v>13.125</v>
      </c>
      <c r="BQ27" s="5">
        <v>5</v>
      </c>
      <c r="BR27" s="5" t="s">
        <v>29</v>
      </c>
      <c r="BS27" s="44" t="s">
        <v>158</v>
      </c>
      <c r="BT27" s="6" t="str">
        <f t="shared" si="2"/>
        <v>Penn/Marston</v>
      </c>
      <c r="BU27" s="5"/>
      <c r="BV27" s="5"/>
      <c r="BW27" s="5"/>
      <c r="BX27" s="3"/>
      <c r="BY27" s="3"/>
      <c r="BZ27" s="77">
        <v>26</v>
      </c>
      <c r="CA27" s="81">
        <f>BZ27</f>
        <v>26</v>
      </c>
      <c r="CB27" s="56"/>
      <c r="CC27" s="82">
        <f>BL27/CA27</f>
        <v>1.5769230769230769</v>
      </c>
      <c r="CD27" s="56"/>
      <c r="CE27" s="56"/>
      <c r="CF27" s="56">
        <v>114</v>
      </c>
      <c r="CG27" s="90">
        <f>CF27/80</f>
        <v>1.425</v>
      </c>
      <c r="CH27" s="82">
        <f>BP27/CG27</f>
        <v>9.2105263157894726</v>
      </c>
      <c r="CI27" s="38" t="str">
        <f t="shared" si="3"/>
        <v>Penn/Marston</v>
      </c>
      <c r="CJ27" s="32">
        <f t="shared" si="4"/>
        <v>0</v>
      </c>
      <c r="CK27" s="69"/>
      <c r="CL27" s="69">
        <f>IF(CK27=0,$CA27)</f>
        <v>26</v>
      </c>
      <c r="CM27" s="54" t="str">
        <f t="shared" si="12"/>
        <v>po</v>
      </c>
      <c r="CN27" s="69">
        <f>IF($AB27="po",$CA27)</f>
        <v>26</v>
      </c>
      <c r="CO27" s="69"/>
      <c r="CP27" s="69"/>
      <c r="CR27" s="56" t="s">
        <v>176</v>
      </c>
      <c r="CS27" s="5">
        <v>30178</v>
      </c>
      <c r="CT27" s="5" t="s">
        <v>136</v>
      </c>
      <c r="CW27" s="5">
        <v>117</v>
      </c>
      <c r="CY27" s="6" t="str">
        <f t="shared" si="5"/>
        <v>Penn/Marston</v>
      </c>
      <c r="CZ27" s="5">
        <v>0.75</v>
      </c>
      <c r="DB27" s="3">
        <v>2</v>
      </c>
      <c r="DD27" s="3">
        <v>42</v>
      </c>
      <c r="DF27" s="5">
        <v>120</v>
      </c>
      <c r="DH27" s="5">
        <v>93</v>
      </c>
      <c r="DI27" s="5">
        <v>48</v>
      </c>
      <c r="DJ27" s="5"/>
      <c r="DK27" s="5">
        <v>18</v>
      </c>
      <c r="DL27" s="5"/>
      <c r="DM27" s="5"/>
      <c r="DN27" s="5">
        <v>97</v>
      </c>
      <c r="DO27" s="5"/>
      <c r="DP27" s="74"/>
      <c r="DQ27" s="74"/>
      <c r="DR27" s="74" t="s">
        <v>136</v>
      </c>
      <c r="DS27" s="74" t="s">
        <v>136</v>
      </c>
      <c r="DT27" s="74"/>
      <c r="DU27" s="74" t="s">
        <v>136</v>
      </c>
      <c r="DV27" s="74" t="s">
        <v>136</v>
      </c>
      <c r="DW27" s="74" t="s">
        <v>136</v>
      </c>
      <c r="DX27" s="74" t="s">
        <v>136</v>
      </c>
      <c r="DY27" s="74" t="s">
        <v>136</v>
      </c>
      <c r="DZ27" s="73">
        <f t="shared" si="6"/>
        <v>96</v>
      </c>
      <c r="EA27" s="74"/>
      <c r="EB27" s="75" t="s">
        <v>242</v>
      </c>
      <c r="EC27" s="48" t="str">
        <f t="shared" si="7"/>
        <v>Penn/Marston</v>
      </c>
    </row>
    <row r="28" spans="1:133" s="100" customFormat="1" ht="18" customHeight="1" x14ac:dyDescent="0.2">
      <c r="A28" s="1">
        <v>97</v>
      </c>
      <c r="B28" s="83" t="s">
        <v>243</v>
      </c>
      <c r="C28" s="84"/>
      <c r="D28" s="84">
        <v>2019</v>
      </c>
      <c r="E28" s="84"/>
      <c r="F28" s="84" t="s">
        <v>130</v>
      </c>
      <c r="G28" s="84"/>
      <c r="H28" s="115">
        <v>5</v>
      </c>
      <c r="I28" s="85"/>
      <c r="J28" s="84" t="s">
        <v>143</v>
      </c>
      <c r="K28" s="84" t="s">
        <v>144</v>
      </c>
      <c r="L28" s="117"/>
      <c r="M28" s="117"/>
      <c r="N28" s="84" t="s">
        <v>133</v>
      </c>
      <c r="O28" s="117" t="s">
        <v>145</v>
      </c>
      <c r="P28" s="117"/>
      <c r="Q28" s="84"/>
      <c r="R28" s="84"/>
      <c r="S28" s="117"/>
      <c r="T28" s="117"/>
      <c r="U28" s="117"/>
      <c r="V28" s="117"/>
      <c r="W28" s="117"/>
      <c r="X28" s="117"/>
      <c r="Y28" s="84"/>
      <c r="Z28" s="61">
        <f>'Other Vitamins &amp; Drugs'!Q28</f>
        <v>1</v>
      </c>
      <c r="AA28" s="3"/>
      <c r="AB28" s="117" t="s">
        <v>146</v>
      </c>
      <c r="AC28" s="117"/>
      <c r="AD28" s="117"/>
      <c r="AE28" s="83" t="str">
        <f t="shared" si="0"/>
        <v>Petersen</v>
      </c>
      <c r="AF28" s="84" t="s">
        <v>137</v>
      </c>
      <c r="AG28" s="61"/>
      <c r="AH28" s="61" t="str">
        <f t="shared" ref="AH28:AH38" si="13">AF28</f>
        <v>Y</v>
      </c>
      <c r="AI28" s="84"/>
      <c r="AJ28" s="84" t="s">
        <v>137</v>
      </c>
      <c r="AK28" s="84"/>
      <c r="AL28" s="3">
        <f t="shared" si="11"/>
        <v>1</v>
      </c>
      <c r="AM28" s="84" t="s">
        <v>136</v>
      </c>
      <c r="AN28" s="84" t="s">
        <v>136</v>
      </c>
      <c r="AO28" s="84" t="s">
        <v>136</v>
      </c>
      <c r="AP28" s="84"/>
      <c r="AQ28" s="87"/>
      <c r="AR28" s="117"/>
      <c r="AS28" s="117"/>
      <c r="AT28" s="117"/>
      <c r="AU28" s="117"/>
      <c r="AV28" s="117"/>
      <c r="AW28" s="117"/>
      <c r="AX28" s="117"/>
      <c r="AY28" s="86"/>
      <c r="AZ28" s="86"/>
      <c r="BA28" s="86" t="s">
        <v>136</v>
      </c>
      <c r="BB28" s="86"/>
      <c r="BC28" s="63">
        <f>COUNTA(BA28:BB28)</f>
        <v>1</v>
      </c>
      <c r="BD28" s="117"/>
      <c r="BE28" s="60" t="str">
        <f t="shared" si="1"/>
        <v>Petersen</v>
      </c>
      <c r="BF28" s="86"/>
      <c r="BG28" s="86"/>
      <c r="BH28" s="86"/>
      <c r="BI28" s="86"/>
      <c r="BJ28" s="91"/>
      <c r="BK28" s="86"/>
      <c r="BL28" s="139" t="s">
        <v>139</v>
      </c>
      <c r="BM28" s="93"/>
      <c r="BN28" s="93"/>
      <c r="BO28" s="94"/>
      <c r="BP28" s="86"/>
      <c r="BQ28" s="86"/>
      <c r="BR28" s="86"/>
      <c r="BS28" s="60"/>
      <c r="BT28" s="96" t="str">
        <f t="shared" si="2"/>
        <v>Petersen</v>
      </c>
      <c r="BU28" s="86"/>
      <c r="BV28" s="86"/>
      <c r="BW28" s="86"/>
      <c r="BX28" s="86"/>
      <c r="BY28" s="91"/>
      <c r="BZ28" s="86"/>
      <c r="CA28" s="97"/>
      <c r="CB28" s="89"/>
      <c r="CC28" s="98"/>
      <c r="CD28" s="86"/>
      <c r="CE28" s="86"/>
      <c r="CF28" s="86"/>
      <c r="CG28" s="86"/>
      <c r="CH28" s="98"/>
      <c r="CI28" s="99" t="str">
        <f t="shared" si="3"/>
        <v>Petersen</v>
      </c>
      <c r="CJ28" s="32">
        <f t="shared" si="4"/>
        <v>1</v>
      </c>
      <c r="CK28" s="69"/>
      <c r="CL28" s="69"/>
      <c r="CM28" s="93" t="str">
        <f t="shared" si="12"/>
        <v>iv</v>
      </c>
      <c r="CN28" s="69"/>
      <c r="CO28" s="69"/>
      <c r="CP28" s="69"/>
      <c r="CR28" s="86"/>
      <c r="CS28" s="117"/>
      <c r="CT28" s="117"/>
      <c r="CU28" s="117"/>
      <c r="CV28" s="117">
        <v>33</v>
      </c>
      <c r="CW28" s="117"/>
      <c r="CX28" s="117"/>
      <c r="CY28" s="96" t="str">
        <f t="shared" si="5"/>
        <v>Petersen</v>
      </c>
      <c r="CZ28" s="117">
        <v>2</v>
      </c>
      <c r="DA28" s="84"/>
      <c r="DB28" s="84">
        <v>7</v>
      </c>
      <c r="DC28" s="84"/>
      <c r="DD28" s="84">
        <v>14</v>
      </c>
      <c r="DF28" s="117">
        <v>160</v>
      </c>
      <c r="DG28" s="84"/>
      <c r="DH28" s="117">
        <v>93</v>
      </c>
      <c r="DI28" s="117">
        <v>68</v>
      </c>
      <c r="DJ28" s="117"/>
      <c r="DK28" s="117">
        <v>30</v>
      </c>
      <c r="DL28" s="117"/>
      <c r="DM28" s="117"/>
      <c r="DN28" s="117" t="s">
        <v>134</v>
      </c>
      <c r="DO28" s="117"/>
      <c r="DP28" s="134"/>
      <c r="DQ28" s="134"/>
      <c r="DR28" s="101"/>
      <c r="DS28" s="101"/>
      <c r="DT28" s="101" t="s">
        <v>136</v>
      </c>
      <c r="DU28" s="101"/>
      <c r="DV28" s="101" t="s">
        <v>136</v>
      </c>
      <c r="DW28" s="101" t="s">
        <v>136</v>
      </c>
      <c r="DX28" s="101"/>
      <c r="DY28" s="101" t="s">
        <v>136</v>
      </c>
      <c r="DZ28" s="73">
        <f t="shared" si="6"/>
        <v>97</v>
      </c>
      <c r="EA28" s="101"/>
      <c r="EB28" s="102" t="s">
        <v>167</v>
      </c>
      <c r="EC28" s="135" t="str">
        <f t="shared" si="7"/>
        <v>Petersen</v>
      </c>
    </row>
    <row r="29" spans="1:133" s="72" customFormat="1" ht="18" customHeight="1" x14ac:dyDescent="0.2">
      <c r="A29" s="72">
        <v>98</v>
      </c>
      <c r="B29" s="29" t="s">
        <v>244</v>
      </c>
      <c r="C29" s="61"/>
      <c r="D29" s="61">
        <v>2022</v>
      </c>
      <c r="E29" s="61"/>
      <c r="F29" s="61" t="s">
        <v>130</v>
      </c>
      <c r="G29" s="61"/>
      <c r="H29" s="122">
        <v>6</v>
      </c>
      <c r="I29" s="62"/>
      <c r="J29" s="61" t="s">
        <v>143</v>
      </c>
      <c r="K29" s="61" t="s">
        <v>144</v>
      </c>
      <c r="L29" s="63"/>
      <c r="M29" s="63"/>
      <c r="N29" s="61" t="s">
        <v>133</v>
      </c>
      <c r="O29" s="63" t="s">
        <v>145</v>
      </c>
      <c r="P29" s="63">
        <v>0.1</v>
      </c>
      <c r="Q29" s="61" t="s">
        <v>115</v>
      </c>
      <c r="R29" s="64">
        <f>P29/$Q$44*1000</f>
        <v>0.56818181818181823</v>
      </c>
      <c r="S29" s="63" t="s">
        <v>182</v>
      </c>
      <c r="T29" s="63">
        <v>55</v>
      </c>
      <c r="U29" s="63" t="s">
        <v>171</v>
      </c>
      <c r="V29" s="63" t="s">
        <v>183</v>
      </c>
      <c r="W29" s="63" t="s">
        <v>158</v>
      </c>
      <c r="X29" s="63"/>
      <c r="Y29" s="61">
        <v>0.2</v>
      </c>
      <c r="Z29" s="61">
        <f>'Other Vitamins &amp; Drugs'!Q29</f>
        <v>0</v>
      </c>
      <c r="AA29" s="61"/>
      <c r="AB29" s="63" t="s">
        <v>146</v>
      </c>
      <c r="AC29" s="63"/>
      <c r="AD29" s="63"/>
      <c r="AE29" s="29" t="str">
        <f t="shared" si="0"/>
        <v>Quinn/Moore/Frank</v>
      </c>
      <c r="AF29" s="61" t="s">
        <v>137</v>
      </c>
      <c r="AG29" s="61"/>
      <c r="AH29" s="61" t="str">
        <f t="shared" si="13"/>
        <v>Y</v>
      </c>
      <c r="AI29" s="61"/>
      <c r="AJ29" s="61" t="s">
        <v>137</v>
      </c>
      <c r="AK29" s="61"/>
      <c r="AL29" s="3">
        <f t="shared" si="11"/>
        <v>1</v>
      </c>
      <c r="AM29" s="61" t="s">
        <v>136</v>
      </c>
      <c r="AN29" s="61"/>
      <c r="AO29" s="61"/>
      <c r="AP29" s="61"/>
      <c r="AQ29" s="65"/>
      <c r="AR29" s="63"/>
      <c r="AS29" s="63"/>
      <c r="AT29" s="63"/>
      <c r="AU29" s="63"/>
      <c r="AV29" s="63"/>
      <c r="AW29" s="63"/>
      <c r="AX29" s="63"/>
      <c r="AY29" s="63"/>
      <c r="AZ29" s="63"/>
      <c r="BA29" s="63" t="s">
        <v>136</v>
      </c>
      <c r="BB29" s="63"/>
      <c r="BC29" s="63">
        <f>COUNTA(BA29:BB29)</f>
        <v>1</v>
      </c>
      <c r="BD29" s="63"/>
      <c r="BE29" s="28" t="str">
        <f t="shared" si="1"/>
        <v>Quinn/Moore/Frank</v>
      </c>
      <c r="BF29" s="63">
        <v>3.3</v>
      </c>
      <c r="BG29" s="56">
        <f>4*BF29^2</f>
        <v>43.559999999999995</v>
      </c>
      <c r="BH29" s="90">
        <f>BG29+BH$5</f>
        <v>53.559999999999995</v>
      </c>
      <c r="BI29" s="63"/>
      <c r="BJ29" s="123">
        <f>0.61*BH29 +2</f>
        <v>34.671599999999998</v>
      </c>
      <c r="BK29" s="63">
        <v>42</v>
      </c>
      <c r="BL29" s="79">
        <f>BK29</f>
        <v>42</v>
      </c>
      <c r="BM29" s="71"/>
      <c r="BN29" s="71"/>
      <c r="BO29" s="67"/>
      <c r="BP29" s="63"/>
      <c r="BQ29" s="63"/>
      <c r="BR29" s="63" t="s">
        <v>29</v>
      </c>
      <c r="BS29" s="28"/>
      <c r="BT29" s="30" t="str">
        <f t="shared" si="2"/>
        <v>Quinn/Moore/Frank</v>
      </c>
      <c r="BU29" s="130">
        <v>2.2999999999999998</v>
      </c>
      <c r="BV29" s="56">
        <f>4*BU29^2</f>
        <v>21.159999999999997</v>
      </c>
      <c r="BW29" s="90">
        <f>BV29+BW$5</f>
        <v>31.159999999999997</v>
      </c>
      <c r="BX29" s="63"/>
      <c r="BY29" s="105">
        <f>0.61*BW29 +2</f>
        <v>21.007599999999996</v>
      </c>
      <c r="BZ29" s="63"/>
      <c r="CA29" s="140">
        <f>BY29</f>
        <v>21.007599999999996</v>
      </c>
      <c r="CB29" s="69"/>
      <c r="CC29" s="107">
        <f>BL29/CA29</f>
        <v>1.9992764523315374</v>
      </c>
      <c r="CD29" s="69"/>
      <c r="CE29" s="69"/>
      <c r="CF29" s="69"/>
      <c r="CG29" s="69"/>
      <c r="CH29" s="107"/>
      <c r="CI29" s="31" t="str">
        <f t="shared" si="3"/>
        <v>Quinn/Moore/Frank</v>
      </c>
      <c r="CJ29" s="32">
        <f t="shared" si="4"/>
        <v>0</v>
      </c>
      <c r="CK29" s="69"/>
      <c r="CL29" s="69">
        <f>IF(CK29=0,$CA29)</f>
        <v>21.007599999999996</v>
      </c>
      <c r="CM29" s="71" t="str">
        <f t="shared" si="12"/>
        <v>iv</v>
      </c>
      <c r="CN29" s="69"/>
      <c r="CO29" s="69">
        <f>IF($AB29="iv",$CA29)</f>
        <v>21.007599999999996</v>
      </c>
      <c r="CP29" s="69"/>
      <c r="CR29" s="63"/>
      <c r="CS29" s="63"/>
      <c r="CT29" s="63"/>
      <c r="CU29" s="63"/>
      <c r="CV29" s="63"/>
      <c r="CW29" s="63"/>
      <c r="CX29" s="63"/>
      <c r="CY29" s="30" t="str">
        <f t="shared" si="5"/>
        <v>Quinn/Moore/Frank</v>
      </c>
      <c r="CZ29" s="63">
        <v>3</v>
      </c>
      <c r="DA29" s="61"/>
      <c r="DB29" s="61"/>
      <c r="DC29" s="61"/>
      <c r="DD29" s="61">
        <v>9</v>
      </c>
      <c r="DF29" s="63">
        <v>138</v>
      </c>
      <c r="DG29" s="61"/>
      <c r="DH29" s="63">
        <v>118</v>
      </c>
      <c r="DI29" s="63">
        <v>89</v>
      </c>
      <c r="DJ29" s="63"/>
      <c r="DK29" s="63">
        <v>28</v>
      </c>
      <c r="DL29" s="63"/>
      <c r="DM29" s="63"/>
      <c r="DN29" s="63"/>
      <c r="DO29" s="63"/>
      <c r="DP29" s="73"/>
      <c r="DQ29" s="73"/>
      <c r="DR29" s="73"/>
      <c r="DS29" s="73"/>
      <c r="DT29" s="73"/>
      <c r="DU29" s="73"/>
      <c r="DV29" s="73"/>
      <c r="DW29" s="73" t="s">
        <v>136</v>
      </c>
      <c r="DX29" s="73"/>
      <c r="DZ29" s="73">
        <f t="shared" si="6"/>
        <v>98</v>
      </c>
      <c r="EA29" s="101" t="s">
        <v>136</v>
      </c>
      <c r="EB29" s="72" t="s">
        <v>245</v>
      </c>
      <c r="EC29" s="76" t="str">
        <f t="shared" si="7"/>
        <v>Quinn/Moore/Frank</v>
      </c>
    </row>
    <row r="30" spans="1:133" ht="18" customHeight="1" x14ac:dyDescent="0.2">
      <c r="A30" s="1">
        <v>99</v>
      </c>
      <c r="B30" s="2" t="s">
        <v>246</v>
      </c>
      <c r="D30" s="3">
        <v>2003</v>
      </c>
      <c r="F30" s="3" t="s">
        <v>247</v>
      </c>
      <c r="H30" s="141">
        <f>1+9/12</f>
        <v>1.75</v>
      </c>
      <c r="J30" s="3" t="s">
        <v>143</v>
      </c>
      <c r="N30" s="3" t="s">
        <v>133</v>
      </c>
      <c r="W30" s="5" t="s">
        <v>158</v>
      </c>
      <c r="Y30" s="3" t="s">
        <v>248</v>
      </c>
      <c r="Z30" s="61">
        <f>'Other Vitamins &amp; Drugs'!Q30</f>
        <v>0</v>
      </c>
      <c r="AC30" s="3" t="s">
        <v>136</v>
      </c>
      <c r="AE30" s="2" t="str">
        <f t="shared" si="0"/>
        <v>Ratanachu a</v>
      </c>
      <c r="AF30" s="3" t="s">
        <v>137</v>
      </c>
      <c r="AG30" s="61"/>
      <c r="AH30" s="61" t="str">
        <f t="shared" si="13"/>
        <v>Y</v>
      </c>
      <c r="AQ30" s="51"/>
      <c r="AX30" s="5" t="s">
        <v>137</v>
      </c>
      <c r="BA30" s="5"/>
      <c r="BB30" s="5"/>
      <c r="BC30" s="63"/>
      <c r="BE30" s="1" t="str">
        <f t="shared" si="1"/>
        <v>Ratanachu a</v>
      </c>
      <c r="BF30" s="5"/>
      <c r="BG30" s="5"/>
      <c r="BH30" s="5"/>
      <c r="BI30" s="5"/>
      <c r="BJ30" s="111"/>
      <c r="BK30" s="5"/>
      <c r="BL30" s="142" t="s">
        <v>139</v>
      </c>
      <c r="BM30" s="54"/>
      <c r="BN30" s="54"/>
      <c r="BO30" s="80"/>
      <c r="BP30" s="5"/>
      <c r="BQ30" s="5"/>
      <c r="BR30" s="5"/>
      <c r="BS30" s="1"/>
      <c r="BT30" s="6" t="str">
        <f t="shared" si="2"/>
        <v>Ratanachu a</v>
      </c>
      <c r="BU30" s="5"/>
      <c r="BV30" s="5"/>
      <c r="BW30" s="5"/>
      <c r="BX30" s="5"/>
      <c r="BY30" s="111"/>
      <c r="BZ30" s="5"/>
      <c r="CA30" s="81"/>
      <c r="CB30" s="56"/>
      <c r="CC30" s="112"/>
      <c r="CD30" s="5"/>
      <c r="CE30" s="5"/>
      <c r="CF30" s="5"/>
      <c r="CG30" s="5"/>
      <c r="CH30" s="112"/>
      <c r="CI30" s="38" t="str">
        <f t="shared" si="3"/>
        <v>Ratanachu a</v>
      </c>
      <c r="CJ30" s="32">
        <f t="shared" si="4"/>
        <v>0</v>
      </c>
      <c r="CK30" s="69"/>
      <c r="CL30" s="69"/>
      <c r="CM30" s="54"/>
      <c r="CN30" s="69"/>
      <c r="CO30" s="69"/>
      <c r="CP30" s="69"/>
      <c r="CR30" s="5"/>
      <c r="CY30" s="6" t="str">
        <f t="shared" si="5"/>
        <v>Ratanachu a</v>
      </c>
      <c r="DA30" s="3" t="s">
        <v>249</v>
      </c>
      <c r="DB30" s="3">
        <v>4</v>
      </c>
      <c r="DD30" s="3">
        <v>7</v>
      </c>
      <c r="DF30" s="5"/>
      <c r="DH30" s="5"/>
      <c r="DI30" s="5"/>
      <c r="DJ30" s="5"/>
      <c r="DK30" s="5"/>
      <c r="DL30" s="5"/>
      <c r="DM30" s="5"/>
      <c r="DN30" s="5"/>
      <c r="DO30" s="5"/>
      <c r="DP30" s="74"/>
      <c r="DQ30" s="74"/>
      <c r="DR30" s="74"/>
      <c r="DS30" s="74" t="s">
        <v>136</v>
      </c>
      <c r="DT30" s="74"/>
      <c r="DU30" s="74"/>
      <c r="DV30" s="74"/>
      <c r="DW30" s="74" t="s">
        <v>136</v>
      </c>
      <c r="DX30" s="74"/>
      <c r="DY30" s="74"/>
      <c r="DZ30" s="73">
        <f t="shared" si="6"/>
        <v>99</v>
      </c>
      <c r="EA30" s="74"/>
      <c r="EB30" s="75"/>
      <c r="EC30" s="48" t="str">
        <f t="shared" si="7"/>
        <v>Ratanachu a</v>
      </c>
    </row>
    <row r="31" spans="1:133" s="100" customFormat="1" ht="18" customHeight="1" x14ac:dyDescent="0.2">
      <c r="A31" s="60">
        <v>99</v>
      </c>
      <c r="B31" s="83" t="s">
        <v>250</v>
      </c>
      <c r="C31" s="84"/>
      <c r="D31" s="84">
        <v>2003</v>
      </c>
      <c r="E31" s="84"/>
      <c r="F31" s="84" t="s">
        <v>247</v>
      </c>
      <c r="G31" s="84"/>
      <c r="H31" s="143">
        <f>2+10/12</f>
        <v>2.8333333333333335</v>
      </c>
      <c r="I31" s="85"/>
      <c r="J31" s="84" t="s">
        <v>143</v>
      </c>
      <c r="K31" s="84"/>
      <c r="L31" s="117"/>
      <c r="M31" s="117"/>
      <c r="N31" s="84" t="s">
        <v>133</v>
      </c>
      <c r="O31" s="117"/>
      <c r="P31" s="117"/>
      <c r="Q31" s="84"/>
      <c r="R31" s="84"/>
      <c r="S31" s="117"/>
      <c r="T31" s="117"/>
      <c r="U31" s="117"/>
      <c r="V31" s="117"/>
      <c r="W31" s="117" t="s">
        <v>158</v>
      </c>
      <c r="X31" s="117"/>
      <c r="Y31" s="84" t="s">
        <v>248</v>
      </c>
      <c r="Z31" s="61">
        <f>'Other Vitamins &amp; Drugs'!Q31</f>
        <v>0</v>
      </c>
      <c r="AA31" s="3"/>
      <c r="AB31" s="84"/>
      <c r="AC31" s="84" t="s">
        <v>136</v>
      </c>
      <c r="AD31" s="84"/>
      <c r="AE31" s="83" t="str">
        <f t="shared" si="0"/>
        <v>Ratanachu b</v>
      </c>
      <c r="AF31" s="84" t="s">
        <v>137</v>
      </c>
      <c r="AG31" s="61"/>
      <c r="AH31" s="61" t="str">
        <f t="shared" si="13"/>
        <v>Y</v>
      </c>
      <c r="AI31" s="84"/>
      <c r="AJ31" s="84"/>
      <c r="AK31" s="84"/>
      <c r="AL31" s="3"/>
      <c r="AM31" s="84"/>
      <c r="AN31" s="84"/>
      <c r="AO31" s="84"/>
      <c r="AP31" s="84"/>
      <c r="AQ31" s="87"/>
      <c r="AR31" s="117"/>
      <c r="AS31" s="117"/>
      <c r="AT31" s="117"/>
      <c r="AU31" s="117"/>
      <c r="AV31" s="117"/>
      <c r="AW31" s="117"/>
      <c r="AX31" s="117"/>
      <c r="AY31" s="86"/>
      <c r="AZ31" s="86"/>
      <c r="BA31" s="86"/>
      <c r="BB31" s="86"/>
      <c r="BC31" s="63"/>
      <c r="BD31" s="117"/>
      <c r="BE31" s="60" t="str">
        <f t="shared" si="1"/>
        <v>Ratanachu b</v>
      </c>
      <c r="BF31" s="86"/>
      <c r="BG31" s="86"/>
      <c r="BH31" s="86"/>
      <c r="BI31" s="86"/>
      <c r="BJ31" s="91"/>
      <c r="BK31" s="86"/>
      <c r="BL31" s="139" t="s">
        <v>139</v>
      </c>
      <c r="BM31" s="93"/>
      <c r="BN31" s="93"/>
      <c r="BO31" s="94"/>
      <c r="BP31" s="86"/>
      <c r="BQ31" s="86"/>
      <c r="BR31" s="86"/>
      <c r="BS31" s="60"/>
      <c r="BT31" s="96" t="str">
        <f t="shared" si="2"/>
        <v>Ratanachu b</v>
      </c>
      <c r="BU31" s="86"/>
      <c r="BV31" s="86"/>
      <c r="BW31" s="86"/>
      <c r="BX31" s="86"/>
      <c r="BY31" s="91"/>
      <c r="BZ31" s="86"/>
      <c r="CA31" s="97"/>
      <c r="CB31" s="89"/>
      <c r="CC31" s="98"/>
      <c r="CD31" s="86"/>
      <c r="CE31" s="86"/>
      <c r="CF31" s="86"/>
      <c r="CG31" s="86"/>
      <c r="CH31" s="98"/>
      <c r="CI31" s="99" t="str">
        <f t="shared" si="3"/>
        <v>Ratanachu b</v>
      </c>
      <c r="CJ31" s="32">
        <f t="shared" si="4"/>
        <v>0</v>
      </c>
      <c r="CK31" s="69"/>
      <c r="CL31" s="69"/>
      <c r="CM31" s="93"/>
      <c r="CN31" s="69"/>
      <c r="CO31" s="69"/>
      <c r="CP31" s="69"/>
      <c r="CR31" s="86"/>
      <c r="CS31" s="117"/>
      <c r="CT31" s="117"/>
      <c r="CU31" s="117"/>
      <c r="CV31" s="117"/>
      <c r="CW31" s="117"/>
      <c r="CX31" s="117"/>
      <c r="CY31" s="96" t="str">
        <f t="shared" si="5"/>
        <v>Ratanachu b</v>
      </c>
      <c r="CZ31" s="117"/>
      <c r="DA31" s="84" t="s">
        <v>249</v>
      </c>
      <c r="DB31" s="84">
        <v>4</v>
      </c>
      <c r="DC31" s="84"/>
      <c r="DD31" s="84">
        <v>7</v>
      </c>
      <c r="DF31" s="117"/>
      <c r="DG31" s="84"/>
      <c r="DH31" s="117"/>
      <c r="DI31" s="117"/>
      <c r="DJ31" s="117"/>
      <c r="DK31" s="117"/>
      <c r="DL31" s="117"/>
      <c r="DM31" s="117"/>
      <c r="DN31" s="117"/>
      <c r="DO31" s="117"/>
      <c r="DP31" s="134"/>
      <c r="DQ31" s="134"/>
      <c r="DR31" s="101"/>
      <c r="DS31" s="101" t="s">
        <v>136</v>
      </c>
      <c r="DT31" s="101"/>
      <c r="DU31" s="101"/>
      <c r="DV31" s="101"/>
      <c r="DW31" s="101" t="s">
        <v>136</v>
      </c>
      <c r="DX31" s="101"/>
      <c r="DY31" s="101"/>
      <c r="DZ31" s="73">
        <f t="shared" si="6"/>
        <v>99</v>
      </c>
      <c r="EA31" s="101"/>
      <c r="EB31" s="102"/>
      <c r="EC31" s="103" t="str">
        <f t="shared" si="7"/>
        <v>Ratanachu b</v>
      </c>
    </row>
    <row r="32" spans="1:133" s="72" customFormat="1" ht="18" customHeight="1" x14ac:dyDescent="0.2">
      <c r="A32" s="28">
        <v>100</v>
      </c>
      <c r="B32" s="29" t="s">
        <v>251</v>
      </c>
      <c r="C32" s="61"/>
      <c r="D32" s="61">
        <v>2022</v>
      </c>
      <c r="E32" s="61"/>
      <c r="F32" s="61" t="s">
        <v>247</v>
      </c>
      <c r="G32" s="61"/>
      <c r="H32" s="122">
        <v>6</v>
      </c>
      <c r="I32" s="62"/>
      <c r="J32" s="61" t="s">
        <v>143</v>
      </c>
      <c r="K32" s="61" t="s">
        <v>144</v>
      </c>
      <c r="L32" s="63"/>
      <c r="M32" s="63"/>
      <c r="N32" s="61" t="s">
        <v>133</v>
      </c>
      <c r="O32" s="63"/>
      <c r="P32" s="63"/>
      <c r="Q32" s="61"/>
      <c r="R32" s="61"/>
      <c r="S32" s="63"/>
      <c r="T32" s="63"/>
      <c r="U32" s="63"/>
      <c r="V32" s="63"/>
      <c r="W32" s="63"/>
      <c r="X32" s="63"/>
      <c r="Y32" s="61">
        <v>0.3</v>
      </c>
      <c r="Z32" s="61">
        <f>'Other Vitamins &amp; Drugs'!Q32</f>
        <v>0</v>
      </c>
      <c r="AA32" s="61"/>
      <c r="AB32" s="61" t="s">
        <v>173</v>
      </c>
      <c r="AC32" s="61"/>
      <c r="AD32" s="61"/>
      <c r="AE32" s="29" t="str">
        <f t="shared" si="0"/>
        <v>Sakamornchai a</v>
      </c>
      <c r="AF32" s="61" t="s">
        <v>137</v>
      </c>
      <c r="AG32" s="61"/>
      <c r="AH32" s="61" t="str">
        <f t="shared" si="13"/>
        <v>Y</v>
      </c>
      <c r="AI32" s="61"/>
      <c r="AJ32" s="61"/>
      <c r="AK32" s="61"/>
      <c r="AL32" s="3"/>
      <c r="AM32" s="61" t="s">
        <v>136</v>
      </c>
      <c r="AN32" s="61" t="s">
        <v>136</v>
      </c>
      <c r="AO32" s="61"/>
      <c r="AP32" s="61"/>
      <c r="AQ32" s="65"/>
      <c r="AR32" s="63"/>
      <c r="AS32" s="63"/>
      <c r="AT32" s="63"/>
      <c r="AU32" s="63"/>
      <c r="AV32" s="63"/>
      <c r="AW32" s="63"/>
      <c r="AX32" s="63"/>
      <c r="AY32" s="63" t="s">
        <v>252</v>
      </c>
      <c r="AZ32" s="63"/>
      <c r="BA32" s="63" t="s">
        <v>136</v>
      </c>
      <c r="BB32" s="63" t="s">
        <v>136</v>
      </c>
      <c r="BC32" s="63">
        <f t="shared" ref="BC32:BC38" si="14">COUNTA(BA32:BB32)</f>
        <v>2</v>
      </c>
      <c r="BD32" s="63"/>
      <c r="BE32" s="28" t="str">
        <f t="shared" si="1"/>
        <v>Sakamornchai a</v>
      </c>
      <c r="BF32" s="63"/>
      <c r="BG32" s="77">
        <v>80</v>
      </c>
      <c r="BH32" s="90">
        <f>BG32+BH$5</f>
        <v>90</v>
      </c>
      <c r="BJ32" s="78">
        <f>0.61*BH32 +2</f>
        <v>56.9</v>
      </c>
      <c r="BK32" s="63"/>
      <c r="BL32" s="79">
        <f>BJ32</f>
        <v>56.9</v>
      </c>
      <c r="BM32" s="71"/>
      <c r="BN32" s="71"/>
      <c r="BO32" s="67"/>
      <c r="BP32" s="63"/>
      <c r="BQ32" s="63"/>
      <c r="BR32" s="63" t="s">
        <v>29</v>
      </c>
      <c r="BS32" s="28"/>
      <c r="BT32" s="30" t="str">
        <f t="shared" si="2"/>
        <v>Sakamornchai a</v>
      </c>
      <c r="BU32" s="63"/>
      <c r="BV32" s="63"/>
      <c r="BW32" s="63"/>
      <c r="BX32" s="63"/>
      <c r="BY32" s="123"/>
      <c r="BZ32" s="63"/>
      <c r="CA32" s="140"/>
      <c r="CB32" s="69"/>
      <c r="CC32" s="144"/>
      <c r="CD32" s="63"/>
      <c r="CE32" s="63"/>
      <c r="CF32" s="63"/>
      <c r="CG32" s="63"/>
      <c r="CH32" s="107"/>
      <c r="CI32" s="31" t="str">
        <f t="shared" si="3"/>
        <v>Sakamornchai a</v>
      </c>
      <c r="CJ32" s="32">
        <f t="shared" si="4"/>
        <v>0</v>
      </c>
      <c r="CK32" s="69"/>
      <c r="CL32" s="69"/>
      <c r="CM32" s="71" t="str">
        <f>AB32</f>
        <v>po</v>
      </c>
      <c r="CN32" s="69"/>
      <c r="CO32" s="69"/>
      <c r="CP32" s="69"/>
      <c r="CR32" s="63"/>
      <c r="CS32" s="63"/>
      <c r="CT32" s="63"/>
      <c r="CU32" s="63"/>
      <c r="CV32" s="63"/>
      <c r="CW32" s="63">
        <v>70</v>
      </c>
      <c r="CX32" s="63"/>
      <c r="CY32" s="30" t="str">
        <f t="shared" si="5"/>
        <v>Sakamornchai a</v>
      </c>
      <c r="CZ32" s="63">
        <v>2</v>
      </c>
      <c r="DA32" s="61"/>
      <c r="DB32" s="61">
        <v>13</v>
      </c>
      <c r="DC32" s="61"/>
      <c r="DD32" s="61">
        <v>60</v>
      </c>
      <c r="DF32" s="63">
        <v>130</v>
      </c>
      <c r="DG32" s="61"/>
      <c r="DH32" s="63">
        <v>107</v>
      </c>
      <c r="DI32" s="63">
        <v>78</v>
      </c>
      <c r="DJ32" s="63"/>
      <c r="DK32" s="63">
        <v>48</v>
      </c>
      <c r="DL32" s="63"/>
      <c r="DM32" s="63"/>
      <c r="DN32" s="63">
        <v>90</v>
      </c>
      <c r="DO32" s="63" t="s">
        <v>253</v>
      </c>
      <c r="DP32" s="73" t="s">
        <v>136</v>
      </c>
      <c r="DQ32" s="73"/>
      <c r="DR32" s="73" t="s">
        <v>136</v>
      </c>
      <c r="DS32" s="73" t="s">
        <v>136</v>
      </c>
      <c r="DT32" s="73"/>
      <c r="DU32" s="73"/>
      <c r="DV32" s="73"/>
      <c r="DW32" s="73" t="s">
        <v>136</v>
      </c>
      <c r="DX32" s="73" t="s">
        <v>136</v>
      </c>
      <c r="DY32" s="73"/>
      <c r="DZ32" s="73">
        <f t="shared" si="6"/>
        <v>100</v>
      </c>
      <c r="EA32" s="73" t="s">
        <v>136</v>
      </c>
      <c r="EB32" s="108" t="s">
        <v>254</v>
      </c>
      <c r="EC32" s="42" t="str">
        <f t="shared" si="7"/>
        <v>Sakamornchai a</v>
      </c>
    </row>
    <row r="33" spans="1:133" ht="18" customHeight="1" x14ac:dyDescent="0.2">
      <c r="A33" s="1">
        <v>100</v>
      </c>
      <c r="B33" s="2" t="s">
        <v>255</v>
      </c>
      <c r="D33" s="3">
        <v>2022</v>
      </c>
      <c r="F33" s="3" t="s">
        <v>247</v>
      </c>
      <c r="H33" s="7">
        <v>5</v>
      </c>
      <c r="J33" s="3" t="s">
        <v>143</v>
      </c>
      <c r="K33" s="3" t="s">
        <v>144</v>
      </c>
      <c r="N33" s="3" t="s">
        <v>133</v>
      </c>
      <c r="S33" s="5" t="s">
        <v>134</v>
      </c>
      <c r="T33" s="5">
        <v>49.2</v>
      </c>
      <c r="V33" s="5" t="s">
        <v>256</v>
      </c>
      <c r="W33" s="5" t="s">
        <v>158</v>
      </c>
      <c r="Y33" s="3">
        <v>0.3</v>
      </c>
      <c r="Z33" s="61">
        <f>'Other Vitamins &amp; Drugs'!Q33</f>
        <v>0</v>
      </c>
      <c r="AB33" s="3" t="s">
        <v>173</v>
      </c>
      <c r="AE33" s="2" t="str">
        <f t="shared" si="0"/>
        <v>Sakamornchai b</v>
      </c>
      <c r="AF33" s="3" t="s">
        <v>137</v>
      </c>
      <c r="AG33" s="61"/>
      <c r="AH33" s="61" t="str">
        <f t="shared" si="13"/>
        <v>Y</v>
      </c>
      <c r="AQ33" s="51"/>
      <c r="AS33" s="5" t="s">
        <v>257</v>
      </c>
      <c r="AU33" s="5" t="s">
        <v>136</v>
      </c>
      <c r="AY33" s="5" t="s">
        <v>252</v>
      </c>
      <c r="AZ33" s="5"/>
      <c r="BA33" s="5" t="s">
        <v>136</v>
      </c>
      <c r="BB33" s="5" t="s">
        <v>136</v>
      </c>
      <c r="BC33" s="63">
        <f t="shared" si="14"/>
        <v>2</v>
      </c>
      <c r="BE33" s="1" t="str">
        <f t="shared" si="1"/>
        <v>Sakamornchai b</v>
      </c>
      <c r="BF33" s="5"/>
      <c r="BG33" s="77">
        <v>80</v>
      </c>
      <c r="BH33" s="90">
        <f>BG33+BH$5</f>
        <v>90</v>
      </c>
      <c r="BJ33" s="78">
        <f>0.61*BH33 +2</f>
        <v>56.9</v>
      </c>
      <c r="BK33" s="5"/>
      <c r="BL33" s="79">
        <f>BJ33</f>
        <v>56.9</v>
      </c>
      <c r="BM33" s="54"/>
      <c r="BN33" s="54"/>
      <c r="BO33" s="80"/>
      <c r="BP33" s="5"/>
      <c r="BQ33" s="5"/>
      <c r="BR33" s="5" t="s">
        <v>29</v>
      </c>
      <c r="BS33" s="1"/>
      <c r="BT33" s="6" t="str">
        <f t="shared" si="2"/>
        <v>Sakamornchai b</v>
      </c>
      <c r="BU33" s="5"/>
      <c r="BV33" s="5"/>
      <c r="BW33" s="5"/>
      <c r="BX33" s="5"/>
      <c r="BY33" s="111"/>
      <c r="BZ33" s="5"/>
      <c r="CA33" s="81"/>
      <c r="CB33" s="56"/>
      <c r="CC33" s="112"/>
      <c r="CD33" s="5"/>
      <c r="CE33" s="5"/>
      <c r="CF33" s="5"/>
      <c r="CG33" s="5"/>
      <c r="CH33" s="112"/>
      <c r="CI33" s="38" t="str">
        <f t="shared" si="3"/>
        <v>Sakamornchai b</v>
      </c>
      <c r="CJ33" s="32">
        <f t="shared" si="4"/>
        <v>0</v>
      </c>
      <c r="CK33" s="69"/>
      <c r="CL33" s="69"/>
      <c r="CM33" s="54" t="str">
        <f>AB33</f>
        <v>po</v>
      </c>
      <c r="CN33" s="69"/>
      <c r="CO33" s="69"/>
      <c r="CP33" s="69"/>
      <c r="CR33" s="5"/>
      <c r="CW33" s="5">
        <v>99</v>
      </c>
      <c r="CY33" s="6" t="str">
        <f t="shared" si="5"/>
        <v>Sakamornchai b</v>
      </c>
      <c r="CZ33" s="5">
        <v>0.5</v>
      </c>
      <c r="DB33" s="3">
        <v>1</v>
      </c>
      <c r="DD33" s="3">
        <v>1</v>
      </c>
      <c r="DF33" s="5">
        <v>136</v>
      </c>
      <c r="DH33" s="5">
        <v>110</v>
      </c>
      <c r="DI33" s="5">
        <v>60</v>
      </c>
      <c r="DJ33" s="5"/>
      <c r="DK33" s="5">
        <v>50</v>
      </c>
      <c r="DL33" s="5"/>
      <c r="DM33" s="5"/>
      <c r="DN33" s="5"/>
      <c r="DO33" s="5"/>
      <c r="DP33" s="74"/>
      <c r="DQ33" s="74"/>
      <c r="DR33" s="74" t="s">
        <v>136</v>
      </c>
      <c r="DS33" s="74"/>
      <c r="DT33" s="74"/>
      <c r="DU33" s="74"/>
      <c r="DV33" s="74"/>
      <c r="DW33" s="74" t="s">
        <v>136</v>
      </c>
      <c r="DX33" s="74"/>
      <c r="DY33" s="74" t="s">
        <v>136</v>
      </c>
      <c r="DZ33" s="73">
        <f t="shared" si="6"/>
        <v>100</v>
      </c>
      <c r="EA33" s="74"/>
      <c r="EB33" s="102" t="s">
        <v>167</v>
      </c>
      <c r="EC33" s="48" t="str">
        <f t="shared" si="7"/>
        <v>Sakamornchai b</v>
      </c>
    </row>
    <row r="34" spans="1:133" s="100" customFormat="1" ht="39.75" customHeight="1" x14ac:dyDescent="0.2">
      <c r="A34" s="28">
        <v>101</v>
      </c>
      <c r="B34" s="83" t="s">
        <v>258</v>
      </c>
      <c r="C34" s="84"/>
      <c r="D34" s="84">
        <v>2021</v>
      </c>
      <c r="E34" s="84"/>
      <c r="F34" s="84" t="s">
        <v>130</v>
      </c>
      <c r="G34" s="84"/>
      <c r="H34" s="84">
        <v>35</v>
      </c>
      <c r="I34" s="85"/>
      <c r="J34" s="84" t="s">
        <v>131</v>
      </c>
      <c r="K34" s="84"/>
      <c r="L34" s="117" t="s">
        <v>164</v>
      </c>
      <c r="M34" s="117"/>
      <c r="N34" s="84" t="s">
        <v>133</v>
      </c>
      <c r="O34" s="117" t="s">
        <v>145</v>
      </c>
      <c r="P34" s="117"/>
      <c r="Q34" s="84"/>
      <c r="R34" s="125"/>
      <c r="S34" s="117" t="s">
        <v>182</v>
      </c>
      <c r="T34" s="117" t="s">
        <v>259</v>
      </c>
      <c r="U34" s="117"/>
      <c r="V34" s="117" t="s">
        <v>179</v>
      </c>
      <c r="W34" s="117"/>
      <c r="X34" s="117"/>
      <c r="Y34" s="84">
        <v>1</v>
      </c>
      <c r="Z34" s="61">
        <f>'Other Vitamins &amp; Drugs'!Q34</f>
        <v>1</v>
      </c>
      <c r="AA34" s="3"/>
      <c r="AB34" s="84"/>
      <c r="AC34" s="84" t="s">
        <v>136</v>
      </c>
      <c r="AD34" s="84"/>
      <c r="AE34" s="83" t="str">
        <f t="shared" si="0"/>
        <v>Shah</v>
      </c>
      <c r="AF34" s="84" t="s">
        <v>137</v>
      </c>
      <c r="AG34" s="61"/>
      <c r="AH34" s="61" t="str">
        <f t="shared" si="13"/>
        <v>Y</v>
      </c>
      <c r="AI34" s="84"/>
      <c r="AJ34" s="84"/>
      <c r="AK34" s="84" t="s">
        <v>137</v>
      </c>
      <c r="AL34" s="3">
        <f>COUNTA(AJ34:AK34)</f>
        <v>1</v>
      </c>
      <c r="AM34" s="84" t="s">
        <v>136</v>
      </c>
      <c r="AN34" s="84" t="s">
        <v>136</v>
      </c>
      <c r="AO34" s="84"/>
      <c r="AP34" s="84"/>
      <c r="AQ34" s="87"/>
      <c r="AR34" s="117"/>
      <c r="AS34" s="117"/>
      <c r="AT34" s="117"/>
      <c r="AU34" s="117"/>
      <c r="AV34" s="117"/>
      <c r="AW34" s="117"/>
      <c r="AX34" s="117"/>
      <c r="AY34" s="86" t="s">
        <v>260</v>
      </c>
      <c r="AZ34" s="86" t="s">
        <v>157</v>
      </c>
      <c r="BA34" s="86" t="s">
        <v>136</v>
      </c>
      <c r="BB34" s="86" t="s">
        <v>136</v>
      </c>
      <c r="BC34" s="63">
        <f t="shared" si="14"/>
        <v>2</v>
      </c>
      <c r="BD34" s="117"/>
      <c r="BE34" s="60" t="str">
        <f t="shared" si="1"/>
        <v>Shah</v>
      </c>
      <c r="BF34" s="86"/>
      <c r="BG34" s="86"/>
      <c r="BH34" s="86"/>
      <c r="BI34" s="88">
        <v>86</v>
      </c>
      <c r="BJ34" s="118">
        <f>0.61*BI34 + 2</f>
        <v>54.46</v>
      </c>
      <c r="BK34" s="86"/>
      <c r="BL34" s="92">
        <f>BJ34</f>
        <v>54.46</v>
      </c>
      <c r="BM34" s="93"/>
      <c r="BN34" s="93"/>
      <c r="BO34" s="94"/>
      <c r="BP34" s="86"/>
      <c r="BQ34" s="86"/>
      <c r="BR34" s="86"/>
      <c r="BS34" s="60"/>
      <c r="BT34" s="96" t="str">
        <f t="shared" si="2"/>
        <v>Shah</v>
      </c>
      <c r="BU34" s="86"/>
      <c r="BV34" s="86"/>
      <c r="BW34" s="86"/>
      <c r="BX34" s="84"/>
      <c r="BY34" s="86"/>
      <c r="BZ34" s="145">
        <v>19</v>
      </c>
      <c r="CA34" s="97">
        <f>BZ34</f>
        <v>19</v>
      </c>
      <c r="CB34" s="89"/>
      <c r="CC34" s="127">
        <f>BL34/CA34</f>
        <v>2.8663157894736844</v>
      </c>
      <c r="CD34" s="89"/>
      <c r="CE34" s="89"/>
      <c r="CF34" s="89"/>
      <c r="CG34" s="89"/>
      <c r="CH34" s="127"/>
      <c r="CI34" s="99" t="str">
        <f t="shared" si="3"/>
        <v>Shah</v>
      </c>
      <c r="CJ34" s="32">
        <f t="shared" si="4"/>
        <v>1</v>
      </c>
      <c r="CK34" s="69">
        <f>IF(CJ34=1,$CA34)</f>
        <v>19</v>
      </c>
      <c r="CL34" s="69"/>
      <c r="CM34" s="93"/>
      <c r="CN34" s="69"/>
      <c r="CO34" s="69"/>
      <c r="CP34" s="69">
        <f>IF($AC34="x",$CA34)</f>
        <v>19</v>
      </c>
      <c r="CR34" s="89" t="s">
        <v>114</v>
      </c>
      <c r="CS34" s="117">
        <v>2714</v>
      </c>
      <c r="CT34" s="117" t="s">
        <v>136</v>
      </c>
      <c r="CU34" s="117"/>
      <c r="CV34" s="117"/>
      <c r="CW34" s="117">
        <v>66</v>
      </c>
      <c r="CX34" s="117"/>
      <c r="CY34" s="96" t="str">
        <f t="shared" si="5"/>
        <v>Shah</v>
      </c>
      <c r="CZ34" s="117">
        <v>6</v>
      </c>
      <c r="DA34" s="84"/>
      <c r="DB34" s="84">
        <v>7</v>
      </c>
      <c r="DC34" s="84"/>
      <c r="DD34" s="84">
        <v>14</v>
      </c>
      <c r="DF34" s="117">
        <v>105</v>
      </c>
      <c r="DG34" s="84"/>
      <c r="DH34" s="117">
        <v>115</v>
      </c>
      <c r="DI34" s="117">
        <v>59</v>
      </c>
      <c r="DJ34" s="117"/>
      <c r="DK34" s="117">
        <v>24</v>
      </c>
      <c r="DL34" s="117"/>
      <c r="DM34" s="117"/>
      <c r="DN34" s="117">
        <v>99</v>
      </c>
      <c r="DO34" s="117"/>
      <c r="DP34" s="134"/>
      <c r="DQ34" s="134"/>
      <c r="DR34" s="101" t="s">
        <v>136</v>
      </c>
      <c r="DS34" s="101" t="s">
        <v>136</v>
      </c>
      <c r="DT34" s="101"/>
      <c r="DU34" s="101"/>
      <c r="DV34" s="101" t="s">
        <v>136</v>
      </c>
      <c r="DW34" s="101" t="s">
        <v>136</v>
      </c>
      <c r="DX34" s="101" t="s">
        <v>136</v>
      </c>
      <c r="DY34" s="101" t="s">
        <v>136</v>
      </c>
      <c r="DZ34" s="73">
        <f t="shared" si="6"/>
        <v>101</v>
      </c>
      <c r="EA34" s="101"/>
      <c r="EB34" s="102" t="s">
        <v>167</v>
      </c>
      <c r="EC34" s="135" t="str">
        <f t="shared" si="7"/>
        <v>Shah</v>
      </c>
    </row>
    <row r="35" spans="1:133" s="72" customFormat="1" ht="18" customHeight="1" x14ac:dyDescent="0.2">
      <c r="A35" s="1">
        <v>102</v>
      </c>
      <c r="B35" s="29" t="s">
        <v>261</v>
      </c>
      <c r="C35" s="61"/>
      <c r="D35" s="61">
        <v>2017</v>
      </c>
      <c r="E35" s="61"/>
      <c r="F35" s="61" t="s">
        <v>130</v>
      </c>
      <c r="G35" s="61"/>
      <c r="H35" s="62">
        <v>48</v>
      </c>
      <c r="I35" s="62"/>
      <c r="J35" s="61" t="s">
        <v>131</v>
      </c>
      <c r="K35" s="61"/>
      <c r="L35" s="63"/>
      <c r="M35" s="63"/>
      <c r="N35" s="61" t="s">
        <v>133</v>
      </c>
      <c r="O35" s="63" t="s">
        <v>145</v>
      </c>
      <c r="P35" s="63"/>
      <c r="Q35" s="61"/>
      <c r="R35" s="61"/>
      <c r="S35" s="63"/>
      <c r="T35" s="63"/>
      <c r="U35" s="63"/>
      <c r="V35" s="63"/>
      <c r="W35" s="63"/>
      <c r="X35" s="63"/>
      <c r="Y35" s="61"/>
      <c r="Z35" s="61">
        <f>'Other Vitamins &amp; Drugs'!Q35</f>
        <v>1</v>
      </c>
      <c r="AA35" s="61"/>
      <c r="AB35" s="61" t="s">
        <v>173</v>
      </c>
      <c r="AC35" s="61"/>
      <c r="AD35" s="61"/>
      <c r="AE35" s="29" t="str">
        <f t="shared" si="0"/>
        <v>Singh</v>
      </c>
      <c r="AF35" s="61" t="s">
        <v>137</v>
      </c>
      <c r="AG35" s="61"/>
      <c r="AH35" s="61" t="str">
        <f t="shared" si="13"/>
        <v>Y</v>
      </c>
      <c r="AI35" s="61" t="s">
        <v>137</v>
      </c>
      <c r="AJ35" s="61" t="s">
        <v>137</v>
      </c>
      <c r="AK35" s="61"/>
      <c r="AL35" s="3">
        <f>COUNTA(AJ35:AK35)</f>
        <v>1</v>
      </c>
      <c r="AM35" s="61" t="s">
        <v>136</v>
      </c>
      <c r="AN35" s="61" t="s">
        <v>136</v>
      </c>
      <c r="AO35" s="61"/>
      <c r="AP35" s="61"/>
      <c r="AQ35" s="65"/>
      <c r="AR35" s="63"/>
      <c r="AS35" s="63"/>
      <c r="AT35" s="63"/>
      <c r="AU35" s="63"/>
      <c r="AV35" s="63"/>
      <c r="AW35" s="63" t="s">
        <v>155</v>
      </c>
      <c r="AX35" s="63"/>
      <c r="AY35" s="128"/>
      <c r="AZ35" s="128"/>
      <c r="BA35" s="128" t="s">
        <v>136</v>
      </c>
      <c r="BB35" s="128"/>
      <c r="BC35" s="63">
        <f t="shared" si="14"/>
        <v>1</v>
      </c>
      <c r="BD35" s="63"/>
      <c r="BE35" s="28" t="str">
        <f t="shared" si="1"/>
        <v>Singh</v>
      </c>
      <c r="BF35" s="124"/>
      <c r="BG35" s="124"/>
      <c r="BH35" s="124"/>
      <c r="BI35" s="124"/>
      <c r="BJ35" s="124"/>
      <c r="BK35" s="104">
        <v>41</v>
      </c>
      <c r="BL35" s="79">
        <f>BK35</f>
        <v>41</v>
      </c>
      <c r="BM35" s="146"/>
      <c r="BN35" s="146"/>
      <c r="BO35" s="147"/>
      <c r="BP35" s="128"/>
      <c r="BQ35" s="124"/>
      <c r="BR35" s="128" t="s">
        <v>29</v>
      </c>
      <c r="BS35" s="28"/>
      <c r="BT35" s="30" t="str">
        <f t="shared" si="2"/>
        <v>Singh</v>
      </c>
      <c r="BU35" s="124"/>
      <c r="BV35" s="124"/>
      <c r="BW35" s="124"/>
      <c r="BX35" s="63"/>
      <c r="BY35" s="124"/>
      <c r="BZ35" s="124"/>
      <c r="CA35" s="140"/>
      <c r="CB35" s="148"/>
      <c r="CC35" s="144"/>
      <c r="CD35" s="124"/>
      <c r="CE35" s="124"/>
      <c r="CF35" s="124"/>
      <c r="CG35" s="124"/>
      <c r="CH35" s="144"/>
      <c r="CI35" s="31" t="str">
        <f t="shared" si="3"/>
        <v>Singh</v>
      </c>
      <c r="CJ35" s="32">
        <f t="shared" si="4"/>
        <v>1</v>
      </c>
      <c r="CK35" s="69"/>
      <c r="CL35" s="69"/>
      <c r="CM35" s="71" t="str">
        <f>AB35</f>
        <v>po</v>
      </c>
      <c r="CN35" s="69"/>
      <c r="CO35" s="69"/>
      <c r="CP35" s="69"/>
      <c r="CR35" s="63"/>
      <c r="CS35" s="63"/>
      <c r="CT35" s="63"/>
      <c r="CU35" s="63"/>
      <c r="CV35" s="63"/>
      <c r="CW35" s="63"/>
      <c r="CX35" s="63"/>
      <c r="CY35" s="30" t="str">
        <f t="shared" si="5"/>
        <v>Singh</v>
      </c>
      <c r="CZ35" s="63">
        <v>0.5</v>
      </c>
      <c r="DA35" s="61"/>
      <c r="DB35" s="61">
        <v>2</v>
      </c>
      <c r="DC35" s="61"/>
      <c r="DD35" s="61">
        <v>30</v>
      </c>
      <c r="DF35" s="63">
        <v>120</v>
      </c>
      <c r="DG35" s="61"/>
      <c r="DH35" s="63">
        <v>93</v>
      </c>
      <c r="DI35" s="63">
        <v>48</v>
      </c>
      <c r="DJ35" s="63"/>
      <c r="DK35" s="63"/>
      <c r="DL35" s="63"/>
      <c r="DM35" s="63"/>
      <c r="DN35" s="63">
        <v>97</v>
      </c>
      <c r="DO35" s="63"/>
      <c r="DP35" s="73"/>
      <c r="DQ35" s="73"/>
      <c r="DR35" s="73" t="s">
        <v>136</v>
      </c>
      <c r="DS35" s="73"/>
      <c r="DT35" s="73"/>
      <c r="DU35" s="73" t="s">
        <v>136</v>
      </c>
      <c r="DV35" s="73" t="s">
        <v>136</v>
      </c>
      <c r="DW35" s="73"/>
      <c r="DX35" s="73"/>
      <c r="DY35" s="73" t="s">
        <v>136</v>
      </c>
      <c r="DZ35" s="73">
        <f t="shared" si="6"/>
        <v>102</v>
      </c>
      <c r="EA35" s="73"/>
      <c r="EB35" s="108" t="s">
        <v>162</v>
      </c>
      <c r="EC35" s="42" t="str">
        <f t="shared" si="7"/>
        <v>Singh</v>
      </c>
    </row>
    <row r="36" spans="1:133" ht="18" customHeight="1" x14ac:dyDescent="0.2">
      <c r="A36" s="60">
        <v>103</v>
      </c>
      <c r="B36" s="2" t="s">
        <v>262</v>
      </c>
      <c r="D36" s="5">
        <v>2021</v>
      </c>
      <c r="F36" s="3" t="s">
        <v>263</v>
      </c>
      <c r="H36" s="7">
        <v>7</v>
      </c>
      <c r="J36" s="3" t="s">
        <v>143</v>
      </c>
      <c r="K36" s="3" t="s">
        <v>144</v>
      </c>
      <c r="N36" s="3" t="s">
        <v>133</v>
      </c>
      <c r="O36" s="5" t="s">
        <v>145</v>
      </c>
      <c r="P36" s="5">
        <v>5</v>
      </c>
      <c r="Q36" s="3" t="s">
        <v>264</v>
      </c>
      <c r="R36" s="109"/>
      <c r="Y36" s="3">
        <v>1</v>
      </c>
      <c r="Z36" s="61">
        <f>'Other Vitamins &amp; Drugs'!Q36</f>
        <v>1</v>
      </c>
      <c r="AB36" s="5" t="s">
        <v>173</v>
      </c>
      <c r="AC36" s="5"/>
      <c r="AD36" s="5"/>
      <c r="AE36" s="2" t="str">
        <f t="shared" si="0"/>
        <v>Tan/Leong</v>
      </c>
      <c r="AF36" s="3" t="s">
        <v>137</v>
      </c>
      <c r="AG36" s="61"/>
      <c r="AH36" s="61" t="str">
        <f t="shared" si="13"/>
        <v>Y</v>
      </c>
      <c r="AJ36" s="3" t="s">
        <v>137</v>
      </c>
      <c r="AL36" s="3">
        <f>COUNTA(AJ36:AK36)</f>
        <v>1</v>
      </c>
      <c r="AM36" s="3" t="s">
        <v>136</v>
      </c>
      <c r="AN36" s="3" t="s">
        <v>136</v>
      </c>
      <c r="AQ36" s="51"/>
      <c r="AX36" s="5" t="s">
        <v>137</v>
      </c>
      <c r="AY36" s="5"/>
      <c r="AZ36" s="5"/>
      <c r="BA36" s="5"/>
      <c r="BB36" s="5" t="s">
        <v>136</v>
      </c>
      <c r="BC36" s="63">
        <f t="shared" si="14"/>
        <v>1</v>
      </c>
      <c r="BE36" s="1" t="str">
        <f t="shared" si="1"/>
        <v>Tan/Leong</v>
      </c>
      <c r="BF36" s="5"/>
      <c r="BG36" s="5"/>
      <c r="BH36" s="5"/>
      <c r="BI36" s="77">
        <v>75</v>
      </c>
      <c r="BJ36" s="78">
        <f>0.61*BI36 +2</f>
        <v>47.75</v>
      </c>
      <c r="BK36" s="5"/>
      <c r="BL36" s="79">
        <f>BJ36</f>
        <v>47.75</v>
      </c>
      <c r="BM36" s="54"/>
      <c r="BN36" s="54"/>
      <c r="BO36" s="80"/>
      <c r="BP36" s="5"/>
      <c r="BQ36" s="5"/>
      <c r="BR36" s="5"/>
      <c r="BS36" s="1"/>
      <c r="BT36" s="6" t="str">
        <f t="shared" si="2"/>
        <v>Tan/Leong</v>
      </c>
      <c r="BU36" s="5"/>
      <c r="BV36" s="5"/>
      <c r="BW36" s="56"/>
      <c r="BX36" s="149"/>
      <c r="BY36" s="111"/>
      <c r="BZ36" s="150">
        <v>14</v>
      </c>
      <c r="CA36" s="81">
        <f>BZ36</f>
        <v>14</v>
      </c>
      <c r="CB36" s="56"/>
      <c r="CC36" s="82">
        <f>BL36/CA36</f>
        <v>3.4107142857142856</v>
      </c>
      <c r="CD36" s="56"/>
      <c r="CE36" s="56"/>
      <c r="CF36" s="56"/>
      <c r="CG36" s="56"/>
      <c r="CH36" s="82"/>
      <c r="CI36" s="38" t="str">
        <f t="shared" si="3"/>
        <v>Tan/Leong</v>
      </c>
      <c r="CJ36" s="32">
        <f t="shared" si="4"/>
        <v>1</v>
      </c>
      <c r="CK36" s="69">
        <f>IF(CJ36=1,$CA36)</f>
        <v>14</v>
      </c>
      <c r="CL36" s="69"/>
      <c r="CM36" s="54" t="str">
        <f>AB36</f>
        <v>po</v>
      </c>
      <c r="CN36" s="69">
        <f>IF($AB36="po",$CA36)</f>
        <v>14</v>
      </c>
      <c r="CO36" s="69"/>
      <c r="CP36" s="69"/>
      <c r="CR36" s="56"/>
      <c r="CY36" s="6" t="str">
        <f t="shared" si="5"/>
        <v>Tan/Leong</v>
      </c>
      <c r="DD36" s="3">
        <v>10</v>
      </c>
      <c r="DF36" s="3">
        <v>118</v>
      </c>
      <c r="DH36" s="5">
        <v>90</v>
      </c>
      <c r="DI36" s="5">
        <v>57</v>
      </c>
      <c r="DJ36" s="5"/>
      <c r="DK36" s="5">
        <v>36</v>
      </c>
      <c r="DL36" s="5"/>
      <c r="DM36" s="5"/>
      <c r="DN36" s="5"/>
      <c r="DO36" s="5"/>
      <c r="DP36" s="74"/>
      <c r="DQ36" s="74"/>
      <c r="DR36" s="74" t="s">
        <v>136</v>
      </c>
      <c r="DS36" s="74" t="s">
        <v>136</v>
      </c>
      <c r="DT36" s="74" t="s">
        <v>136</v>
      </c>
      <c r="DU36" s="74"/>
      <c r="DV36" s="74"/>
      <c r="DW36" s="74" t="s">
        <v>136</v>
      </c>
      <c r="DX36" s="74"/>
      <c r="DY36" s="74"/>
      <c r="DZ36" s="73">
        <f t="shared" si="6"/>
        <v>103</v>
      </c>
      <c r="EA36" s="74" t="s">
        <v>136</v>
      </c>
      <c r="EB36" s="75" t="s">
        <v>265</v>
      </c>
      <c r="EC36" s="48" t="str">
        <f t="shared" si="7"/>
        <v>Tan/Leong</v>
      </c>
    </row>
    <row r="37" spans="1:133" s="100" customFormat="1" ht="18" customHeight="1" x14ac:dyDescent="0.2">
      <c r="A37" s="28">
        <v>104</v>
      </c>
      <c r="B37" s="83" t="s">
        <v>266</v>
      </c>
      <c r="C37" s="84"/>
      <c r="D37" s="117">
        <v>2022</v>
      </c>
      <c r="E37" s="84"/>
      <c r="F37" s="84" t="s">
        <v>207</v>
      </c>
      <c r="G37" s="84"/>
      <c r="H37" s="84">
        <v>11</v>
      </c>
      <c r="I37" s="85"/>
      <c r="J37" s="84" t="s">
        <v>143</v>
      </c>
      <c r="K37" s="84" t="s">
        <v>144</v>
      </c>
      <c r="L37" s="117"/>
      <c r="M37" s="117"/>
      <c r="N37" s="84" t="s">
        <v>133</v>
      </c>
      <c r="O37" s="117" t="s">
        <v>145</v>
      </c>
      <c r="P37" s="117">
        <v>0.2</v>
      </c>
      <c r="Q37" s="84" t="s">
        <v>115</v>
      </c>
      <c r="R37" s="125">
        <f>P37/$Q$44*1000</f>
        <v>1.1363636363636365</v>
      </c>
      <c r="S37" s="117" t="s">
        <v>134</v>
      </c>
      <c r="T37" s="117"/>
      <c r="U37" s="117"/>
      <c r="V37" s="117"/>
      <c r="W37" s="117"/>
      <c r="X37" s="117"/>
      <c r="Y37" s="84">
        <v>1</v>
      </c>
      <c r="Z37" s="61">
        <f>'Other Vitamins &amp; Drugs'!Q37</f>
        <v>0</v>
      </c>
      <c r="AA37" s="3"/>
      <c r="AB37" s="117" t="s">
        <v>146</v>
      </c>
      <c r="AC37" s="117"/>
      <c r="AD37" s="117"/>
      <c r="AE37" s="83" t="str">
        <f t="shared" si="0"/>
        <v>Ueki</v>
      </c>
      <c r="AF37" s="84" t="s">
        <v>137</v>
      </c>
      <c r="AG37" s="61"/>
      <c r="AH37" s="61" t="str">
        <f t="shared" si="13"/>
        <v>Y</v>
      </c>
      <c r="AI37" s="84"/>
      <c r="AJ37" s="84"/>
      <c r="AK37" s="84"/>
      <c r="AL37" s="3"/>
      <c r="AM37" s="84"/>
      <c r="AN37" s="84"/>
      <c r="AO37" s="84"/>
      <c r="AP37" s="84"/>
      <c r="AQ37" s="87"/>
      <c r="AR37" s="117"/>
      <c r="AS37" s="117"/>
      <c r="AT37" s="117"/>
      <c r="AU37" s="117"/>
      <c r="AV37" s="117"/>
      <c r="AW37" s="117"/>
      <c r="AX37" s="117"/>
      <c r="AY37" s="86"/>
      <c r="AZ37" s="86"/>
      <c r="BA37" s="151" t="s">
        <v>267</v>
      </c>
      <c r="BB37" s="86"/>
      <c r="BC37" s="63">
        <f t="shared" si="14"/>
        <v>1</v>
      </c>
      <c r="BD37" s="117"/>
      <c r="BE37" s="60" t="str">
        <f t="shared" si="1"/>
        <v>Ueki</v>
      </c>
      <c r="BF37" s="88">
        <v>2.9</v>
      </c>
      <c r="BG37" s="89">
        <f>4*BF37^2</f>
        <v>33.64</v>
      </c>
      <c r="BH37" s="90">
        <f>BG37+BH$5</f>
        <v>43.64</v>
      </c>
      <c r="BI37" s="86"/>
      <c r="BJ37" s="118">
        <f>0.61*BH37 +2</f>
        <v>28.6204</v>
      </c>
      <c r="BK37" s="86"/>
      <c r="BL37" s="92">
        <f>BJ37</f>
        <v>28.6204</v>
      </c>
      <c r="BM37" s="93"/>
      <c r="BN37" s="93"/>
      <c r="BO37" s="94"/>
      <c r="BP37" s="86"/>
      <c r="BQ37" s="86"/>
      <c r="BR37" s="86"/>
      <c r="BS37" s="60"/>
      <c r="BT37" s="96" t="str">
        <f t="shared" si="2"/>
        <v>Ueki</v>
      </c>
      <c r="BU37" s="152">
        <v>2.5</v>
      </c>
      <c r="BV37" s="89">
        <f>4*BU37^2</f>
        <v>25</v>
      </c>
      <c r="BW37" s="3">
        <f>BV37+10</f>
        <v>35</v>
      </c>
      <c r="BX37" s="84"/>
      <c r="BY37" s="118">
        <f>0.61*BW37 +2</f>
        <v>23.349999999999998</v>
      </c>
      <c r="BZ37" s="86"/>
      <c r="CA37" s="97">
        <f>BY37</f>
        <v>23.349999999999998</v>
      </c>
      <c r="CB37" s="89"/>
      <c r="CC37" s="127">
        <f>BL37/CA37</f>
        <v>1.2257130620985013</v>
      </c>
      <c r="CD37" s="89"/>
      <c r="CE37" s="89"/>
      <c r="CF37" s="89"/>
      <c r="CG37" s="89"/>
      <c r="CH37" s="127"/>
      <c r="CI37" s="99" t="str">
        <f t="shared" si="3"/>
        <v>Ueki</v>
      </c>
      <c r="CJ37" s="32">
        <f t="shared" si="4"/>
        <v>0</v>
      </c>
      <c r="CK37" s="69"/>
      <c r="CL37" s="69">
        <f>IF(CK37=0,$CA37)</f>
        <v>23.349999999999998</v>
      </c>
      <c r="CM37" s="93" t="str">
        <f>AB37</f>
        <v>iv</v>
      </c>
      <c r="CN37" s="69"/>
      <c r="CO37" s="69">
        <f>IF($AB37="iv",$CA37)</f>
        <v>23.349999999999998</v>
      </c>
      <c r="CP37" s="69"/>
      <c r="CR37" s="89" t="s">
        <v>114</v>
      </c>
      <c r="CS37" s="117">
        <v>26.9</v>
      </c>
      <c r="CT37" s="117" t="s">
        <v>136</v>
      </c>
      <c r="CU37" s="117">
        <v>34</v>
      </c>
      <c r="CV37" s="117"/>
      <c r="CW37" s="117">
        <v>68</v>
      </c>
      <c r="CX37" s="117"/>
      <c r="CY37" s="96" t="str">
        <f t="shared" si="5"/>
        <v>Ueki</v>
      </c>
      <c r="CZ37" s="117">
        <v>3</v>
      </c>
      <c r="DA37" s="84"/>
      <c r="DB37" s="84">
        <v>10</v>
      </c>
      <c r="DC37" s="84"/>
      <c r="DD37" s="84">
        <f>3.5*30</f>
        <v>105</v>
      </c>
      <c r="DF37" s="84">
        <v>85</v>
      </c>
      <c r="DG37" s="84"/>
      <c r="DH37" s="117">
        <v>89</v>
      </c>
      <c r="DI37" s="117">
        <v>52</v>
      </c>
      <c r="DJ37" s="117"/>
      <c r="DK37" s="117">
        <v>18</v>
      </c>
      <c r="DL37" s="117"/>
      <c r="DM37" s="117"/>
      <c r="DN37" s="117"/>
      <c r="DO37" s="117"/>
      <c r="DP37" s="134"/>
      <c r="DQ37" s="134"/>
      <c r="DR37" s="101"/>
      <c r="DS37" s="101"/>
      <c r="DT37" s="101" t="s">
        <v>136</v>
      </c>
      <c r="DU37" s="101"/>
      <c r="DV37" s="101"/>
      <c r="DW37" s="101" t="s">
        <v>136</v>
      </c>
      <c r="DX37" s="101"/>
      <c r="DY37" s="101" t="s">
        <v>136</v>
      </c>
      <c r="DZ37" s="73">
        <f t="shared" si="6"/>
        <v>104</v>
      </c>
      <c r="EA37" s="101"/>
      <c r="EB37" s="102" t="s">
        <v>167</v>
      </c>
      <c r="EC37" s="103" t="str">
        <f t="shared" si="7"/>
        <v>Ueki</v>
      </c>
    </row>
    <row r="38" spans="1:133" s="72" customFormat="1" ht="18" customHeight="1" x14ac:dyDescent="0.25">
      <c r="A38" s="1">
        <v>105</v>
      </c>
      <c r="B38" s="29" t="s">
        <v>268</v>
      </c>
      <c r="C38" s="61"/>
      <c r="D38" s="63">
        <v>2022</v>
      </c>
      <c r="E38" s="61"/>
      <c r="F38" s="61" t="s">
        <v>130</v>
      </c>
      <c r="G38" s="61"/>
      <c r="H38" s="61">
        <v>19</v>
      </c>
      <c r="I38" s="62"/>
      <c r="J38" s="61" t="s">
        <v>143</v>
      </c>
      <c r="K38" s="61"/>
      <c r="L38" s="63"/>
      <c r="M38" s="63"/>
      <c r="N38" s="61" t="s">
        <v>204</v>
      </c>
      <c r="O38" s="63" t="s">
        <v>145</v>
      </c>
      <c r="P38" s="63"/>
      <c r="Q38" s="61"/>
      <c r="R38" s="153"/>
      <c r="S38" s="63"/>
      <c r="T38" s="63"/>
      <c r="U38" s="63"/>
      <c r="V38" s="63"/>
      <c r="W38" s="63"/>
      <c r="X38" s="63"/>
      <c r="Y38" s="61"/>
      <c r="Z38" s="61">
        <f>'Other Vitamins &amp; Drugs'!Q38</f>
        <v>1</v>
      </c>
      <c r="AA38" s="61"/>
      <c r="AB38" s="63" t="s">
        <v>146</v>
      </c>
      <c r="AC38" s="63"/>
      <c r="AD38" s="63"/>
      <c r="AE38" s="29" t="str">
        <f t="shared" si="0"/>
        <v>Valencia</v>
      </c>
      <c r="AF38" s="61" t="s">
        <v>137</v>
      </c>
      <c r="AG38" s="61"/>
      <c r="AH38" s="61" t="str">
        <f t="shared" si="13"/>
        <v>Y</v>
      </c>
      <c r="AI38" s="61" t="s">
        <v>137</v>
      </c>
      <c r="AJ38" s="61"/>
      <c r="AK38" s="61"/>
      <c r="AL38" s="3"/>
      <c r="AM38" s="61"/>
      <c r="AN38" s="61"/>
      <c r="AO38" s="61"/>
      <c r="AP38" s="61"/>
      <c r="AQ38" s="65"/>
      <c r="AR38" s="63"/>
      <c r="AS38" s="63"/>
      <c r="AT38" s="63"/>
      <c r="AU38" s="63"/>
      <c r="AV38" s="63"/>
      <c r="AW38" s="63"/>
      <c r="AX38" s="63"/>
      <c r="AY38" s="63" t="s">
        <v>252</v>
      </c>
      <c r="AZ38" s="63"/>
      <c r="BA38" s="63" t="s">
        <v>136</v>
      </c>
      <c r="BB38" s="63" t="s">
        <v>136</v>
      </c>
      <c r="BC38" s="63">
        <f t="shared" si="14"/>
        <v>2</v>
      </c>
      <c r="BD38" s="63"/>
      <c r="BE38" s="28" t="str">
        <f t="shared" si="1"/>
        <v>Valencia</v>
      </c>
      <c r="BF38" s="63">
        <v>4.84</v>
      </c>
      <c r="BG38" s="56">
        <f>4*BF38^2</f>
        <v>93.702399999999997</v>
      </c>
      <c r="BH38" s="90">
        <f>BG38+BH$5</f>
        <v>103.7024</v>
      </c>
      <c r="BI38" s="63"/>
      <c r="BJ38" s="123">
        <f>0.61*BH38 +2</f>
        <v>65.258464000000004</v>
      </c>
      <c r="BK38" s="104">
        <v>76</v>
      </c>
      <c r="BL38" s="79">
        <f>BK38</f>
        <v>76</v>
      </c>
      <c r="BM38" s="71"/>
      <c r="BN38" s="71"/>
      <c r="BO38" s="50">
        <v>536.6</v>
      </c>
      <c r="BP38" s="50">
        <f>BO38/80</f>
        <v>6.7075000000000005</v>
      </c>
      <c r="BQ38" s="154">
        <v>30.5</v>
      </c>
      <c r="BR38" s="63"/>
      <c r="BS38" s="28"/>
      <c r="BT38" s="30" t="str">
        <f t="shared" si="2"/>
        <v>Valencia</v>
      </c>
      <c r="BU38" s="61"/>
      <c r="BV38" s="61"/>
      <c r="BW38" s="61"/>
      <c r="BX38" s="61"/>
      <c r="BY38" s="61"/>
      <c r="BZ38" s="123">
        <v>32.5</v>
      </c>
      <c r="CA38" s="123">
        <f>BZ38</f>
        <v>32.5</v>
      </c>
      <c r="CB38" s="69"/>
      <c r="CC38" s="69">
        <f>BL38/CA38</f>
        <v>2.3384615384615386</v>
      </c>
      <c r="CD38" s="69"/>
      <c r="CE38" s="69"/>
      <c r="CF38" s="69"/>
      <c r="CG38" s="69"/>
      <c r="CH38" s="69"/>
      <c r="CI38" s="31" t="str">
        <f t="shared" si="3"/>
        <v>Valencia</v>
      </c>
      <c r="CJ38" s="32">
        <f t="shared" si="4"/>
        <v>1</v>
      </c>
      <c r="CK38" s="69">
        <f>IF(CJ38=1,$CA38)</f>
        <v>32.5</v>
      </c>
      <c r="CL38" s="69"/>
      <c r="CM38" s="71" t="str">
        <f>AB38</f>
        <v>iv</v>
      </c>
      <c r="CN38" s="69"/>
      <c r="CO38" s="69">
        <f>IF($AB38="iv",$CA38)</f>
        <v>32.5</v>
      </c>
      <c r="CP38" s="69"/>
      <c r="CR38" s="69"/>
      <c r="CS38" s="63"/>
      <c r="CT38" s="63"/>
      <c r="CU38" s="63"/>
      <c r="CV38" s="63"/>
      <c r="CW38" s="63"/>
      <c r="CX38" s="63"/>
      <c r="CY38" s="30" t="str">
        <f t="shared" si="5"/>
        <v>Valencia</v>
      </c>
      <c r="CZ38" s="63"/>
      <c r="DA38" s="61"/>
      <c r="DB38" s="61"/>
      <c r="DC38" s="61"/>
      <c r="DD38" s="61"/>
      <c r="DF38" s="61"/>
      <c r="DG38" s="61"/>
      <c r="DH38" s="63"/>
      <c r="DI38" s="63"/>
      <c r="DJ38" s="63"/>
      <c r="DK38" s="63"/>
      <c r="DL38" s="63"/>
      <c r="DM38" s="63"/>
      <c r="DN38" s="63">
        <v>96</v>
      </c>
      <c r="DO38" s="61" t="s">
        <v>161</v>
      </c>
      <c r="DP38" s="73" t="s">
        <v>136</v>
      </c>
      <c r="DQ38" s="63"/>
      <c r="DR38" s="155"/>
      <c r="DS38" s="155"/>
      <c r="DT38" s="155"/>
      <c r="DU38" s="155"/>
      <c r="DV38" s="155"/>
      <c r="DW38" s="155"/>
      <c r="DX38" s="155"/>
      <c r="DY38" s="155"/>
      <c r="DZ38" s="73">
        <f t="shared" si="6"/>
        <v>105</v>
      </c>
      <c r="EA38" s="155"/>
      <c r="EB38" s="156"/>
      <c r="EC38" s="42" t="str">
        <f t="shared" si="7"/>
        <v>Valencia</v>
      </c>
    </row>
    <row r="39" spans="1:133" ht="18" customHeight="1" x14ac:dyDescent="0.25">
      <c r="D39" s="5"/>
      <c r="R39" s="109"/>
      <c r="AB39" s="5"/>
      <c r="AC39" s="5"/>
      <c r="AD39" s="5"/>
      <c r="AQ39" s="51"/>
      <c r="AY39" s="5"/>
      <c r="AZ39" s="5"/>
      <c r="BA39" s="5"/>
      <c r="BB39" s="5"/>
      <c r="BC39" s="5"/>
      <c r="BF39" s="5"/>
      <c r="BG39" s="5"/>
      <c r="BH39" s="56"/>
      <c r="BI39" s="5"/>
      <c r="BJ39" s="111"/>
      <c r="BK39" s="5"/>
      <c r="BL39" s="79"/>
      <c r="BM39" s="54"/>
      <c r="BN39" s="54"/>
      <c r="BO39" s="54"/>
      <c r="BP39" s="56"/>
      <c r="BQ39" s="5"/>
      <c r="BR39" s="5"/>
      <c r="BS39" s="1"/>
      <c r="BT39" s="54"/>
      <c r="BU39" s="3"/>
      <c r="BV39" s="3"/>
      <c r="BW39" s="3"/>
      <c r="BX39" s="3"/>
      <c r="BY39" s="3"/>
      <c r="BZ39" s="56"/>
      <c r="CA39" s="56"/>
      <c r="CB39" s="56"/>
      <c r="CC39" s="56"/>
      <c r="CD39" s="56"/>
      <c r="CE39" s="56"/>
      <c r="CF39" s="56"/>
      <c r="CG39" s="56"/>
      <c r="CH39" s="56"/>
      <c r="CI39" s="38"/>
      <c r="CK39" s="5"/>
      <c r="CL39" s="5"/>
      <c r="CM39" s="5"/>
      <c r="CN39" s="5"/>
      <c r="CO39" s="5"/>
      <c r="CP39" s="5"/>
      <c r="CR39" s="56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157"/>
      <c r="DS39" s="157"/>
      <c r="DT39" s="157"/>
      <c r="DU39" s="157"/>
      <c r="DV39" s="157"/>
      <c r="DW39" s="157"/>
      <c r="DX39" s="157"/>
      <c r="DY39" s="157"/>
      <c r="DZ39" s="73">
        <f t="shared" si="6"/>
        <v>0</v>
      </c>
      <c r="EA39" s="157"/>
      <c r="EB39" s="158"/>
      <c r="EC39" s="48"/>
    </row>
    <row r="40" spans="1:133" ht="18" customHeight="1" x14ac:dyDescent="0.2">
      <c r="C40" s="51">
        <f>D41/B41</f>
        <v>0.65625</v>
      </c>
      <c r="AQ40" s="51"/>
      <c r="BL40" s="43"/>
      <c r="BS40" s="1"/>
      <c r="BT40" s="159"/>
      <c r="CI40" s="38"/>
      <c r="CK40" s="5"/>
      <c r="CL40" s="5"/>
      <c r="CM40" s="5"/>
      <c r="CN40" s="5"/>
      <c r="CO40" s="5"/>
      <c r="CP40" s="5"/>
      <c r="DZ40" s="73">
        <f t="shared" si="6"/>
        <v>0</v>
      </c>
    </row>
    <row r="41" spans="1:133" s="159" customFormat="1" ht="18" customHeight="1" x14ac:dyDescent="0.2">
      <c r="A41" s="1" t="s">
        <v>269</v>
      </c>
      <c r="B41" s="1">
        <f>COUNTA(B7:B40)</f>
        <v>32</v>
      </c>
      <c r="C41" s="2">
        <v>-2019</v>
      </c>
      <c r="D41" s="1">
        <f>COUNTIF(D$7:D$39,"&gt;=2019")</f>
        <v>21</v>
      </c>
      <c r="E41" s="2" t="s">
        <v>130</v>
      </c>
      <c r="F41" s="1">
        <f>COUNTIF(F$7:F$40,"=USA")</f>
        <v>20</v>
      </c>
      <c r="G41" s="2" t="s">
        <v>270</v>
      </c>
      <c r="H41" s="1">
        <f>COUNTIF(H$7:H$40,"&lt;11")</f>
        <v>12</v>
      </c>
      <c r="I41" s="2" t="s">
        <v>143</v>
      </c>
      <c r="J41" s="1">
        <f>COUNTIF(J$7:J$40,"=M")</f>
        <v>19</v>
      </c>
      <c r="K41" s="1">
        <f>COUNTA(K7:K40)</f>
        <v>10</v>
      </c>
      <c r="L41" s="6">
        <f>COUNTA(L7:L40)</f>
        <v>7</v>
      </c>
      <c r="M41" s="6"/>
      <c r="N41" s="1">
        <f>COUNTIF(N$7:N$40,"=poor")</f>
        <v>30</v>
      </c>
      <c r="O41" s="6">
        <f>COUNTA(O7:O40)</f>
        <v>27</v>
      </c>
      <c r="P41" s="58" t="s">
        <v>271</v>
      </c>
      <c r="Q41" s="6"/>
      <c r="R41" s="2" t="s">
        <v>272</v>
      </c>
      <c r="S41" s="6">
        <f>COUNTA(S$7:S$40)</f>
        <v>15</v>
      </c>
      <c r="T41" s="6"/>
      <c r="U41" s="6"/>
      <c r="V41" s="6"/>
      <c r="W41" s="1">
        <f>COUNTA(W7:W40)</f>
        <v>7</v>
      </c>
      <c r="X41" s="1"/>
      <c r="Y41" s="6">
        <f>COUNTA(Y7:Y40)</f>
        <v>19</v>
      </c>
      <c r="Z41" s="38">
        <f>COUNTIF(Z7:Z38,"=1")</f>
        <v>17</v>
      </c>
      <c r="AA41" s="2" t="s">
        <v>146</v>
      </c>
      <c r="AB41" s="1">
        <f>COUNTIF(AB$7:AB$40,"=iv")</f>
        <v>11</v>
      </c>
      <c r="AC41" s="1"/>
      <c r="AD41" s="1"/>
      <c r="AE41" s="1">
        <f t="shared" ref="AE41:AX41" si="15">COUNTA(AE$7:AE$40)</f>
        <v>32</v>
      </c>
      <c r="AF41" s="1">
        <f t="shared" si="15"/>
        <v>31</v>
      </c>
      <c r="AG41" s="1">
        <f t="shared" si="15"/>
        <v>8</v>
      </c>
      <c r="AH41" s="1">
        <f t="shared" si="15"/>
        <v>23</v>
      </c>
      <c r="AI41" s="1">
        <f t="shared" si="15"/>
        <v>14</v>
      </c>
      <c r="AJ41" s="1">
        <f t="shared" si="15"/>
        <v>20</v>
      </c>
      <c r="AK41" s="1">
        <f t="shared" si="15"/>
        <v>7</v>
      </c>
      <c r="AL41" s="1">
        <f t="shared" si="15"/>
        <v>20</v>
      </c>
      <c r="AM41" s="1">
        <f t="shared" si="15"/>
        <v>21</v>
      </c>
      <c r="AN41" s="1">
        <f t="shared" si="15"/>
        <v>17</v>
      </c>
      <c r="AO41" s="1">
        <f t="shared" si="15"/>
        <v>4</v>
      </c>
      <c r="AP41" s="1">
        <f t="shared" si="15"/>
        <v>5</v>
      </c>
      <c r="AQ41" s="1">
        <f t="shared" si="15"/>
        <v>6</v>
      </c>
      <c r="AR41" s="1">
        <f t="shared" si="15"/>
        <v>2</v>
      </c>
      <c r="AS41" s="1">
        <f t="shared" si="15"/>
        <v>11</v>
      </c>
      <c r="AT41" s="1">
        <f t="shared" si="15"/>
        <v>3</v>
      </c>
      <c r="AU41" s="1">
        <f t="shared" si="15"/>
        <v>5</v>
      </c>
      <c r="AV41" s="1">
        <f t="shared" si="15"/>
        <v>8</v>
      </c>
      <c r="AW41" s="1">
        <f t="shared" si="15"/>
        <v>6</v>
      </c>
      <c r="AX41" s="1">
        <f t="shared" si="15"/>
        <v>4</v>
      </c>
      <c r="AY41" s="1"/>
      <c r="AZ41" s="1"/>
      <c r="BA41" s="1">
        <f>COUNTA(BA$7:BA$40)</f>
        <v>24</v>
      </c>
      <c r="BB41" s="1">
        <f>COUNTA(BB$7:BB$40)</f>
        <v>14</v>
      </c>
      <c r="BC41" s="1">
        <f>COUNT(BC7:BC38)</f>
        <v>26</v>
      </c>
      <c r="BD41" s="1"/>
      <c r="BE41" s="1"/>
      <c r="BF41" s="6"/>
      <c r="BG41" s="6"/>
      <c r="BH41" s="6"/>
      <c r="BI41" s="6"/>
      <c r="BJ41" s="6"/>
      <c r="BK41" s="160" t="s">
        <v>273</v>
      </c>
      <c r="BL41" s="161">
        <f>COUNTIF(BL$7:BL$39,"&gt;0")</f>
        <v>28</v>
      </c>
      <c r="BM41" s="1"/>
      <c r="BN41" s="1"/>
      <c r="BO41" s="1"/>
      <c r="BP41" s="1">
        <f>COUNTA(BP$7:BP$40)</f>
        <v>9</v>
      </c>
      <c r="BQ41" s="1">
        <f>COUNTA(BQ$7:BQ$40)</f>
        <v>11</v>
      </c>
      <c r="BR41" s="1">
        <f>COUNTA(BR$7:BR$40)</f>
        <v>10</v>
      </c>
      <c r="BS41" s="1">
        <f>COUNTA(BS$7:BS$40)</f>
        <v>8</v>
      </c>
      <c r="BT41" s="160"/>
      <c r="BU41" s="1"/>
      <c r="BV41" s="1"/>
      <c r="BW41" s="1"/>
      <c r="BX41" s="1">
        <f>COUNTA(BX$7:BX$40)</f>
        <v>10</v>
      </c>
      <c r="BY41" s="1"/>
      <c r="BZ41" s="160" t="s">
        <v>274</v>
      </c>
      <c r="CA41" s="1">
        <f>COUNT(CA$7:CA$38)</f>
        <v>18</v>
      </c>
      <c r="CB41" s="1"/>
      <c r="CC41" s="1">
        <f>COUNT(CC$7:CC$40)</f>
        <v>18</v>
      </c>
      <c r="CD41" s="1"/>
      <c r="CE41" s="1"/>
      <c r="CF41" s="1"/>
      <c r="CG41" s="1">
        <f>COUNT(CG$7:CG$40)</f>
        <v>5</v>
      </c>
      <c r="CH41" s="1">
        <f>COUNT(CH$7:CH$40)</f>
        <v>5</v>
      </c>
      <c r="CI41" s="38">
        <f>B41</f>
        <v>32</v>
      </c>
      <c r="CJ41" s="32"/>
      <c r="CK41" s="1">
        <f>COUNT(CK$7:CK$40)</f>
        <v>9</v>
      </c>
      <c r="CL41" s="1">
        <f>COUNT(CL$7:CL$40)</f>
        <v>9</v>
      </c>
      <c r="CM41" s="1"/>
      <c r="CN41" s="1">
        <f>COUNT(CN$7:CN$40)</f>
        <v>8</v>
      </c>
      <c r="CO41" s="1">
        <f>COUNT(CO$7:CO$40)</f>
        <v>8</v>
      </c>
      <c r="CP41" s="1">
        <f>COUNT(CP$7:CP$40)</f>
        <v>2</v>
      </c>
      <c r="CR41" s="1"/>
      <c r="CS41" s="6">
        <f>COUNTA(CS$7:CS$40)</f>
        <v>12</v>
      </c>
      <c r="CT41" s="6">
        <f>COUNTA(CT$7:CT$40)</f>
        <v>12</v>
      </c>
      <c r="CU41" s="1">
        <f>COUNTA(CU$7:CU$40)</f>
        <v>3</v>
      </c>
      <c r="CV41" s="1">
        <f>COUNTA(CV$7:CV$40)</f>
        <v>6</v>
      </c>
      <c r="CW41" s="6">
        <f>COUNT(CW$7:CW$40)</f>
        <v>16</v>
      </c>
      <c r="CX41" s="6"/>
      <c r="CY41" s="6"/>
      <c r="CZ41" s="1">
        <f>COUNTA(CZ$7:CZ$40)</f>
        <v>26</v>
      </c>
      <c r="DA41" s="2" t="s">
        <v>101</v>
      </c>
      <c r="DB41" s="1">
        <f>COUNT(DB$7:DB$40)</f>
        <v>19</v>
      </c>
      <c r="DC41" s="1"/>
      <c r="DD41" s="1">
        <f>COUNT(DD$7:DD$40)</f>
        <v>28</v>
      </c>
      <c r="DF41" s="1">
        <f>COUNT(DF$7:DF$40)</f>
        <v>22</v>
      </c>
      <c r="DG41" s="1"/>
      <c r="DH41" s="1">
        <f>COUNT(DH$7:DH$40)</f>
        <v>23</v>
      </c>
      <c r="DI41" s="1">
        <f>COUNT(DI$7:DI$40)</f>
        <v>23</v>
      </c>
      <c r="DJ41" s="1"/>
      <c r="DK41" s="1">
        <f>COUNT(DK$7:DK$40)</f>
        <v>17</v>
      </c>
      <c r="DL41" s="1"/>
      <c r="DM41" s="1"/>
      <c r="DN41" s="1">
        <f>COUNTA(DN$7:DN$40)</f>
        <v>20</v>
      </c>
      <c r="DO41" s="1"/>
      <c r="DP41" s="1">
        <f>COUNTA(DP$7:DP$40)</f>
        <v>7</v>
      </c>
      <c r="DQ41" s="1"/>
      <c r="DR41" s="1">
        <f t="shared" ref="DR41:DY41" si="16">COUNTA(DR$7:DR$40)</f>
        <v>22</v>
      </c>
      <c r="DS41" s="1">
        <f t="shared" si="16"/>
        <v>17</v>
      </c>
      <c r="DT41" s="1">
        <f t="shared" si="16"/>
        <v>9</v>
      </c>
      <c r="DU41" s="1">
        <f t="shared" si="16"/>
        <v>4</v>
      </c>
      <c r="DV41" s="1">
        <f t="shared" si="16"/>
        <v>17</v>
      </c>
      <c r="DW41" s="1">
        <f t="shared" si="16"/>
        <v>19</v>
      </c>
      <c r="DX41" s="1">
        <f t="shared" si="16"/>
        <v>6</v>
      </c>
      <c r="DY41" s="1">
        <f t="shared" si="16"/>
        <v>18</v>
      </c>
      <c r="DZ41" s="73" t="str">
        <f t="shared" si="6"/>
        <v>Total</v>
      </c>
      <c r="EA41" s="1">
        <f>COUNTA(EA$7:EA$40)</f>
        <v>7</v>
      </c>
      <c r="EB41" s="48"/>
      <c r="EC41" s="1">
        <f>COUNTA(EC$7:EC$40)</f>
        <v>32</v>
      </c>
    </row>
    <row r="42" spans="1:133" s="159" customFormat="1" ht="18" customHeight="1" x14ac:dyDescent="0.2">
      <c r="A42" s="1"/>
      <c r="B42" s="2"/>
      <c r="C42" s="2">
        <v>-2018</v>
      </c>
      <c r="D42" s="1">
        <f>COUNTIF(D$7:D$40,"&lt;=2018")</f>
        <v>11</v>
      </c>
      <c r="F42" s="51">
        <f>F41/B41</f>
        <v>0.625</v>
      </c>
      <c r="G42" s="2" t="s">
        <v>275</v>
      </c>
      <c r="H42" s="1">
        <f>B41-H41-H44</f>
        <v>10</v>
      </c>
      <c r="I42" s="2" t="s">
        <v>131</v>
      </c>
      <c r="J42" s="1">
        <f>COUNTIF(J$7:J$40,"=F")</f>
        <v>13</v>
      </c>
      <c r="K42" s="1"/>
      <c r="L42" s="6"/>
      <c r="M42" s="6"/>
      <c r="N42" s="1"/>
      <c r="O42" s="1">
        <f>O41-3</f>
        <v>24</v>
      </c>
      <c r="P42" s="48" t="s">
        <v>276</v>
      </c>
      <c r="R42" s="2" t="s">
        <v>277</v>
      </c>
      <c r="S42" s="1">
        <f>COUNTIF(S$7:S$40,"=Normal")</f>
        <v>9</v>
      </c>
      <c r="T42" s="1"/>
      <c r="U42" s="1"/>
      <c r="V42" s="1"/>
      <c r="W42" s="1"/>
      <c r="X42" s="1"/>
      <c r="AA42" s="2" t="s">
        <v>173</v>
      </c>
      <c r="AB42" s="1">
        <f>COUNTIF(AB$7:AB$40,"=po")</f>
        <v>13</v>
      </c>
      <c r="AC42" s="1"/>
      <c r="AD42" s="1"/>
      <c r="AE42" s="2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1"/>
      <c r="BF42" s="6"/>
      <c r="BG42" s="6"/>
      <c r="BH42" s="6"/>
      <c r="BI42" s="6"/>
      <c r="BJ42" s="6"/>
      <c r="BK42" s="6" t="s">
        <v>278</v>
      </c>
      <c r="BL42" s="6">
        <f>COUNTIF(BL7:BL38,"=N")</f>
        <v>4</v>
      </c>
      <c r="BM42" s="6"/>
      <c r="BN42" s="6"/>
      <c r="BO42" s="6"/>
      <c r="BP42" s="6"/>
      <c r="BQ42" s="6"/>
      <c r="BR42" s="6"/>
      <c r="BS42" s="1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R42" s="6"/>
      <c r="CS42" s="6"/>
      <c r="CT42" s="6"/>
      <c r="CU42" s="6"/>
      <c r="CV42" s="6"/>
      <c r="CW42" s="6"/>
      <c r="CX42" s="6"/>
      <c r="CY42" s="6"/>
      <c r="CZ42" s="6"/>
      <c r="DA42" s="1"/>
      <c r="DB42" s="1"/>
      <c r="DC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R42" s="1"/>
      <c r="DS42" s="1"/>
      <c r="DT42" s="1"/>
      <c r="DU42" s="1"/>
      <c r="DV42" s="1"/>
      <c r="DW42" s="1"/>
      <c r="DX42" s="1"/>
      <c r="DY42" s="1"/>
      <c r="DZ42" s="73">
        <f t="shared" si="6"/>
        <v>0</v>
      </c>
      <c r="EA42" s="1"/>
      <c r="EB42" s="48"/>
      <c r="EC42" s="7"/>
    </row>
    <row r="43" spans="1:133" s="159" customFormat="1" ht="37.5" customHeight="1" x14ac:dyDescent="0.2">
      <c r="A43" s="1"/>
      <c r="B43" s="2"/>
      <c r="C43" s="2" t="s">
        <v>279</v>
      </c>
      <c r="D43" s="1">
        <f>MEDIAN(D7:D40)</f>
        <v>2019</v>
      </c>
      <c r="E43" s="2" t="s">
        <v>280</v>
      </c>
      <c r="F43" s="1">
        <f>B41-F41</f>
        <v>12</v>
      </c>
      <c r="G43" s="2"/>
      <c r="H43" s="1"/>
      <c r="I43" s="2"/>
      <c r="J43" s="1"/>
      <c r="K43" s="162" t="s">
        <v>281</v>
      </c>
      <c r="L43" s="6">
        <f>K41+L41</f>
        <v>17</v>
      </c>
      <c r="M43" s="6"/>
      <c r="N43" s="1"/>
      <c r="S43" s="6"/>
      <c r="T43" s="6"/>
      <c r="U43" s="6"/>
      <c r="V43" s="6"/>
      <c r="W43" s="6"/>
      <c r="X43" s="1" t="s">
        <v>91</v>
      </c>
      <c r="Y43" s="1"/>
      <c r="AA43" s="2" t="s">
        <v>204</v>
      </c>
      <c r="AB43" s="1">
        <f>B41-AB41-AB42</f>
        <v>8</v>
      </c>
      <c r="AC43" s="1"/>
      <c r="AD43" s="1"/>
      <c r="AE43" s="2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1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1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R43" s="6"/>
      <c r="CS43" s="6"/>
      <c r="CT43" s="6"/>
      <c r="CU43" s="6"/>
      <c r="CV43" s="6"/>
      <c r="CW43" s="6">
        <f>COUNTIF(CW$7:CW$40,"&lt;100")</f>
        <v>11</v>
      </c>
      <c r="CX43" s="6"/>
      <c r="CY43" s="6" t="s">
        <v>282</v>
      </c>
      <c r="CZ43" s="6"/>
      <c r="DA43" s="1" t="s">
        <v>283</v>
      </c>
      <c r="DB43" s="1">
        <f>COUNTIF(DB$7:DB$40,"&lt;=4")</f>
        <v>12</v>
      </c>
      <c r="DC43" s="1" t="s">
        <v>284</v>
      </c>
      <c r="DD43" s="1">
        <f>COUNTIF(DD$7:DD$40,"&lt;=14")</f>
        <v>15</v>
      </c>
      <c r="DE43" s="159" t="s">
        <v>285</v>
      </c>
      <c r="DF43" s="1">
        <f>COUNTIF(DF$7:DF$40,"&gt;=100")</f>
        <v>17</v>
      </c>
      <c r="DG43" s="1" t="s">
        <v>282</v>
      </c>
      <c r="DH43" s="1">
        <f>COUNTIF(DH$7:DH$40,"&lt;100")</f>
        <v>10</v>
      </c>
      <c r="DJ43" s="1" t="s">
        <v>286</v>
      </c>
      <c r="DK43" s="1">
        <f>COUNTIF(DK$7:DK$40,"&gt;=20")</f>
        <v>13</v>
      </c>
      <c r="DM43" s="160" t="s">
        <v>287</v>
      </c>
      <c r="DN43" s="6">
        <f>COUNTIF(DN$7:DN$40,"&lt;90")</f>
        <v>5</v>
      </c>
      <c r="DO43" s="1"/>
      <c r="DP43" s="1"/>
      <c r="DR43" s="163">
        <f t="shared" ref="DR43:DY43" si="17">DR41/$EC41</f>
        <v>0.6875</v>
      </c>
      <c r="DS43" s="163">
        <f t="shared" si="17"/>
        <v>0.53125</v>
      </c>
      <c r="DT43" s="163">
        <f t="shared" si="17"/>
        <v>0.28125</v>
      </c>
      <c r="DU43" s="163">
        <f t="shared" si="17"/>
        <v>0.125</v>
      </c>
      <c r="DV43" s="163">
        <f t="shared" si="17"/>
        <v>0.53125</v>
      </c>
      <c r="DW43" s="163">
        <f t="shared" si="17"/>
        <v>0.59375</v>
      </c>
      <c r="DX43" s="163">
        <f t="shared" si="17"/>
        <v>0.1875</v>
      </c>
      <c r="DY43" s="163">
        <f t="shared" si="17"/>
        <v>0.5625</v>
      </c>
      <c r="DZ43" s="73">
        <f t="shared" si="6"/>
        <v>0</v>
      </c>
      <c r="EA43" s="163">
        <f>EA41/$EC41</f>
        <v>0.21875</v>
      </c>
      <c r="EB43" s="164"/>
      <c r="EC43" s="7"/>
    </row>
    <row r="44" spans="1:133" s="159" customFormat="1" ht="19.5" customHeight="1" x14ac:dyDescent="0.2">
      <c r="A44" s="1"/>
      <c r="B44" s="2"/>
      <c r="C44" s="2" t="s">
        <v>288</v>
      </c>
      <c r="D44" s="1">
        <f>MIN(D7:D37)</f>
        <v>1996</v>
      </c>
      <c r="G44" s="2" t="s">
        <v>289</v>
      </c>
      <c r="H44" s="1">
        <f>COUNTIF(H$7:H$40,"&gt;45")</f>
        <v>10</v>
      </c>
      <c r="I44" s="2"/>
      <c r="J44" s="1"/>
      <c r="K44" s="1"/>
      <c r="L44" s="6"/>
      <c r="M44" s="6"/>
      <c r="N44" s="1"/>
      <c r="O44" s="6" t="s">
        <v>290</v>
      </c>
      <c r="P44" s="6"/>
      <c r="Q44" s="1">
        <v>176</v>
      </c>
      <c r="R44" s="1" t="s">
        <v>264</v>
      </c>
      <c r="S44" s="6"/>
      <c r="T44" s="6"/>
      <c r="U44" s="6"/>
      <c r="V44" s="6"/>
      <c r="W44" s="6"/>
      <c r="X44" s="1">
        <v>1</v>
      </c>
      <c r="Y44" s="1">
        <f>COUNTIF(Y$7:Y$40,"1")</f>
        <v>8</v>
      </c>
      <c r="Z44" s="1"/>
      <c r="AA44" s="1"/>
      <c r="AB44" s="1"/>
      <c r="AC44" s="1"/>
      <c r="AD44" s="1"/>
      <c r="AE44" s="2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1" t="s">
        <v>291</v>
      </c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R44" s="6"/>
      <c r="BS44" s="1"/>
      <c r="BU44" s="6"/>
      <c r="BV44" s="6"/>
      <c r="BW44" s="6"/>
      <c r="BX44" s="6"/>
      <c r="BY44" s="6"/>
      <c r="CR44" s="54"/>
      <c r="CS44" s="6"/>
      <c r="CT44" s="6"/>
      <c r="CU44" s="6"/>
      <c r="CV44" s="6"/>
      <c r="CW44" s="6"/>
      <c r="CX44" s="6"/>
      <c r="CY44" s="6"/>
      <c r="CZ44" s="6"/>
      <c r="DA44" s="1" t="s">
        <v>292</v>
      </c>
      <c r="DB44" s="1">
        <f>COUNTIF(DB$7:DB$40,"&lt;=7")</f>
        <v>17</v>
      </c>
      <c r="DC44" s="1" t="s">
        <v>292</v>
      </c>
      <c r="DD44" s="1">
        <f>COUNTIF(DD$7:DD$40,"&lt;=7")</f>
        <v>8</v>
      </c>
      <c r="DM44" s="2" t="s">
        <v>293</v>
      </c>
      <c r="DN44" s="6">
        <f>COUNTIF(DN$7:DN$40,"Hypoxia")</f>
        <v>1</v>
      </c>
      <c r="DO44" s="1"/>
      <c r="DP44" s="1"/>
      <c r="DR44" s="1"/>
      <c r="DS44" s="1"/>
      <c r="DT44" s="1"/>
      <c r="DU44" s="1"/>
      <c r="DV44" s="1"/>
      <c r="DW44" s="1"/>
      <c r="DX44" s="1"/>
      <c r="DY44" s="1"/>
      <c r="DZ44" s="73">
        <f t="shared" si="6"/>
        <v>0</v>
      </c>
      <c r="EA44" s="1"/>
      <c r="EB44" s="48"/>
      <c r="EC44" s="48"/>
    </row>
    <row r="45" spans="1:133" s="159" customFormat="1" ht="25.5" x14ac:dyDescent="0.2">
      <c r="A45" s="1"/>
      <c r="B45" s="2"/>
      <c r="C45" s="3"/>
      <c r="D45" s="3"/>
      <c r="E45" s="1"/>
      <c r="F45" s="1"/>
      <c r="G45" s="1"/>
      <c r="H45" s="1"/>
      <c r="I45" s="2"/>
      <c r="J45" s="1"/>
      <c r="K45" s="1"/>
      <c r="L45" s="6"/>
      <c r="M45" s="6"/>
      <c r="N45" s="1"/>
      <c r="O45" s="6" t="s">
        <v>294</v>
      </c>
      <c r="P45" s="6"/>
      <c r="Q45" s="1"/>
      <c r="R45" s="1"/>
      <c r="S45" s="6"/>
      <c r="T45" s="6"/>
      <c r="U45" s="6"/>
      <c r="V45" s="6"/>
      <c r="W45" s="6"/>
      <c r="X45" s="1">
        <v>2</v>
      </c>
      <c r="Y45" s="1">
        <f>COUNTIF(Y$7:Y$40,"2")</f>
        <v>2</v>
      </c>
      <c r="Z45" s="1"/>
      <c r="AA45" s="1"/>
      <c r="AB45" s="1"/>
      <c r="AC45" s="1"/>
      <c r="AD45" s="1"/>
      <c r="AE45" s="2"/>
      <c r="AF45" s="1"/>
      <c r="AG45" s="1"/>
      <c r="AH45" s="1"/>
      <c r="AI45" s="6"/>
      <c r="AJ45" s="6"/>
      <c r="AK45" s="6"/>
      <c r="AL45" s="6"/>
      <c r="AM45" s="6"/>
      <c r="AN45" s="6"/>
      <c r="AO45" s="6"/>
      <c r="AP45" s="6"/>
      <c r="AQ45" s="6"/>
      <c r="BE45" s="165" t="s">
        <v>295</v>
      </c>
      <c r="BF45" s="166">
        <v>4.0999999999999996</v>
      </c>
      <c r="BG45" s="167">
        <f>4*BF45^2</f>
        <v>67.239999999999995</v>
      </c>
      <c r="BH45" s="168">
        <f>BG45+BH$5</f>
        <v>77.239999999999995</v>
      </c>
      <c r="BI45" s="166"/>
      <c r="BJ45" s="169">
        <f>0.61*BH45 +2</f>
        <v>49.116399999999999</v>
      </c>
      <c r="BN45" s="160"/>
      <c r="BO45" s="160"/>
      <c r="BP45" s="54"/>
      <c r="BQ45" s="6"/>
      <c r="BS45" s="6"/>
      <c r="BU45" s="170"/>
      <c r="BV45" s="170"/>
      <c r="BW45" s="170"/>
      <c r="BX45" s="54"/>
      <c r="BY45" s="170"/>
      <c r="CB45" s="160" t="s">
        <v>296</v>
      </c>
      <c r="CC45" s="54"/>
      <c r="CD45" s="54"/>
      <c r="CE45" s="54"/>
      <c r="CF45" s="54"/>
      <c r="CG45" s="54"/>
      <c r="CH45" s="54"/>
      <c r="CI45" s="54"/>
      <c r="CL45" s="54"/>
      <c r="CN45" s="54"/>
      <c r="CO45" s="54"/>
      <c r="CP45" s="54"/>
      <c r="CR45" s="54"/>
      <c r="CT45" s="3"/>
      <c r="CU45" s="54"/>
      <c r="CV45" s="54"/>
      <c r="CW45" s="6"/>
      <c r="CX45" s="6"/>
      <c r="CY45" s="6" t="s">
        <v>297</v>
      </c>
      <c r="CZ45" s="6">
        <v>7</v>
      </c>
      <c r="DA45" s="1"/>
      <c r="DB45" s="1"/>
      <c r="DC45" s="1" t="s">
        <v>298</v>
      </c>
      <c r="DD45" s="1">
        <f>DD43-DD44</f>
        <v>7</v>
      </c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R45" s="1" t="str">
        <f t="shared" ref="DR45:DY45" si="18">DR2</f>
        <v>Dyspnea</v>
      </c>
      <c r="DS45" s="1" t="str">
        <f t="shared" si="18"/>
        <v>Edema</v>
      </c>
      <c r="DT45" s="1" t="str">
        <f t="shared" si="18"/>
        <v>Fatigue</v>
      </c>
      <c r="DU45" s="38" t="str">
        <f t="shared" si="18"/>
        <v>Chest 
pain</v>
      </c>
      <c r="DV45" s="1" t="str">
        <f t="shared" si="18"/>
        <v>Ecchymoses</v>
      </c>
      <c r="DW45" s="1" t="str">
        <f t="shared" si="18"/>
        <v>Pains</v>
      </c>
      <c r="DX45" s="38" t="str">
        <f t="shared" si="18"/>
        <v>Corkscrew
hairs</v>
      </c>
      <c r="DY45" s="1" t="str">
        <f t="shared" si="18"/>
        <v>Gums</v>
      </c>
      <c r="DZ45" s="73">
        <f t="shared" si="6"/>
        <v>0</v>
      </c>
      <c r="EA45" s="1" t="str">
        <f>EA2</f>
        <v>No gums</v>
      </c>
      <c r="EB45" s="48"/>
      <c r="EC45" s="48"/>
    </row>
    <row r="46" spans="1:133" s="159" customFormat="1" x14ac:dyDescent="0.2">
      <c r="A46" s="1"/>
      <c r="B46" s="2"/>
      <c r="C46" s="2">
        <v>2023</v>
      </c>
      <c r="D46" s="1">
        <f>COUNTIF(D$7:D$38,"=2023")</f>
        <v>2</v>
      </c>
      <c r="E46" s="1" t="s">
        <v>299</v>
      </c>
      <c r="F46" s="1"/>
      <c r="G46" s="1"/>
      <c r="H46" s="1"/>
      <c r="I46" s="2"/>
      <c r="J46" s="1"/>
      <c r="K46" s="1"/>
      <c r="L46" s="6"/>
      <c r="M46" s="6"/>
      <c r="N46" s="1"/>
      <c r="O46" s="6"/>
      <c r="P46" s="6"/>
      <c r="Q46" s="1"/>
      <c r="R46" s="1"/>
      <c r="S46" s="6"/>
      <c r="T46" s="6"/>
      <c r="U46" s="6"/>
      <c r="V46" s="6"/>
      <c r="W46" s="6"/>
      <c r="X46" s="1"/>
      <c r="Y46" s="1"/>
      <c r="Z46" s="1"/>
      <c r="AA46" s="1"/>
      <c r="AB46" s="1"/>
      <c r="AC46" s="1"/>
      <c r="AD46" s="1"/>
      <c r="AE46" s="2"/>
      <c r="AF46" s="1"/>
      <c r="AG46" s="1"/>
      <c r="AH46" s="1"/>
      <c r="AI46" s="6"/>
      <c r="AJ46" s="6"/>
      <c r="AK46" s="6"/>
      <c r="AL46" s="6"/>
      <c r="AM46" s="6"/>
      <c r="AN46" s="6"/>
      <c r="AO46" s="6"/>
      <c r="AP46" s="6"/>
      <c r="AQ46" s="6"/>
      <c r="BE46" s="165" t="s">
        <v>300</v>
      </c>
      <c r="BF46" s="166">
        <v>3.4</v>
      </c>
      <c r="BG46" s="167">
        <f>4*BF46^2</f>
        <v>46.239999999999995</v>
      </c>
      <c r="BH46" s="168">
        <f>BG46+BH$5</f>
        <v>56.239999999999995</v>
      </c>
      <c r="BI46" s="166"/>
      <c r="BJ46" s="169">
        <f>0.61*BH46 +2</f>
        <v>36.306399999999996</v>
      </c>
      <c r="BN46" s="160"/>
      <c r="BO46" s="160"/>
      <c r="BP46" s="54"/>
      <c r="BQ46" s="6"/>
      <c r="BS46" s="6"/>
      <c r="BU46" s="170"/>
      <c r="BV46" s="170"/>
      <c r="BW46" s="170"/>
      <c r="BX46" s="170"/>
      <c r="BY46" s="170"/>
      <c r="CB46" s="160"/>
      <c r="CC46" s="54"/>
      <c r="CD46" s="54"/>
      <c r="CE46" s="54"/>
      <c r="CF46" s="54"/>
      <c r="CG46" s="54"/>
      <c r="CH46" s="54"/>
      <c r="CI46" s="54"/>
      <c r="CR46" s="54"/>
      <c r="CS46" s="54"/>
      <c r="CT46" s="6"/>
      <c r="CU46" s="54"/>
      <c r="CV46" s="54"/>
      <c r="CW46" s="6"/>
      <c r="CX46" s="6"/>
      <c r="CY46" s="6" t="s">
        <v>301</v>
      </c>
      <c r="CZ46" s="6">
        <v>7</v>
      </c>
      <c r="DA46" s="1"/>
      <c r="DB46" s="1"/>
      <c r="DC46" s="3"/>
      <c r="DF46" s="1"/>
      <c r="DG46" s="1"/>
      <c r="DH46" s="1"/>
      <c r="DI46" s="1"/>
      <c r="DJ46" s="1"/>
      <c r="DL46" s="1"/>
      <c r="DM46" s="1"/>
      <c r="DN46" s="1"/>
      <c r="DO46" s="1"/>
      <c r="DP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48"/>
      <c r="EC46" s="48"/>
    </row>
    <row r="47" spans="1:133" x14ac:dyDescent="0.2">
      <c r="C47" s="2">
        <v>2022</v>
      </c>
      <c r="D47" s="1">
        <f>COUNTIF(D$7:D$38,"=2022")</f>
        <v>6</v>
      </c>
      <c r="E47" s="3">
        <f>SUM(D46:D50)</f>
        <v>21</v>
      </c>
      <c r="F47" s="51">
        <f>E47/B41</f>
        <v>0.65625</v>
      </c>
      <c r="O47" s="6">
        <v>176</v>
      </c>
      <c r="P47" s="6"/>
      <c r="Q47" s="1" t="s">
        <v>302</v>
      </c>
      <c r="R47" s="171">
        <f>O47/$Q$44*1000000</f>
        <v>1000000</v>
      </c>
      <c r="X47" s="3" t="s">
        <v>280</v>
      </c>
      <c r="Y47" s="3">
        <f>Y41-Y44-Y45</f>
        <v>9</v>
      </c>
      <c r="BK47" s="6" t="s">
        <v>303</v>
      </c>
      <c r="BL47" s="170">
        <f>MEDIAN(BL7:BL38)</f>
        <v>47.875</v>
      </c>
      <c r="BM47" s="170"/>
      <c r="BN47" s="160" t="s">
        <v>303</v>
      </c>
      <c r="BO47" s="160"/>
      <c r="BP47" s="54">
        <f>MEDIAN(BP7:BP38)</f>
        <v>8.6750000000000007</v>
      </c>
      <c r="BT47" s="160" t="s">
        <v>303</v>
      </c>
      <c r="BU47" s="170">
        <f>MEDIAN(BU7:BU38)</f>
        <v>2.3499999999999996</v>
      </c>
      <c r="BV47" s="170"/>
      <c r="BW47" s="170"/>
      <c r="BX47" s="170">
        <f>MEDIAN(BX7:BX38)</f>
        <v>28</v>
      </c>
      <c r="BY47" s="170"/>
      <c r="BZ47" s="160" t="s">
        <v>303</v>
      </c>
      <c r="CA47" s="170">
        <f>MEDIAN(CA7:CA38)</f>
        <v>20.348799999999997</v>
      </c>
      <c r="CB47" s="160" t="s">
        <v>303</v>
      </c>
      <c r="CC47" s="54">
        <f>MEDIAN(CC7:CC38)</f>
        <v>2.4203924792679441</v>
      </c>
      <c r="CD47" s="54"/>
      <c r="CE47" s="54"/>
      <c r="CF47" s="54"/>
      <c r="CG47" s="160" t="s">
        <v>303</v>
      </c>
      <c r="CH47" s="54">
        <f>MEDIAN(CH7:CH38)</f>
        <v>9.2105263157894726</v>
      </c>
      <c r="CI47" s="54"/>
      <c r="CJ47" s="170"/>
      <c r="CK47" s="54">
        <f>MEDIAN(CK7:CK38)</f>
        <v>19.079999999999998</v>
      </c>
      <c r="CL47" s="54">
        <f>MEDIAN(CL7:CL38)</f>
        <v>21.007599999999996</v>
      </c>
      <c r="CN47" s="54">
        <f>MEDIAN(CN7:CN38)</f>
        <v>19.384999999999998</v>
      </c>
      <c r="CO47" s="54">
        <f>MEDIAN(CO7:CO38)</f>
        <v>21.824999999999999</v>
      </c>
      <c r="CP47" s="54"/>
      <c r="CS47" s="54">
        <f>MEDIAN(CS7:CS38)</f>
        <v>1470.5</v>
      </c>
      <c r="CT47" s="6" t="s">
        <v>279</v>
      </c>
      <c r="CU47" s="54">
        <f>MEDIAN(CU7:CU38)</f>
        <v>14.7</v>
      </c>
      <c r="CV47" s="54">
        <f>MEDIAN(CV7:CV38)</f>
        <v>28</v>
      </c>
      <c r="CY47" s="6" t="s">
        <v>304</v>
      </c>
      <c r="CZ47" s="5">
        <v>12</v>
      </c>
    </row>
    <row r="48" spans="1:133" x14ac:dyDescent="0.2">
      <c r="C48" s="2">
        <v>2021</v>
      </c>
      <c r="D48" s="1">
        <f>COUNTIF(D$7:D$38,"=2021")</f>
        <v>5</v>
      </c>
      <c r="O48" s="5">
        <v>176</v>
      </c>
      <c r="Q48" s="3" t="s">
        <v>115</v>
      </c>
      <c r="R48" s="171">
        <f>O48/$Q$44*1000</f>
        <v>1000</v>
      </c>
      <c r="X48" s="3"/>
      <c r="Z48" s="3" t="s">
        <v>305</v>
      </c>
      <c r="BK48" s="6" t="s">
        <v>306</v>
      </c>
      <c r="BL48" s="170">
        <f>MIN(BL7:BL38)</f>
        <v>28.6204</v>
      </c>
      <c r="BM48" s="170"/>
      <c r="BN48" s="160" t="s">
        <v>306</v>
      </c>
      <c r="BO48" s="160"/>
      <c r="BP48" s="54">
        <f>MIN(BP7:BP38)</f>
        <v>4.1176470588235299</v>
      </c>
      <c r="BT48" s="160" t="s">
        <v>306</v>
      </c>
      <c r="BU48" s="170">
        <f>MIN(BU7:BU38)</f>
        <v>2</v>
      </c>
      <c r="BV48" s="170"/>
      <c r="BW48" s="170"/>
      <c r="BX48" s="170">
        <f>MIN(BX7:BX38)</f>
        <v>16</v>
      </c>
      <c r="BY48" s="170"/>
      <c r="BZ48" s="160" t="s">
        <v>306</v>
      </c>
      <c r="CA48" s="170">
        <f>MIN(CA7:CA38)</f>
        <v>11.76</v>
      </c>
      <c r="CB48" s="160" t="s">
        <v>306</v>
      </c>
      <c r="CC48" s="54">
        <f>MIN(CC7:CC38)</f>
        <v>1.2257130620985013</v>
      </c>
      <c r="CD48" s="54"/>
      <c r="CE48" s="54"/>
      <c r="CF48" s="54"/>
      <c r="CG48" s="160" t="s">
        <v>306</v>
      </c>
      <c r="CH48" s="54">
        <f>MIN(CH7:CH38)</f>
        <v>2.1962025316455698</v>
      </c>
      <c r="CI48" s="54"/>
      <c r="CJ48" s="170"/>
      <c r="CK48" s="54">
        <f>MIN(CK7:CK38)</f>
        <v>11.76</v>
      </c>
      <c r="CL48" s="54">
        <f>MIN(CL7:CL38)</f>
        <v>13.59</v>
      </c>
      <c r="CN48" s="54">
        <f>MIN(CN7:CN38)</f>
        <v>11.76</v>
      </c>
      <c r="CO48" s="54">
        <f>MIN(CO7:CO38)</f>
        <v>13.59</v>
      </c>
      <c r="CP48" s="54"/>
      <c r="CR48" s="160" t="s">
        <v>307</v>
      </c>
      <c r="CS48" s="5">
        <f>COUNTIF(CS7:CS38,"&gt;400")</f>
        <v>6</v>
      </c>
      <c r="CT48" s="6" t="s">
        <v>306</v>
      </c>
      <c r="CU48" s="54">
        <f>MIN(CU7:CU38)</f>
        <v>13</v>
      </c>
      <c r="CV48" s="54">
        <f>MIN(CV7:CV38)</f>
        <v>12</v>
      </c>
      <c r="DC48" s="3" t="s">
        <v>308</v>
      </c>
      <c r="DD48" s="51">
        <f>DD43/DD41</f>
        <v>0.5357142857142857</v>
      </c>
    </row>
    <row r="49" spans="3:108" x14ac:dyDescent="0.2">
      <c r="C49" s="2">
        <v>2020</v>
      </c>
      <c r="D49" s="1">
        <f>COUNTIF(D$7:D$38,"2020")</f>
        <v>2</v>
      </c>
      <c r="G49" s="3" t="s">
        <v>288</v>
      </c>
      <c r="H49" s="1">
        <f>MIN(H7:H40)</f>
        <v>1.75</v>
      </c>
      <c r="O49" s="5">
        <v>0.17599999999999999</v>
      </c>
      <c r="Q49" s="3" t="s">
        <v>115</v>
      </c>
      <c r="R49" s="1">
        <f>O49/$Q$44*1000</f>
        <v>1</v>
      </c>
      <c r="X49" s="3"/>
      <c r="Z49" s="3" t="s">
        <v>309</v>
      </c>
      <c r="BK49" s="6" t="s">
        <v>310</v>
      </c>
      <c r="BL49" s="170">
        <f>MAX(BL7:BL38)</f>
        <v>77</v>
      </c>
      <c r="BM49" s="170"/>
      <c r="BN49" s="160" t="s">
        <v>310</v>
      </c>
      <c r="BO49" s="160"/>
      <c r="BP49" s="54">
        <f>MAX(BP7:BP38)</f>
        <v>41.127272727272725</v>
      </c>
      <c r="BT49" s="160" t="s">
        <v>310</v>
      </c>
      <c r="BU49" s="170">
        <f>MAX(BU7:BU38)</f>
        <v>2.5</v>
      </c>
      <c r="BV49" s="170"/>
      <c r="BW49" s="170"/>
      <c r="BX49" s="170">
        <f>MAX(BX7:BX38)</f>
        <v>36</v>
      </c>
      <c r="BY49" s="170"/>
      <c r="BZ49" s="160" t="s">
        <v>310</v>
      </c>
      <c r="CA49" s="170">
        <f>MAX(CA7:CA38)</f>
        <v>32.5</v>
      </c>
      <c r="CB49" s="160" t="s">
        <v>310</v>
      </c>
      <c r="CC49" s="54">
        <f>MAX(CC7:CC38)</f>
        <v>4.0526315789473681</v>
      </c>
      <c r="CD49" s="54"/>
      <c r="CE49" s="54"/>
      <c r="CF49" s="54"/>
      <c r="CG49" s="160" t="s">
        <v>310</v>
      </c>
      <c r="CH49" s="54">
        <f>MAX(CH7:CH38)</f>
        <v>22.388059701492537</v>
      </c>
      <c r="CI49" s="54"/>
      <c r="CJ49" s="170"/>
      <c r="CK49" s="54">
        <f>MAX(CK7:CK38)</f>
        <v>32.5</v>
      </c>
      <c r="CL49" s="54">
        <f>MAX(CL7:CL38)</f>
        <v>26</v>
      </c>
      <c r="CN49" s="54">
        <f>MAX(CN7:CN38)</f>
        <v>26</v>
      </c>
      <c r="CO49" s="54">
        <f>MAX(CO7:CO38)</f>
        <v>32.5</v>
      </c>
      <c r="CP49" s="54"/>
      <c r="CR49" s="160" t="s">
        <v>67</v>
      </c>
      <c r="CS49" s="5">
        <f>COUNTIF(CS7:CS38,"Elevated")</f>
        <v>1</v>
      </c>
      <c r="CT49" s="6" t="s">
        <v>310</v>
      </c>
      <c r="CU49" s="54">
        <f>MAX(CU7:CU38)</f>
        <v>34</v>
      </c>
      <c r="CV49" s="54">
        <f>MAX(CV7:CV38)</f>
        <v>45</v>
      </c>
      <c r="CY49" s="6" t="s">
        <v>311</v>
      </c>
      <c r="CZ49" s="5">
        <f>SUM(CZ45:CZ47)</f>
        <v>26</v>
      </c>
    </row>
    <row r="50" spans="3:108" x14ac:dyDescent="0.2">
      <c r="C50" s="2">
        <v>2019</v>
      </c>
      <c r="D50" s="1">
        <f>COUNTIF(D$7:D$38,"2019")</f>
        <v>6</v>
      </c>
      <c r="G50" s="3" t="s">
        <v>312</v>
      </c>
      <c r="H50" s="1">
        <f>MAX(H8:H41)</f>
        <v>74</v>
      </c>
      <c r="O50" s="5">
        <v>2</v>
      </c>
      <c r="Q50" s="3" t="s">
        <v>115</v>
      </c>
      <c r="R50" s="50">
        <f>O50/$Q$44*1000</f>
        <v>11.363636363636363</v>
      </c>
      <c r="W50" s="160"/>
      <c r="X50" s="1"/>
      <c r="Z50" s="3">
        <f>B41-Z41-1</f>
        <v>14</v>
      </c>
    </row>
    <row r="51" spans="3:108" x14ac:dyDescent="0.2">
      <c r="C51" s="2">
        <v>2018</v>
      </c>
      <c r="D51" s="1">
        <f>COUNTIF(D$7:D$38,"2018")</f>
        <v>2</v>
      </c>
    </row>
    <row r="52" spans="3:108" x14ac:dyDescent="0.2">
      <c r="DC52" s="3" t="s">
        <v>313</v>
      </c>
      <c r="DD52" s="3">
        <f>SUM(DD7:DD38)</f>
        <v>914</v>
      </c>
    </row>
    <row r="54" spans="3:108" ht="15.75" x14ac:dyDescent="0.25">
      <c r="N54" s="4"/>
      <c r="BK54" s="172" t="s">
        <v>314</v>
      </c>
      <c r="BL54" s="173">
        <f>SUM(BL7:BL38)</f>
        <v>1354.2520000000002</v>
      </c>
      <c r="BZ54" s="172" t="s">
        <v>314</v>
      </c>
      <c r="CA54" s="174">
        <f>SUM(CA7:CA38)</f>
        <v>366.17200000000003</v>
      </c>
      <c r="CJ54" s="172" t="s">
        <v>314</v>
      </c>
      <c r="CK54" s="174">
        <f>SUM(CK7:CL38)</f>
        <v>366.17200000000003</v>
      </c>
      <c r="CN54" s="174">
        <f>SUM(CN7:CP38)</f>
        <v>366.17200000000003</v>
      </c>
    </row>
    <row r="55" spans="3:108" ht="15.75" x14ac:dyDescent="0.25">
      <c r="N55" s="4"/>
      <c r="BK55" s="173"/>
      <c r="BL55" s="173"/>
      <c r="BZ55" s="173"/>
      <c r="CA55" s="173"/>
      <c r="CJ55" s="173"/>
      <c r="CK55" s="173"/>
      <c r="CN55" s="173"/>
    </row>
    <row r="56" spans="3:108" ht="15.75" x14ac:dyDescent="0.25">
      <c r="BK56" s="173" t="s">
        <v>315</v>
      </c>
      <c r="BL56" s="173">
        <v>1354.252</v>
      </c>
      <c r="BZ56" s="173" t="s">
        <v>315</v>
      </c>
      <c r="CA56" s="173">
        <v>366.17200000000003</v>
      </c>
      <c r="CJ56" s="172" t="s">
        <v>315</v>
      </c>
      <c r="CK56" s="173">
        <f>CA56</f>
        <v>366.17200000000003</v>
      </c>
      <c r="CN56" s="173">
        <f>CK56</f>
        <v>366.17200000000003</v>
      </c>
    </row>
    <row r="57" spans="3:108" x14ac:dyDescent="0.2">
      <c r="R57" s="50"/>
      <c r="BK57" s="175"/>
      <c r="BL57" s="175"/>
      <c r="BZ57" s="175"/>
      <c r="CA57" s="175"/>
      <c r="CJ57" s="175"/>
      <c r="CK57" s="175"/>
      <c r="CN57" s="175"/>
    </row>
    <row r="58" spans="3:108" x14ac:dyDescent="0.2">
      <c r="R58" s="50"/>
      <c r="BK58" s="175" t="s">
        <v>316</v>
      </c>
      <c r="BL58" s="175">
        <f>BL56-BL54</f>
        <v>0</v>
      </c>
      <c r="BZ58" s="175" t="s">
        <v>316</v>
      </c>
      <c r="CA58" s="175">
        <f>CA56-CA54</f>
        <v>0</v>
      </c>
      <c r="CJ58" s="175" t="s">
        <v>316</v>
      </c>
      <c r="CK58" s="175">
        <f>CK56-CK54</f>
        <v>0</v>
      </c>
      <c r="CN58" s="175">
        <f>CN56-CN54</f>
        <v>0</v>
      </c>
    </row>
    <row r="59" spans="3:108" x14ac:dyDescent="0.2">
      <c r="R59" s="50"/>
    </row>
    <row r="60" spans="3:108" x14ac:dyDescent="0.2">
      <c r="R60" s="50"/>
    </row>
    <row r="65" spans="18:18" x14ac:dyDescent="0.2">
      <c r="R65" s="50"/>
    </row>
    <row r="66" spans="18:18" x14ac:dyDescent="0.2">
      <c r="R66" s="50"/>
    </row>
    <row r="67" spans="18:18" x14ac:dyDescent="0.2">
      <c r="R67" s="50"/>
    </row>
    <row r="68" spans="18:18" x14ac:dyDescent="0.2">
      <c r="R68" s="50"/>
    </row>
    <row r="73" spans="18:18" x14ac:dyDescent="0.2">
      <c r="R73" s="50"/>
    </row>
    <row r="74" spans="18:18" x14ac:dyDescent="0.2">
      <c r="R74" s="50"/>
    </row>
    <row r="75" spans="18:18" x14ac:dyDescent="0.2">
      <c r="R75" s="50"/>
    </row>
    <row r="76" spans="18:18" x14ac:dyDescent="0.2">
      <c r="R76" s="50"/>
    </row>
  </sheetData>
  <pageMargins left="0.39374999999999999" right="0.39374999999999999" top="0.39374999999999999" bottom="0.39374999999999999" header="0.511811023622047" footer="0.511811023622047"/>
  <pageSetup paperSize="8" scale="71" orientation="landscape" useFirstPageNumber="1" horizontalDpi="300" verticalDpi="300"/>
  <colBreaks count="1" manualBreakCount="1">
    <brk id="102" max="1048575" man="1"/>
  </colBreaks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6"/>
  <sheetViews>
    <sheetView zoomScale="90" zoomScaleNormal="90" workbookViewId="0">
      <selection activeCell="A5" activeCellId="1" sqref="S28 A5"/>
    </sheetView>
  </sheetViews>
  <sheetFormatPr defaultColWidth="11.5703125" defaultRowHeight="12.75" x14ac:dyDescent="0.2"/>
  <cols>
    <col min="1" max="1" width="16.42578125" customWidth="1"/>
    <col min="2" max="5" width="16.42578125" style="3" customWidth="1"/>
  </cols>
  <sheetData>
    <row r="1" spans="1:5" s="159" customFormat="1" ht="27.75" customHeight="1" x14ac:dyDescent="0.2">
      <c r="A1" s="159" t="str">
        <f>'Wood units'!A2</f>
        <v>Raport</v>
      </c>
      <c r="B1" s="1" t="str">
        <f>'Wood units'!B2</f>
        <v>PVR0</v>
      </c>
      <c r="C1" s="1" t="s">
        <v>399</v>
      </c>
      <c r="D1" s="1" t="str">
        <f>'Wood units'!C2</f>
        <v>PVR1</v>
      </c>
      <c r="E1" s="1" t="s">
        <v>400</v>
      </c>
    </row>
    <row r="2" spans="1:5" ht="27.75" customHeight="1" x14ac:dyDescent="0.2">
      <c r="A2" t="str">
        <f>'Wood units'!A6</f>
        <v>Gayen</v>
      </c>
      <c r="B2" s="50">
        <f>'Wood units'!B6</f>
        <v>8.6750000000000007</v>
      </c>
      <c r="C2" s="3">
        <v>0</v>
      </c>
      <c r="D2" s="50">
        <f>'Wood units'!C6</f>
        <v>3.95</v>
      </c>
      <c r="E2" s="3">
        <v>0.98</v>
      </c>
    </row>
    <row r="3" spans="1:5" ht="27.75" customHeight="1" x14ac:dyDescent="0.2">
      <c r="A3" t="str">
        <f>'Wood units'!A7</f>
        <v>Ichiyanagi</v>
      </c>
      <c r="B3" s="50">
        <f>'Wood units'!B7</f>
        <v>41.127272727272725</v>
      </c>
      <c r="C3" s="3">
        <v>0</v>
      </c>
      <c r="D3" s="50">
        <f>'Wood units'!C7</f>
        <v>4.2181818181818178</v>
      </c>
      <c r="E3" s="3">
        <v>1.02</v>
      </c>
    </row>
    <row r="4" spans="1:5" ht="27.75" customHeight="1" x14ac:dyDescent="0.2">
      <c r="A4" t="str">
        <f>'Wood units'!A8</f>
        <v>Kupari</v>
      </c>
      <c r="B4" s="90">
        <f>'Wood units'!B8</f>
        <v>30</v>
      </c>
      <c r="C4" s="3">
        <v>0</v>
      </c>
      <c r="D4" s="90">
        <f>'Wood units'!C8</f>
        <v>1.34</v>
      </c>
      <c r="E4" s="3">
        <v>1.02</v>
      </c>
    </row>
    <row r="5" spans="1:5" ht="27.75" customHeight="1" x14ac:dyDescent="0.2">
      <c r="A5" t="str">
        <f>'Wood units'!A9</f>
        <v>Kurnick</v>
      </c>
      <c r="B5" s="90">
        <f>'Wood units'!B9</f>
        <v>16</v>
      </c>
      <c r="C5" s="3">
        <v>0</v>
      </c>
      <c r="D5" s="90">
        <f>'Wood units'!C9</f>
        <v>4.3</v>
      </c>
      <c r="E5" s="3">
        <v>1.02</v>
      </c>
    </row>
    <row r="6" spans="1:5" ht="27.75" customHeight="1" x14ac:dyDescent="0.2">
      <c r="A6" t="str">
        <f>'Wood units'!A10</f>
        <v>Penn/Marston</v>
      </c>
      <c r="B6" s="90">
        <f>'Wood units'!B10</f>
        <v>13.125</v>
      </c>
      <c r="C6" s="3">
        <v>0</v>
      </c>
      <c r="D6" s="90">
        <f>'Wood units'!C10</f>
        <v>1.425</v>
      </c>
      <c r="E6" s="3">
        <v>0.98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5"/>
  <sheetViews>
    <sheetView zoomScale="90" zoomScaleNormal="90" workbookViewId="0">
      <selection activeCellId="1" sqref="S28 A1"/>
    </sheetView>
  </sheetViews>
  <sheetFormatPr defaultColWidth="11.5703125" defaultRowHeight="12.75" x14ac:dyDescent="0.2"/>
  <cols>
    <col min="1" max="5" width="17.85546875" style="3" customWidth="1"/>
  </cols>
  <sheetData>
    <row r="1" spans="1:5" s="159" customFormat="1" ht="21.75" customHeight="1" x14ac:dyDescent="0.25">
      <c r="A1" s="201" t="s">
        <v>13</v>
      </c>
      <c r="B1" s="201" t="s">
        <v>412</v>
      </c>
      <c r="C1" s="201" t="s">
        <v>413</v>
      </c>
      <c r="D1" s="201" t="s">
        <v>414</v>
      </c>
      <c r="E1" s="201" t="s">
        <v>415</v>
      </c>
    </row>
    <row r="2" spans="1:5" ht="21.75" customHeight="1" x14ac:dyDescent="0.2">
      <c r="A2" s="202">
        <v>2</v>
      </c>
      <c r="B2" s="203">
        <v>34</v>
      </c>
      <c r="C2" s="203">
        <v>22</v>
      </c>
      <c r="D2" s="203">
        <v>128</v>
      </c>
      <c r="E2" s="203">
        <v>92</v>
      </c>
    </row>
    <row r="3" spans="1:5" ht="21.75" customHeight="1" x14ac:dyDescent="0.2">
      <c r="A3" s="202">
        <v>2.99</v>
      </c>
      <c r="B3" s="203">
        <v>34</v>
      </c>
      <c r="C3" s="203">
        <v>22</v>
      </c>
      <c r="D3" s="203">
        <v>128</v>
      </c>
      <c r="E3" s="203">
        <v>92</v>
      </c>
    </row>
    <row r="4" spans="1:5" ht="21.75" customHeight="1" x14ac:dyDescent="0.2">
      <c r="A4" s="202">
        <v>3</v>
      </c>
      <c r="B4" s="203">
        <v>29</v>
      </c>
      <c r="C4" s="203">
        <v>21</v>
      </c>
      <c r="D4" s="203">
        <v>123</v>
      </c>
      <c r="E4" s="203">
        <v>86</v>
      </c>
    </row>
    <row r="5" spans="1:5" ht="21.75" customHeight="1" x14ac:dyDescent="0.2">
      <c r="A5" s="202">
        <v>3.99</v>
      </c>
      <c r="B5" s="203">
        <v>29</v>
      </c>
      <c r="C5" s="203">
        <v>21</v>
      </c>
      <c r="D5" s="203">
        <v>123</v>
      </c>
      <c r="E5" s="203">
        <v>86</v>
      </c>
    </row>
    <row r="6" spans="1:5" ht="21.75" customHeight="1" x14ac:dyDescent="0.2">
      <c r="A6" s="202">
        <v>4</v>
      </c>
      <c r="B6" s="203">
        <v>27</v>
      </c>
      <c r="C6" s="203">
        <v>20</v>
      </c>
      <c r="D6" s="203">
        <v>117</v>
      </c>
      <c r="E6" s="203">
        <v>81</v>
      </c>
    </row>
    <row r="7" spans="1:5" ht="21.75" customHeight="1" x14ac:dyDescent="0.2">
      <c r="A7" s="202">
        <v>5.99</v>
      </c>
      <c r="B7" s="203">
        <v>27</v>
      </c>
      <c r="C7" s="203">
        <v>20</v>
      </c>
      <c r="D7" s="203">
        <v>117</v>
      </c>
      <c r="E7" s="203">
        <v>81</v>
      </c>
    </row>
    <row r="8" spans="1:5" ht="21.75" customHeight="1" x14ac:dyDescent="0.2">
      <c r="A8" s="202">
        <v>6</v>
      </c>
      <c r="B8" s="203">
        <v>24</v>
      </c>
      <c r="C8" s="203">
        <v>18</v>
      </c>
      <c r="D8" s="203">
        <v>111</v>
      </c>
      <c r="E8" s="203">
        <v>74</v>
      </c>
    </row>
    <row r="9" spans="1:5" ht="21.75" customHeight="1" x14ac:dyDescent="0.2">
      <c r="A9" s="202">
        <v>7.99</v>
      </c>
      <c r="B9" s="203">
        <v>24</v>
      </c>
      <c r="C9" s="203">
        <v>18</v>
      </c>
      <c r="D9" s="203">
        <v>111</v>
      </c>
      <c r="E9" s="203">
        <v>74</v>
      </c>
    </row>
    <row r="10" spans="1:5" ht="21.75" customHeight="1" x14ac:dyDescent="0.2">
      <c r="A10" s="202">
        <v>8</v>
      </c>
      <c r="B10" s="203">
        <v>22</v>
      </c>
      <c r="C10" s="203">
        <v>16</v>
      </c>
      <c r="D10" s="203">
        <v>103</v>
      </c>
      <c r="E10" s="203">
        <v>67</v>
      </c>
    </row>
    <row r="11" spans="1:5" ht="21.75" customHeight="1" x14ac:dyDescent="0.2">
      <c r="A11" s="202">
        <v>11.99</v>
      </c>
      <c r="B11" s="203">
        <v>22</v>
      </c>
      <c r="C11" s="203">
        <v>16</v>
      </c>
      <c r="D11" s="203">
        <v>103</v>
      </c>
      <c r="E11" s="203">
        <v>67</v>
      </c>
    </row>
    <row r="12" spans="1:5" ht="21.75" customHeight="1" x14ac:dyDescent="0.2">
      <c r="A12" s="202">
        <v>12</v>
      </c>
      <c r="B12" s="203">
        <v>21</v>
      </c>
      <c r="C12" s="203">
        <v>15</v>
      </c>
      <c r="D12" s="203">
        <v>96</v>
      </c>
      <c r="E12" s="203">
        <v>62</v>
      </c>
    </row>
    <row r="13" spans="1:5" ht="21.75" customHeight="1" x14ac:dyDescent="0.2">
      <c r="A13" s="202">
        <v>14.99</v>
      </c>
      <c r="B13" s="203">
        <v>21</v>
      </c>
      <c r="C13" s="203">
        <v>15</v>
      </c>
      <c r="D13" s="203">
        <v>96</v>
      </c>
      <c r="E13" s="203">
        <v>62</v>
      </c>
    </row>
    <row r="14" spans="1:5" ht="21.75" customHeight="1" x14ac:dyDescent="0.2">
      <c r="A14" s="202">
        <v>15</v>
      </c>
      <c r="B14" s="203">
        <v>19</v>
      </c>
      <c r="C14" s="203">
        <v>13</v>
      </c>
      <c r="D14" s="203">
        <v>92</v>
      </c>
      <c r="E14" s="203">
        <v>58</v>
      </c>
    </row>
    <row r="15" spans="1:5" ht="21.75" customHeight="1" x14ac:dyDescent="0.2">
      <c r="A15" s="202">
        <v>18</v>
      </c>
      <c r="B15" s="203">
        <v>19</v>
      </c>
      <c r="C15" s="203">
        <v>13</v>
      </c>
      <c r="D15" s="203">
        <v>92</v>
      </c>
      <c r="E15" s="203">
        <v>58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25"/>
  <sheetViews>
    <sheetView zoomScale="90" zoomScaleNormal="90" workbookViewId="0">
      <selection activeCell="A14" activeCellId="1" sqref="S28 A14"/>
    </sheetView>
  </sheetViews>
  <sheetFormatPr defaultColWidth="11.42578125" defaultRowHeight="12.75" x14ac:dyDescent="0.2"/>
  <cols>
    <col min="1" max="3" width="11.42578125" style="3"/>
    <col min="4" max="4" width="16.28515625" customWidth="1"/>
    <col min="5" max="5" width="11.42578125" style="3"/>
  </cols>
  <sheetData>
    <row r="1" spans="1:5" s="159" customFormat="1" x14ac:dyDescent="0.2">
      <c r="A1" s="38" t="str">
        <f>PH_Cases!DF2</f>
        <v>HR</v>
      </c>
      <c r="B1" s="38" t="s">
        <v>416</v>
      </c>
      <c r="C1" s="38" t="s">
        <v>417</v>
      </c>
      <c r="D1" s="159" t="str">
        <f>PH_Cases!EC2</f>
        <v>Report</v>
      </c>
      <c r="E1" s="38" t="s">
        <v>13</v>
      </c>
    </row>
    <row r="2" spans="1:5" x14ac:dyDescent="0.2">
      <c r="A2" s="3">
        <f>PH_Cases!DF7</f>
        <v>92</v>
      </c>
      <c r="B2" s="3">
        <f>PH_Cases!DH7</f>
        <v>91</v>
      </c>
      <c r="C2" s="3">
        <f>PH_Cases!DK7</f>
        <v>20</v>
      </c>
      <c r="D2" t="str">
        <f>PH_Cases!EC7</f>
        <v>Abbas</v>
      </c>
      <c r="E2" s="3">
        <f>PH_Cases!H7</f>
        <v>50</v>
      </c>
    </row>
    <row r="3" spans="1:5" x14ac:dyDescent="0.2">
      <c r="A3" s="3">
        <f>PH_Cases!DF8</f>
        <v>137</v>
      </c>
      <c r="B3" s="3">
        <f>PH_Cases!DH8</f>
        <v>87</v>
      </c>
      <c r="C3" s="3">
        <f>PH_Cases!DK8</f>
        <v>25</v>
      </c>
      <c r="D3" t="str">
        <f>PH_Cases!EC8</f>
        <v>Abe</v>
      </c>
      <c r="E3" s="3">
        <f>PH_Cases!H8</f>
        <v>7</v>
      </c>
    </row>
    <row r="4" spans="1:5" x14ac:dyDescent="0.2">
      <c r="A4" s="3">
        <f>PH_Cases!DF9</f>
        <v>102</v>
      </c>
      <c r="B4" s="3">
        <f>PH_Cases!DH9</f>
        <v>77</v>
      </c>
      <c r="C4" s="3">
        <f>PH_Cases!DK9</f>
        <v>24</v>
      </c>
      <c r="D4" t="str">
        <f>PH_Cases!EC9</f>
        <v>Azar</v>
      </c>
      <c r="E4" s="3">
        <f>PH_Cases!H9</f>
        <v>73</v>
      </c>
    </row>
    <row r="5" spans="1:5" x14ac:dyDescent="0.2">
      <c r="A5" s="3">
        <f>PH_Cases!DF11</f>
        <v>130</v>
      </c>
      <c r="B5" s="3">
        <f>PH_Cases!DH11</f>
        <v>150</v>
      </c>
      <c r="D5" t="str">
        <f>PH_Cases!EC11</f>
        <v>Benhamed</v>
      </c>
      <c r="E5" s="3">
        <f>PH_Cases!H11</f>
        <v>40</v>
      </c>
    </row>
    <row r="6" spans="1:5" x14ac:dyDescent="0.2">
      <c r="B6" s="3">
        <f>PH_Cases!DH13</f>
        <v>108</v>
      </c>
      <c r="D6" t="str">
        <f>PH_Cases!EC13</f>
        <v>Dean/Kim</v>
      </c>
      <c r="E6" s="3">
        <f>PH_Cases!H13</f>
        <v>6</v>
      </c>
    </row>
    <row r="7" spans="1:5" x14ac:dyDescent="0.2">
      <c r="A7" s="3">
        <f>PH_Cases!DF14</f>
        <v>135</v>
      </c>
      <c r="B7" s="3">
        <f>PH_Cases!DH14</f>
        <v>79</v>
      </c>
      <c r="C7" s="3">
        <f>PH_Cases!DK14</f>
        <v>26</v>
      </c>
      <c r="D7" t="str">
        <f>PH_Cases!EC14</f>
        <v>Duvall</v>
      </c>
      <c r="E7" s="3">
        <f>PH_Cases!H14</f>
        <v>9</v>
      </c>
    </row>
    <row r="8" spans="1:5" x14ac:dyDescent="0.2">
      <c r="C8" s="3">
        <f>PH_Cases!DK15</f>
        <v>20</v>
      </c>
      <c r="D8" t="str">
        <f>PH_Cases!EC15</f>
        <v>Ferreira/Cavalcante</v>
      </c>
      <c r="E8" s="3">
        <f>PH_Cases!H15</f>
        <v>51</v>
      </c>
    </row>
    <row r="9" spans="1:5" x14ac:dyDescent="0.2">
      <c r="A9" s="3">
        <f>PH_Cases!DF17</f>
        <v>72</v>
      </c>
      <c r="B9" s="3">
        <f>PH_Cases!DH17</f>
        <v>159</v>
      </c>
      <c r="D9" t="str">
        <f>PH_Cases!EC17</f>
        <v>Gayen</v>
      </c>
      <c r="E9" s="3">
        <f>PH_Cases!H17</f>
        <v>60</v>
      </c>
    </row>
    <row r="10" spans="1:5" x14ac:dyDescent="0.2">
      <c r="B10" s="3">
        <f>PH_Cases!DH18</f>
        <v>115</v>
      </c>
      <c r="D10" t="str">
        <f>PH_Cases!EC18</f>
        <v>Ghulam</v>
      </c>
      <c r="E10" s="3">
        <f>PH_Cases!H18</f>
        <v>66</v>
      </c>
    </row>
    <row r="11" spans="1:5" x14ac:dyDescent="0.2">
      <c r="A11" s="3">
        <f>PH_Cases!DF19</f>
        <v>70</v>
      </c>
      <c r="B11" s="3">
        <f>PH_Cases!DH19</f>
        <v>117</v>
      </c>
      <c r="C11" s="3">
        <f>PH_Cases!DK19</f>
        <v>18</v>
      </c>
      <c r="D11" t="str">
        <f>PH_Cases!EC19</f>
        <v>Gilmore/Al-Qadi</v>
      </c>
      <c r="E11" s="3">
        <f>PH_Cases!H19</f>
        <v>22</v>
      </c>
    </row>
    <row r="12" spans="1:5" x14ac:dyDescent="0.2">
      <c r="A12" s="3">
        <f>PH_Cases!DF20</f>
        <v>135</v>
      </c>
      <c r="B12" s="3">
        <f>PH_Cases!DH20</f>
        <v>105</v>
      </c>
      <c r="C12" s="3">
        <f>PH_Cases!DK20</f>
        <v>36</v>
      </c>
      <c r="D12" t="str">
        <f>PH_Cases!EC20</f>
        <v>Ichiyanagi</v>
      </c>
      <c r="E12" s="3">
        <f>PH_Cases!H20</f>
        <v>3</v>
      </c>
    </row>
    <row r="13" spans="1:5" x14ac:dyDescent="0.2">
      <c r="A13" s="3">
        <f>PH_Cases!DF21</f>
        <v>105</v>
      </c>
      <c r="B13" s="3">
        <f>PH_Cases!DH21</f>
        <v>115</v>
      </c>
      <c r="D13" t="str">
        <f>PH_Cases!EC21</f>
        <v>Kupari</v>
      </c>
      <c r="E13" s="3">
        <f>PH_Cases!H21</f>
        <v>40</v>
      </c>
    </row>
    <row r="14" spans="1:5" x14ac:dyDescent="0.2">
      <c r="A14" s="3">
        <f>PH_Cases!DF22</f>
        <v>140</v>
      </c>
      <c r="B14" s="3">
        <f>PH_Cases!DH22</f>
        <v>131</v>
      </c>
      <c r="D14" t="str">
        <f>PH_Cases!EC22</f>
        <v>Kurnick</v>
      </c>
      <c r="E14" s="3">
        <f>PH_Cases!H22</f>
        <v>25</v>
      </c>
    </row>
    <row r="15" spans="1:5" x14ac:dyDescent="0.2">
      <c r="A15" s="3">
        <f>PH_Cases!DF25</f>
        <v>79</v>
      </c>
      <c r="B15" s="3">
        <f>PH_Cases!DH25</f>
        <v>100</v>
      </c>
      <c r="C15" s="3">
        <f>PH_Cases!DK25</f>
        <v>16</v>
      </c>
      <c r="D15" t="str">
        <f>PH_Cases!EC25</f>
        <v>Nagamatsu/McEvoy</v>
      </c>
      <c r="E15" s="3">
        <f>PH_Cases!H25</f>
        <v>73</v>
      </c>
    </row>
    <row r="16" spans="1:5" x14ac:dyDescent="0.2">
      <c r="A16" s="3">
        <f>PH_Cases!DF26</f>
        <v>140</v>
      </c>
      <c r="B16" s="3">
        <f>PH_Cases!DH26</f>
        <v>86</v>
      </c>
      <c r="C16" s="3">
        <f>PH_Cases!DK26</f>
        <v>40</v>
      </c>
      <c r="D16" t="str">
        <f>PH_Cases!EC26</f>
        <v>Nariai</v>
      </c>
      <c r="E16" s="3">
        <f>PH_Cases!H26</f>
        <v>2</v>
      </c>
    </row>
    <row r="17" spans="1:5" x14ac:dyDescent="0.2">
      <c r="A17" s="3">
        <f>PH_Cases!DF27</f>
        <v>120</v>
      </c>
      <c r="B17" s="3">
        <f>PH_Cases!DH27</f>
        <v>93</v>
      </c>
      <c r="C17" s="3">
        <f>PH_Cases!DK27</f>
        <v>18</v>
      </c>
      <c r="D17" t="str">
        <f>PH_Cases!EC27</f>
        <v>Penn/Marston</v>
      </c>
      <c r="E17" s="3">
        <f>PH_Cases!H27</f>
        <v>48</v>
      </c>
    </row>
    <row r="18" spans="1:5" x14ac:dyDescent="0.2">
      <c r="A18" s="3">
        <f>PH_Cases!DF28</f>
        <v>160</v>
      </c>
      <c r="B18" s="3">
        <f>PH_Cases!DH28</f>
        <v>93</v>
      </c>
      <c r="C18" s="3">
        <f>PH_Cases!DK28</f>
        <v>30</v>
      </c>
      <c r="D18" t="str">
        <f>PH_Cases!EC28</f>
        <v>Petersen</v>
      </c>
      <c r="E18" s="3">
        <f>PH_Cases!H28</f>
        <v>5</v>
      </c>
    </row>
    <row r="19" spans="1:5" x14ac:dyDescent="0.2">
      <c r="A19" s="3">
        <f>PH_Cases!DF29</f>
        <v>138</v>
      </c>
      <c r="B19" s="3">
        <f>PH_Cases!DH29</f>
        <v>118</v>
      </c>
      <c r="C19" s="3">
        <f>PH_Cases!DK29</f>
        <v>28</v>
      </c>
      <c r="D19" t="str">
        <f>PH_Cases!EC29</f>
        <v>Quinn/Moore/Frank</v>
      </c>
      <c r="E19" s="3">
        <f>PH_Cases!H29</f>
        <v>6</v>
      </c>
    </row>
    <row r="20" spans="1:5" x14ac:dyDescent="0.2">
      <c r="A20" s="3">
        <f>PH_Cases!DF32</f>
        <v>130</v>
      </c>
      <c r="B20" s="3">
        <f>PH_Cases!DH32</f>
        <v>107</v>
      </c>
      <c r="C20" s="3">
        <f>PH_Cases!DK32</f>
        <v>48</v>
      </c>
      <c r="D20" t="str">
        <f>PH_Cases!EC32</f>
        <v>Sakamornchai a</v>
      </c>
      <c r="E20" s="3">
        <f>PH_Cases!H32</f>
        <v>6</v>
      </c>
    </row>
    <row r="21" spans="1:5" x14ac:dyDescent="0.2">
      <c r="A21" s="3">
        <f>PH_Cases!DF33</f>
        <v>136</v>
      </c>
      <c r="B21" s="3">
        <f>PH_Cases!DH33</f>
        <v>110</v>
      </c>
      <c r="C21" s="3">
        <f>PH_Cases!DK33</f>
        <v>50</v>
      </c>
      <c r="D21" t="str">
        <f>PH_Cases!EC33</f>
        <v>Sakamornchai b</v>
      </c>
      <c r="E21" s="3">
        <f>PH_Cases!H33</f>
        <v>5</v>
      </c>
    </row>
    <row r="22" spans="1:5" x14ac:dyDescent="0.2">
      <c r="A22" s="3">
        <f>PH_Cases!DF34</f>
        <v>105</v>
      </c>
      <c r="B22" s="3">
        <f>PH_Cases!DH34</f>
        <v>115</v>
      </c>
      <c r="C22" s="3">
        <f>PH_Cases!DK34</f>
        <v>24</v>
      </c>
      <c r="D22" t="str">
        <f>PH_Cases!EC34</f>
        <v>Shah</v>
      </c>
      <c r="E22" s="3">
        <f>PH_Cases!H34</f>
        <v>35</v>
      </c>
    </row>
    <row r="23" spans="1:5" x14ac:dyDescent="0.2">
      <c r="A23" s="3">
        <f>PH_Cases!DF35</f>
        <v>120</v>
      </c>
      <c r="B23" s="3">
        <f>PH_Cases!DH35</f>
        <v>93</v>
      </c>
      <c r="D23" t="str">
        <f>PH_Cases!EC35</f>
        <v>Singh</v>
      </c>
      <c r="E23" s="3">
        <f>PH_Cases!H35</f>
        <v>48</v>
      </c>
    </row>
    <row r="24" spans="1:5" x14ac:dyDescent="0.2">
      <c r="A24" s="3">
        <f>PH_Cases!DF36</f>
        <v>118</v>
      </c>
      <c r="B24" s="3">
        <f>PH_Cases!DH36</f>
        <v>90</v>
      </c>
      <c r="C24" s="3">
        <f>PH_Cases!DK36</f>
        <v>36</v>
      </c>
      <c r="D24" t="str">
        <f>PH_Cases!EC36</f>
        <v>Tan/Leong</v>
      </c>
      <c r="E24" s="3">
        <f>PH_Cases!H36</f>
        <v>7</v>
      </c>
    </row>
    <row r="25" spans="1:5" x14ac:dyDescent="0.2">
      <c r="A25" s="3">
        <f>PH_Cases!DF37</f>
        <v>85</v>
      </c>
      <c r="B25" s="3">
        <f>PH_Cases!DH37</f>
        <v>89</v>
      </c>
      <c r="C25" s="3">
        <f>PH_Cases!DK37</f>
        <v>18</v>
      </c>
      <c r="D25" t="str">
        <f>PH_Cases!EC37</f>
        <v>Ueki</v>
      </c>
      <c r="E25" s="3">
        <f>PH_Cases!H37</f>
        <v>11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4"/>
  <sheetViews>
    <sheetView zoomScale="90" zoomScaleNormal="90" workbookViewId="0">
      <selection activeCell="C4" activeCellId="1" sqref="S28 C4"/>
    </sheetView>
  </sheetViews>
  <sheetFormatPr defaultColWidth="11.5703125" defaultRowHeight="12.75" x14ac:dyDescent="0.2"/>
  <cols>
    <col min="1" max="1" width="11.5703125" style="3"/>
  </cols>
  <sheetData>
    <row r="1" spans="1:3" x14ac:dyDescent="0.2">
      <c r="A1" s="3" t="s">
        <v>411</v>
      </c>
      <c r="B1" s="3" t="s">
        <v>55</v>
      </c>
      <c r="C1" s="3" t="s">
        <v>56</v>
      </c>
    </row>
    <row r="2" spans="1:3" x14ac:dyDescent="0.2">
      <c r="A2" s="3">
        <v>0</v>
      </c>
      <c r="B2" s="56">
        <v>100</v>
      </c>
      <c r="C2" s="56">
        <f>0.61*B2 +2</f>
        <v>63</v>
      </c>
    </row>
    <row r="3" spans="1:3" x14ac:dyDescent="0.2">
      <c r="A3" s="3">
        <v>2</v>
      </c>
      <c r="B3" s="56">
        <v>70</v>
      </c>
      <c r="C3" s="56">
        <f>0.61*B3 +2</f>
        <v>44.699999999999996</v>
      </c>
    </row>
    <row r="4" spans="1:3" x14ac:dyDescent="0.2">
      <c r="A4" s="3">
        <v>7</v>
      </c>
      <c r="B4" s="56">
        <v>28</v>
      </c>
      <c r="C4" s="56">
        <f>0.61*B4 +2</f>
        <v>19.079999999999998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4"/>
  <sheetViews>
    <sheetView zoomScale="90" zoomScaleNormal="90" workbookViewId="0">
      <selection activeCell="C3" activeCellId="1" sqref="S28 C3"/>
    </sheetView>
  </sheetViews>
  <sheetFormatPr defaultColWidth="11.5703125" defaultRowHeight="12.75" x14ac:dyDescent="0.2"/>
  <cols>
    <col min="1" max="2" width="11.5703125" style="3"/>
  </cols>
  <sheetData>
    <row r="1" spans="1:4" x14ac:dyDescent="0.2">
      <c r="A1" s="3" t="s">
        <v>411</v>
      </c>
      <c r="B1" s="3" t="s">
        <v>418</v>
      </c>
      <c r="C1" s="3" t="s">
        <v>55</v>
      </c>
      <c r="D1" s="3" t="s">
        <v>56</v>
      </c>
    </row>
    <row r="2" spans="1:4" x14ac:dyDescent="0.2">
      <c r="A2" s="3">
        <v>0</v>
      </c>
      <c r="B2" s="3">
        <v>4.2</v>
      </c>
      <c r="C2" s="56">
        <f>4*B2^2 +10</f>
        <v>80.56</v>
      </c>
      <c r="D2" s="56">
        <f>0.61*C2 +2</f>
        <v>51.141599999999997</v>
      </c>
    </row>
    <row r="3" spans="1:4" x14ac:dyDescent="0.2">
      <c r="A3" s="3">
        <v>1</v>
      </c>
      <c r="B3" s="3">
        <v>3.1</v>
      </c>
      <c r="C3" s="56">
        <f>4*B3^2 +10</f>
        <v>48.440000000000005</v>
      </c>
      <c r="D3" s="56">
        <f>0.61*C3 +2</f>
        <v>31.548400000000001</v>
      </c>
    </row>
    <row r="4" spans="1:4" x14ac:dyDescent="0.2">
      <c r="A4" s="3">
        <v>6</v>
      </c>
      <c r="B4" s="3">
        <v>2.4</v>
      </c>
      <c r="C4" s="56">
        <f>4*B4^2 +10</f>
        <v>33.04</v>
      </c>
      <c r="D4" s="56">
        <f>0.61*C4 +2</f>
        <v>22.154399999999999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9"/>
  <sheetViews>
    <sheetView zoomScale="90" zoomScaleNormal="90" workbookViewId="0">
      <selection activeCell="C3" activeCellId="1" sqref="S28 C3"/>
    </sheetView>
  </sheetViews>
  <sheetFormatPr defaultColWidth="11.5703125" defaultRowHeight="12.75" x14ac:dyDescent="0.2"/>
  <cols>
    <col min="1" max="2" width="11.5703125" style="3"/>
    <col min="4" max="5" width="11.5703125" style="3"/>
  </cols>
  <sheetData>
    <row r="1" spans="1:3" x14ac:dyDescent="0.2">
      <c r="A1" s="3" t="s">
        <v>411</v>
      </c>
      <c r="B1" s="3" t="s">
        <v>55</v>
      </c>
      <c r="C1" s="3" t="s">
        <v>56</v>
      </c>
    </row>
    <row r="2" spans="1:3" x14ac:dyDescent="0.2">
      <c r="A2" s="3">
        <v>-9</v>
      </c>
      <c r="B2" s="3">
        <v>97</v>
      </c>
      <c r="C2" s="56">
        <f>0.61*B2 +2</f>
        <v>61.17</v>
      </c>
    </row>
    <row r="3" spans="1:3" x14ac:dyDescent="0.2">
      <c r="A3" s="3">
        <v>-3</v>
      </c>
      <c r="B3" s="3">
        <v>46</v>
      </c>
      <c r="C3" s="56">
        <f>0.61*B3 +2</f>
        <v>30.06</v>
      </c>
    </row>
    <row r="4" spans="1:3" x14ac:dyDescent="0.2">
      <c r="A4" s="3">
        <v>0</v>
      </c>
      <c r="B4" s="3">
        <v>80</v>
      </c>
      <c r="C4" s="56">
        <f>0.61*B4 +2</f>
        <v>50.8</v>
      </c>
    </row>
    <row r="5" spans="1:3" x14ac:dyDescent="0.2">
      <c r="A5" s="3">
        <v>0.5</v>
      </c>
      <c r="B5" s="3">
        <v>31</v>
      </c>
      <c r="C5" s="56">
        <f>0.61*B5 +2</f>
        <v>20.91</v>
      </c>
    </row>
    <row r="6" spans="1:3" x14ac:dyDescent="0.2">
      <c r="A6" s="3">
        <v>12</v>
      </c>
      <c r="B6" s="3">
        <v>28</v>
      </c>
      <c r="C6" s="56">
        <f>0.61*B6 +2</f>
        <v>19.079999999999998</v>
      </c>
    </row>
    <row r="7" spans="1:3" x14ac:dyDescent="0.2">
      <c r="C7" s="56"/>
    </row>
    <row r="8" spans="1:3" x14ac:dyDescent="0.2">
      <c r="C8" s="56"/>
    </row>
    <row r="9" spans="1:3" x14ac:dyDescent="0.2">
      <c r="C9" s="56"/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22"/>
  <sheetViews>
    <sheetView zoomScale="90" zoomScaleNormal="90" workbookViewId="0">
      <selection activeCell="E38" activeCellId="1" sqref="S28 E38"/>
    </sheetView>
  </sheetViews>
  <sheetFormatPr defaultColWidth="11.5703125" defaultRowHeight="12.75" x14ac:dyDescent="0.2"/>
  <cols>
    <col min="1" max="2" width="11.5703125" style="3"/>
    <col min="3" max="4" width="11.5703125" style="50"/>
    <col min="8" max="8" width="11.5703125" style="3"/>
  </cols>
  <sheetData>
    <row r="1" spans="1:8" x14ac:dyDescent="0.2">
      <c r="A1" s="3" t="s">
        <v>419</v>
      </c>
      <c r="B1" s="3" t="s">
        <v>411</v>
      </c>
      <c r="C1" s="50" t="s">
        <v>418</v>
      </c>
      <c r="D1" s="50" t="s">
        <v>420</v>
      </c>
      <c r="E1" s="3" t="s">
        <v>55</v>
      </c>
      <c r="F1" s="3" t="s">
        <v>316</v>
      </c>
      <c r="G1" s="3" t="s">
        <v>56</v>
      </c>
      <c r="H1" s="3" t="s">
        <v>421</v>
      </c>
    </row>
    <row r="2" spans="1:8" x14ac:dyDescent="0.2">
      <c r="A2" s="3">
        <v>1</v>
      </c>
      <c r="B2" s="3">
        <f t="shared" ref="B2:B22" si="0">A2-21</f>
        <v>-20</v>
      </c>
      <c r="C2" s="50">
        <v>2.6</v>
      </c>
      <c r="D2" s="204">
        <v>27</v>
      </c>
      <c r="E2" s="56">
        <f>4*C2^2 +10</f>
        <v>37.040000000000006</v>
      </c>
      <c r="F2" s="56">
        <f>E2-D2</f>
        <v>10.040000000000006</v>
      </c>
      <c r="G2" s="56">
        <f>0.61*E2 +2</f>
        <v>24.594400000000004</v>
      </c>
    </row>
    <row r="3" spans="1:8" x14ac:dyDescent="0.2">
      <c r="A3" s="3">
        <v>3</v>
      </c>
      <c r="B3" s="3">
        <f t="shared" si="0"/>
        <v>-18</v>
      </c>
      <c r="C3" s="50">
        <v>3.4</v>
      </c>
      <c r="D3" s="204">
        <v>46</v>
      </c>
      <c r="E3" s="56">
        <f>4*C3^2 +10</f>
        <v>56.239999999999995</v>
      </c>
      <c r="F3" s="56">
        <f>E3-D3</f>
        <v>10.239999999999995</v>
      </c>
      <c r="G3" s="56">
        <f>0.61*E3 +2</f>
        <v>36.306399999999996</v>
      </c>
    </row>
    <row r="4" spans="1:8" x14ac:dyDescent="0.2">
      <c r="A4" s="3">
        <v>5</v>
      </c>
      <c r="B4" s="3">
        <f t="shared" si="0"/>
        <v>-16</v>
      </c>
      <c r="C4" s="50">
        <v>4.0999999999999996</v>
      </c>
      <c r="D4" s="204">
        <v>67</v>
      </c>
      <c r="E4" s="56">
        <f>4*C4^2 +10</f>
        <v>77.239999999999995</v>
      </c>
      <c r="F4" s="56">
        <f>E4-D4</f>
        <v>10.239999999999995</v>
      </c>
      <c r="G4" s="56">
        <f>0.61*E4 +2</f>
        <v>49.116399999999999</v>
      </c>
    </row>
    <row r="5" spans="1:8" x14ac:dyDescent="0.2">
      <c r="A5" s="3">
        <v>6</v>
      </c>
      <c r="B5" s="3">
        <f t="shared" si="0"/>
        <v>-15</v>
      </c>
      <c r="C5" s="50">
        <v>3.7</v>
      </c>
      <c r="D5" s="204">
        <v>56</v>
      </c>
      <c r="E5" s="56">
        <f>4*C5^2 +10</f>
        <v>64.760000000000005</v>
      </c>
      <c r="F5" s="56">
        <f>E5-D5</f>
        <v>8.7600000000000051</v>
      </c>
      <c r="G5" s="56">
        <f>0.61*E5 +2</f>
        <v>41.503599999999999</v>
      </c>
      <c r="H5" s="3">
        <v>13</v>
      </c>
    </row>
    <row r="6" spans="1:8" x14ac:dyDescent="0.2">
      <c r="A6" s="3">
        <v>7</v>
      </c>
      <c r="B6" s="3">
        <f t="shared" si="0"/>
        <v>-14</v>
      </c>
      <c r="D6" s="204"/>
      <c r="E6" s="56"/>
      <c r="F6" s="56"/>
      <c r="G6" s="56"/>
    </row>
    <row r="7" spans="1:8" x14ac:dyDescent="0.2">
      <c r="A7" s="3">
        <v>11</v>
      </c>
      <c r="B7" s="3">
        <f t="shared" si="0"/>
        <v>-10</v>
      </c>
      <c r="C7" s="50">
        <v>4.9000000000000004</v>
      </c>
      <c r="D7" s="204">
        <v>97</v>
      </c>
      <c r="E7" s="56">
        <f t="shared" ref="E7:E16" si="1">4*C7^2 +10</f>
        <v>106.04000000000002</v>
      </c>
      <c r="F7" s="56">
        <f t="shared" ref="F7:F16" si="2">E7-D7</f>
        <v>9.0400000000000205</v>
      </c>
      <c r="G7" s="56">
        <f t="shared" ref="G7:G16" si="3">0.61*E7 +2</f>
        <v>66.684400000000011</v>
      </c>
    </row>
    <row r="8" spans="1:8" x14ac:dyDescent="0.2">
      <c r="A8" s="3">
        <v>12</v>
      </c>
      <c r="B8" s="3">
        <f t="shared" si="0"/>
        <v>-9</v>
      </c>
      <c r="C8" s="50">
        <v>4.7</v>
      </c>
      <c r="D8" s="204">
        <v>87</v>
      </c>
      <c r="E8" s="56">
        <f t="shared" si="1"/>
        <v>98.360000000000014</v>
      </c>
      <c r="F8" s="56">
        <f t="shared" si="2"/>
        <v>11.360000000000014</v>
      </c>
      <c r="G8" s="56">
        <f t="shared" si="3"/>
        <v>61.999600000000008</v>
      </c>
    </row>
    <row r="9" spans="1:8" x14ac:dyDescent="0.2">
      <c r="A9" s="3">
        <v>14</v>
      </c>
      <c r="B9" s="3">
        <f t="shared" si="0"/>
        <v>-7</v>
      </c>
      <c r="C9" s="50">
        <v>4.4000000000000004</v>
      </c>
      <c r="D9" s="204">
        <v>77</v>
      </c>
      <c r="E9" s="56">
        <f t="shared" si="1"/>
        <v>87.440000000000012</v>
      </c>
      <c r="F9" s="56">
        <f t="shared" si="2"/>
        <v>10.440000000000012</v>
      </c>
      <c r="G9" s="56">
        <f t="shared" si="3"/>
        <v>55.338400000000007</v>
      </c>
    </row>
    <row r="10" spans="1:8" x14ac:dyDescent="0.2">
      <c r="A10" s="3">
        <v>15</v>
      </c>
      <c r="B10" s="3">
        <f t="shared" si="0"/>
        <v>-6</v>
      </c>
      <c r="C10" s="50">
        <v>3.7</v>
      </c>
      <c r="D10" s="204">
        <v>56</v>
      </c>
      <c r="E10" s="56">
        <f t="shared" si="1"/>
        <v>64.760000000000005</v>
      </c>
      <c r="F10" s="56">
        <f t="shared" si="2"/>
        <v>8.7600000000000051</v>
      </c>
      <c r="G10" s="56">
        <f t="shared" si="3"/>
        <v>41.503599999999999</v>
      </c>
    </row>
    <row r="11" spans="1:8" x14ac:dyDescent="0.2">
      <c r="A11" s="3">
        <v>18</v>
      </c>
      <c r="B11" s="3">
        <f t="shared" si="0"/>
        <v>-3</v>
      </c>
      <c r="C11" s="50">
        <v>4.9000000000000004</v>
      </c>
      <c r="D11" s="204">
        <v>97</v>
      </c>
      <c r="E11" s="56">
        <f t="shared" si="1"/>
        <v>106.04000000000002</v>
      </c>
      <c r="F11" s="56">
        <f t="shared" si="2"/>
        <v>9.0400000000000205</v>
      </c>
      <c r="G11" s="56">
        <f t="shared" si="3"/>
        <v>66.684400000000011</v>
      </c>
    </row>
    <row r="12" spans="1:8" x14ac:dyDescent="0.2">
      <c r="A12" s="3">
        <v>20</v>
      </c>
      <c r="B12" s="3">
        <f t="shared" si="0"/>
        <v>-1</v>
      </c>
      <c r="C12" s="50">
        <v>3.8</v>
      </c>
      <c r="D12" s="204">
        <v>58</v>
      </c>
      <c r="E12" s="56">
        <f t="shared" si="1"/>
        <v>67.759999999999991</v>
      </c>
      <c r="F12" s="56">
        <f t="shared" si="2"/>
        <v>9.7599999999999909</v>
      </c>
      <c r="G12" s="56">
        <f t="shared" si="3"/>
        <v>43.333599999999997</v>
      </c>
    </row>
    <row r="13" spans="1:8" x14ac:dyDescent="0.2">
      <c r="A13" s="3">
        <v>21</v>
      </c>
      <c r="B13" s="3">
        <f t="shared" si="0"/>
        <v>0</v>
      </c>
      <c r="C13" s="50">
        <v>4</v>
      </c>
      <c r="D13" s="204">
        <v>64</v>
      </c>
      <c r="E13" s="56">
        <f t="shared" si="1"/>
        <v>74</v>
      </c>
      <c r="F13" s="56">
        <f t="shared" si="2"/>
        <v>10</v>
      </c>
      <c r="G13" s="56">
        <f t="shared" si="3"/>
        <v>47.14</v>
      </c>
    </row>
    <row r="14" spans="1:8" x14ac:dyDescent="0.2">
      <c r="A14" s="3">
        <v>22</v>
      </c>
      <c r="B14" s="3">
        <f t="shared" si="0"/>
        <v>1</v>
      </c>
      <c r="C14" s="50">
        <v>2.4</v>
      </c>
      <c r="D14" s="204">
        <v>22</v>
      </c>
      <c r="E14" s="56">
        <f t="shared" si="1"/>
        <v>33.04</v>
      </c>
      <c r="F14" s="56">
        <f t="shared" si="2"/>
        <v>11.04</v>
      </c>
      <c r="G14" s="56">
        <f t="shared" si="3"/>
        <v>22.154399999999999</v>
      </c>
    </row>
    <row r="15" spans="1:8" x14ac:dyDescent="0.2">
      <c r="A15" s="3">
        <v>23</v>
      </c>
      <c r="B15" s="3">
        <f t="shared" si="0"/>
        <v>2</v>
      </c>
      <c r="C15" s="50">
        <v>2.1</v>
      </c>
      <c r="D15" s="204">
        <v>18</v>
      </c>
      <c r="E15" s="56">
        <f t="shared" si="1"/>
        <v>27.64</v>
      </c>
      <c r="F15" s="56">
        <f t="shared" si="2"/>
        <v>9.64</v>
      </c>
      <c r="G15" s="56">
        <f t="shared" si="3"/>
        <v>18.860399999999998</v>
      </c>
      <c r="H15" s="3">
        <v>16.100000000000001</v>
      </c>
    </row>
    <row r="16" spans="1:8" x14ac:dyDescent="0.2">
      <c r="A16" s="3">
        <v>25</v>
      </c>
      <c r="B16" s="3">
        <f t="shared" si="0"/>
        <v>4</v>
      </c>
      <c r="C16" s="50">
        <v>2.4</v>
      </c>
      <c r="D16" s="204">
        <v>24</v>
      </c>
      <c r="E16" s="56">
        <f t="shared" si="1"/>
        <v>33.04</v>
      </c>
      <c r="F16" s="56">
        <f t="shared" si="2"/>
        <v>9.0399999999999991</v>
      </c>
      <c r="G16" s="56">
        <f t="shared" si="3"/>
        <v>22.154399999999999</v>
      </c>
    </row>
    <row r="17" spans="1:8" x14ac:dyDescent="0.2">
      <c r="A17" s="3">
        <v>34</v>
      </c>
      <c r="B17" s="3">
        <f t="shared" si="0"/>
        <v>13</v>
      </c>
      <c r="D17" s="204"/>
      <c r="E17" s="56"/>
      <c r="F17" s="56"/>
      <c r="G17" s="56"/>
      <c r="H17" s="3">
        <v>19.8</v>
      </c>
    </row>
    <row r="18" spans="1:8" x14ac:dyDescent="0.2">
      <c r="A18" s="3">
        <v>41</v>
      </c>
      <c r="B18" s="3">
        <f t="shared" si="0"/>
        <v>20</v>
      </c>
      <c r="D18" s="204"/>
      <c r="E18" s="56"/>
      <c r="F18" s="56"/>
      <c r="G18" s="56"/>
      <c r="H18" s="3">
        <v>17.3</v>
      </c>
    </row>
    <row r="19" spans="1:8" x14ac:dyDescent="0.2">
      <c r="A19" s="3">
        <v>49</v>
      </c>
      <c r="B19" s="3">
        <f t="shared" si="0"/>
        <v>28</v>
      </c>
      <c r="C19" s="50">
        <v>2.2999999999999998</v>
      </c>
      <c r="D19" s="204">
        <v>21</v>
      </c>
      <c r="E19" s="56">
        <f>4*C19^2 +10</f>
        <v>31.159999999999997</v>
      </c>
      <c r="F19" s="56">
        <f>E19-D19</f>
        <v>10.159999999999997</v>
      </c>
      <c r="G19" s="56">
        <f>0.61*E19 +2</f>
        <v>21.007599999999996</v>
      </c>
    </row>
    <row r="20" spans="1:8" x14ac:dyDescent="0.2">
      <c r="A20" s="3">
        <v>57</v>
      </c>
      <c r="B20" s="3">
        <f t="shared" si="0"/>
        <v>36</v>
      </c>
      <c r="C20" s="50">
        <v>2.6</v>
      </c>
      <c r="D20" s="204">
        <v>27</v>
      </c>
      <c r="E20" s="56">
        <f>4*C20^2 +10</f>
        <v>37.040000000000006</v>
      </c>
      <c r="F20" s="56">
        <f>E20-D20</f>
        <v>10.040000000000006</v>
      </c>
      <c r="G20" s="56">
        <f>0.61*E20 +2</f>
        <v>24.594400000000004</v>
      </c>
    </row>
    <row r="21" spans="1:8" x14ac:dyDescent="0.2">
      <c r="A21" s="3">
        <v>63</v>
      </c>
      <c r="B21" s="3">
        <f t="shared" si="0"/>
        <v>42</v>
      </c>
      <c r="C21" s="50">
        <v>2.4</v>
      </c>
      <c r="D21" s="204">
        <v>23</v>
      </c>
      <c r="E21" s="56">
        <f>4*C21^2 +10</f>
        <v>33.04</v>
      </c>
      <c r="F21" s="56">
        <f>E21-D21</f>
        <v>10.039999999999999</v>
      </c>
      <c r="G21" s="56">
        <f>0.61*E21 +2</f>
        <v>22.154399999999999</v>
      </c>
      <c r="H21" s="3">
        <v>17.3</v>
      </c>
    </row>
    <row r="22" spans="1:8" x14ac:dyDescent="0.2">
      <c r="A22" s="3">
        <v>67</v>
      </c>
      <c r="B22" s="3">
        <f t="shared" si="0"/>
        <v>46</v>
      </c>
      <c r="C22" s="50">
        <v>2</v>
      </c>
      <c r="D22" s="204">
        <v>17</v>
      </c>
      <c r="E22" s="56">
        <f>4*C22^2 +10</f>
        <v>26</v>
      </c>
      <c r="F22" s="56">
        <f>E22-D22</f>
        <v>9</v>
      </c>
      <c r="G22" s="56">
        <f>0.61*E22 +2</f>
        <v>17.86</v>
      </c>
      <c r="H22" s="3">
        <v>17.5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19"/>
  <sheetViews>
    <sheetView zoomScale="90" zoomScaleNormal="90" workbookViewId="0">
      <selection activeCellId="1" sqref="S28 A1"/>
    </sheetView>
  </sheetViews>
  <sheetFormatPr defaultColWidth="11.5703125" defaultRowHeight="12.75" x14ac:dyDescent="0.2"/>
  <cols>
    <col min="1" max="1" width="15.42578125" style="3" customWidth="1"/>
    <col min="2" max="2" width="15.42578125" customWidth="1"/>
  </cols>
  <sheetData>
    <row r="1" spans="1:4" ht="21" customHeight="1" x14ac:dyDescent="0.2">
      <c r="A1" s="3" t="str">
        <f>Ichiyanagi!B1</f>
        <v>Time</v>
      </c>
      <c r="B1" s="3" t="str">
        <f>Ichiyanagi!G1</f>
        <v>mPAP</v>
      </c>
      <c r="C1" s="3"/>
      <c r="D1" s="3"/>
    </row>
    <row r="2" spans="1:4" ht="21" customHeight="1" x14ac:dyDescent="0.2">
      <c r="A2" s="3">
        <f>Ichiyanagi!B2</f>
        <v>-20</v>
      </c>
      <c r="B2" s="50">
        <f>Ichiyanagi!G2</f>
        <v>24.594400000000004</v>
      </c>
      <c r="C2" s="3"/>
      <c r="D2" s="3"/>
    </row>
    <row r="3" spans="1:4" ht="21" customHeight="1" x14ac:dyDescent="0.2">
      <c r="A3" s="3">
        <f>Ichiyanagi!B3</f>
        <v>-18</v>
      </c>
      <c r="B3" s="50">
        <f>Ichiyanagi!G3</f>
        <v>36.306399999999996</v>
      </c>
      <c r="C3" s="3"/>
      <c r="D3" s="3"/>
    </row>
    <row r="4" spans="1:4" ht="21" customHeight="1" x14ac:dyDescent="0.2">
      <c r="A4" s="3">
        <f>Ichiyanagi!B4</f>
        <v>-16</v>
      </c>
      <c r="B4" s="50">
        <f>Ichiyanagi!G4</f>
        <v>49.116399999999999</v>
      </c>
      <c r="C4" s="3"/>
      <c r="D4" s="3"/>
    </row>
    <row r="5" spans="1:4" ht="21" customHeight="1" x14ac:dyDescent="0.2">
      <c r="A5" s="3">
        <f>Ichiyanagi!B5</f>
        <v>-15</v>
      </c>
      <c r="B5" s="50">
        <f>Ichiyanagi!G5</f>
        <v>41.503599999999999</v>
      </c>
      <c r="C5" s="3"/>
      <c r="D5" s="3"/>
    </row>
    <row r="6" spans="1:4" ht="21" customHeight="1" x14ac:dyDescent="0.2">
      <c r="A6" s="3">
        <f>Ichiyanagi!B7</f>
        <v>-10</v>
      </c>
      <c r="B6" s="50">
        <f>Ichiyanagi!G7</f>
        <v>66.684400000000011</v>
      </c>
      <c r="C6" s="3"/>
      <c r="D6" s="3"/>
    </row>
    <row r="7" spans="1:4" ht="21" customHeight="1" x14ac:dyDescent="0.2">
      <c r="A7" s="3">
        <f>Ichiyanagi!B8</f>
        <v>-9</v>
      </c>
      <c r="B7" s="50">
        <f>Ichiyanagi!G8</f>
        <v>61.999600000000008</v>
      </c>
      <c r="C7" s="3"/>
      <c r="D7" s="3"/>
    </row>
    <row r="8" spans="1:4" ht="21" customHeight="1" x14ac:dyDescent="0.2">
      <c r="A8" s="3">
        <f>Ichiyanagi!B9</f>
        <v>-7</v>
      </c>
      <c r="B8" s="50">
        <f>Ichiyanagi!G9</f>
        <v>55.338400000000007</v>
      </c>
      <c r="C8" s="3"/>
      <c r="D8" s="3"/>
    </row>
    <row r="9" spans="1:4" ht="21" customHeight="1" x14ac:dyDescent="0.2">
      <c r="A9" s="3">
        <f>Ichiyanagi!B10</f>
        <v>-6</v>
      </c>
      <c r="B9" s="50">
        <f>Ichiyanagi!G10</f>
        <v>41.503599999999999</v>
      </c>
      <c r="C9" s="3"/>
      <c r="D9" s="3"/>
    </row>
    <row r="10" spans="1:4" ht="21" customHeight="1" x14ac:dyDescent="0.2">
      <c r="A10" s="3">
        <f>Ichiyanagi!B11</f>
        <v>-3</v>
      </c>
      <c r="B10" s="50">
        <f>Ichiyanagi!G11</f>
        <v>66.684400000000011</v>
      </c>
      <c r="C10" s="3"/>
      <c r="D10" s="3"/>
    </row>
    <row r="11" spans="1:4" ht="21" customHeight="1" x14ac:dyDescent="0.2">
      <c r="A11" s="3">
        <f>Ichiyanagi!B12</f>
        <v>-1</v>
      </c>
      <c r="B11" s="50">
        <f>Ichiyanagi!G12</f>
        <v>43.333599999999997</v>
      </c>
      <c r="C11" s="3"/>
      <c r="D11" s="3"/>
    </row>
    <row r="12" spans="1:4" ht="21" customHeight="1" x14ac:dyDescent="0.2">
      <c r="A12" s="3">
        <f>Ichiyanagi!B13</f>
        <v>0</v>
      </c>
      <c r="B12" s="50">
        <f>Ichiyanagi!G13</f>
        <v>47.14</v>
      </c>
      <c r="C12" s="3"/>
      <c r="D12" s="3"/>
    </row>
    <row r="13" spans="1:4" ht="21" customHeight="1" x14ac:dyDescent="0.2">
      <c r="A13" s="3">
        <f>Ichiyanagi!B14</f>
        <v>1</v>
      </c>
      <c r="B13" s="50">
        <f>Ichiyanagi!G14</f>
        <v>22.154399999999999</v>
      </c>
      <c r="C13" s="3"/>
      <c r="D13" s="3"/>
    </row>
    <row r="14" spans="1:4" ht="21" customHeight="1" x14ac:dyDescent="0.2">
      <c r="A14" s="3">
        <f>Ichiyanagi!B15</f>
        <v>2</v>
      </c>
      <c r="B14" s="50">
        <f>Ichiyanagi!G15</f>
        <v>18.860399999999998</v>
      </c>
      <c r="C14" s="3"/>
      <c r="D14" s="3"/>
    </row>
    <row r="15" spans="1:4" ht="21" customHeight="1" x14ac:dyDescent="0.2">
      <c r="A15" s="3">
        <f>Ichiyanagi!B16</f>
        <v>4</v>
      </c>
      <c r="B15" s="50">
        <f>Ichiyanagi!G16</f>
        <v>22.154399999999999</v>
      </c>
      <c r="C15" s="3"/>
      <c r="D15" s="3"/>
    </row>
    <row r="16" spans="1:4" ht="21" customHeight="1" x14ac:dyDescent="0.2">
      <c r="A16" s="3">
        <f>Ichiyanagi!B19</f>
        <v>28</v>
      </c>
      <c r="B16" s="50">
        <f>Ichiyanagi!G19</f>
        <v>21.007599999999996</v>
      </c>
      <c r="C16" s="3"/>
      <c r="D16" s="3"/>
    </row>
    <row r="17" spans="1:4" ht="21" customHeight="1" x14ac:dyDescent="0.2">
      <c r="A17" s="3">
        <f>Ichiyanagi!B20</f>
        <v>36</v>
      </c>
      <c r="B17" s="50">
        <f>Ichiyanagi!G20</f>
        <v>24.594400000000004</v>
      </c>
      <c r="C17" s="3"/>
      <c r="D17" s="3"/>
    </row>
    <row r="18" spans="1:4" ht="21" customHeight="1" x14ac:dyDescent="0.2">
      <c r="A18" s="3">
        <f>Ichiyanagi!B21</f>
        <v>42</v>
      </c>
      <c r="B18" s="50">
        <f>Ichiyanagi!G21</f>
        <v>22.154399999999999</v>
      </c>
      <c r="C18" s="3"/>
      <c r="D18" s="3"/>
    </row>
    <row r="19" spans="1:4" ht="21" customHeight="1" x14ac:dyDescent="0.2">
      <c r="A19" s="3">
        <f>Ichiyanagi!B22</f>
        <v>46</v>
      </c>
      <c r="B19" s="50">
        <f>Ichiyanagi!G22</f>
        <v>17.86</v>
      </c>
      <c r="C19" s="3"/>
      <c r="D19" s="3"/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6"/>
  <sheetViews>
    <sheetView zoomScale="90" zoomScaleNormal="90" workbookViewId="0">
      <selection activeCell="A2" activeCellId="1" sqref="S28 A2"/>
    </sheetView>
  </sheetViews>
  <sheetFormatPr defaultColWidth="11.5703125" defaultRowHeight="12.75" x14ac:dyDescent="0.2"/>
  <cols>
    <col min="1" max="1" width="15" style="3" customWidth="1"/>
    <col min="2" max="2" width="15" customWidth="1"/>
    <col min="3" max="3" width="15" style="3" customWidth="1"/>
  </cols>
  <sheetData>
    <row r="1" spans="1:3" ht="24.75" customHeight="1" x14ac:dyDescent="0.2">
      <c r="A1" s="3" t="str">
        <f>Ichiyanagi!B1</f>
        <v>Time</v>
      </c>
      <c r="B1" s="3" t="str">
        <f>Ichiyanagi!H1</f>
        <v>TAPSE</v>
      </c>
      <c r="C1" s="3" t="s">
        <v>422</v>
      </c>
    </row>
    <row r="2" spans="1:3" ht="24.75" customHeight="1" x14ac:dyDescent="0.2">
      <c r="A2" s="3">
        <f>Ichiyanagi!B15</f>
        <v>2</v>
      </c>
      <c r="B2" s="3">
        <f>Ichiyanagi!H15</f>
        <v>16.100000000000001</v>
      </c>
      <c r="C2" s="3">
        <f>6*(B2-10)</f>
        <v>36.600000000000009</v>
      </c>
    </row>
    <row r="3" spans="1:3" ht="24.75" customHeight="1" x14ac:dyDescent="0.2">
      <c r="A3" s="3">
        <f>Ichiyanagi!B17</f>
        <v>13</v>
      </c>
      <c r="B3" s="3">
        <f>Ichiyanagi!H17</f>
        <v>19.8</v>
      </c>
      <c r="C3" s="3">
        <f>6*(B3-10)</f>
        <v>58.800000000000004</v>
      </c>
    </row>
    <row r="4" spans="1:3" ht="24.75" customHeight="1" x14ac:dyDescent="0.2">
      <c r="A4" s="3">
        <f>Ichiyanagi!B18</f>
        <v>20</v>
      </c>
      <c r="B4" s="3">
        <f>Ichiyanagi!H18</f>
        <v>17.3</v>
      </c>
      <c r="C4" s="3">
        <f>6*(B4-10)</f>
        <v>43.800000000000004</v>
      </c>
    </row>
    <row r="5" spans="1:3" ht="24.75" customHeight="1" x14ac:dyDescent="0.2">
      <c r="A5" s="3">
        <f>Ichiyanagi!B21</f>
        <v>42</v>
      </c>
      <c r="B5" s="3">
        <f>Ichiyanagi!H21</f>
        <v>17.3</v>
      </c>
      <c r="C5" s="3">
        <f>6*(B5-10)</f>
        <v>43.800000000000004</v>
      </c>
    </row>
    <row r="6" spans="1:3" ht="24.75" customHeight="1" x14ac:dyDescent="0.2">
      <c r="A6" s="3">
        <f>Ichiyanagi!B22</f>
        <v>46</v>
      </c>
      <c r="B6" s="3">
        <f>Ichiyanagi!H22</f>
        <v>17.5</v>
      </c>
      <c r="C6" s="3">
        <f>6*(B6-10)</f>
        <v>45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7"/>
  <sheetViews>
    <sheetView zoomScaleNormal="100" workbookViewId="0">
      <selection activeCell="K13" activeCellId="1" sqref="S28 K13"/>
    </sheetView>
  </sheetViews>
  <sheetFormatPr defaultColWidth="8.7109375" defaultRowHeight="12.75" x14ac:dyDescent="0.2"/>
  <sheetData>
    <row r="1" spans="1:3" x14ac:dyDescent="0.2">
      <c r="A1" s="3" t="str">
        <f>Ichiyanagi!B1</f>
        <v>Time</v>
      </c>
      <c r="B1" s="3" t="str">
        <f>Ichiyanagi!H1</f>
        <v>TAPSE</v>
      </c>
      <c r="C1" s="3" t="s">
        <v>422</v>
      </c>
    </row>
    <row r="2" spans="1:3" x14ac:dyDescent="0.2">
      <c r="A2" s="3">
        <f>Ichiyanagi!B5</f>
        <v>-15</v>
      </c>
      <c r="B2" s="3">
        <f>Ichiyanagi!H5</f>
        <v>13</v>
      </c>
      <c r="C2" s="3">
        <f>6*(B2-10)</f>
        <v>18</v>
      </c>
    </row>
    <row r="3" spans="1:3" x14ac:dyDescent="0.2">
      <c r="A3" s="3"/>
      <c r="B3" s="3"/>
      <c r="C3" s="3"/>
    </row>
    <row r="4" spans="1:3" x14ac:dyDescent="0.2">
      <c r="A4" s="3"/>
      <c r="B4" s="3"/>
      <c r="C4" s="3"/>
    </row>
    <row r="5" spans="1:3" x14ac:dyDescent="0.2">
      <c r="A5" s="3"/>
      <c r="B5" s="3"/>
      <c r="C5" s="3"/>
    </row>
    <row r="6" spans="1:3" x14ac:dyDescent="0.2">
      <c r="A6" s="3"/>
      <c r="B6" s="3"/>
      <c r="C6" s="3"/>
    </row>
    <row r="7" spans="1:3" x14ac:dyDescent="0.2">
      <c r="A7" s="3"/>
      <c r="B7" s="3"/>
      <c r="C7" s="3"/>
    </row>
  </sheetData>
  <pageMargins left="0.7" right="0.7" top="0.75" bottom="0.75" header="0.511811023622047" footer="0.511811023622047"/>
  <pageSetup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opLeftCell="A8" zoomScale="120" zoomScaleNormal="120" workbookViewId="0">
      <pane xSplit="3570" activePane="topRight"/>
      <selection activeCell="A4" sqref="A4"/>
      <selection pane="topRight" activeCell="S28" sqref="S28"/>
    </sheetView>
  </sheetViews>
  <sheetFormatPr defaultColWidth="11.5703125" defaultRowHeight="12.75" x14ac:dyDescent="0.2"/>
  <cols>
    <col min="1" max="1" width="10.5703125" style="3" customWidth="1"/>
    <col min="2" max="2" width="21.85546875" style="3" customWidth="1"/>
    <col min="7" max="7" width="13.85546875" customWidth="1"/>
    <col min="12" max="12" width="14.7109375" customWidth="1"/>
    <col min="13" max="13" width="15.85546875" style="3" customWidth="1"/>
    <col min="14" max="15" width="7.42578125" customWidth="1"/>
    <col min="16" max="16" width="9" customWidth="1"/>
    <col min="17" max="17" width="11.140625" customWidth="1"/>
    <col min="18" max="18" width="30.5703125" customWidth="1"/>
    <col min="19" max="19" width="8.7109375" customWidth="1"/>
    <col min="20" max="20" width="11" customWidth="1"/>
    <col min="21" max="21" width="22.42578125" customWidth="1"/>
    <col min="22" max="22" width="16.28515625" style="7" customWidth="1"/>
    <col min="23" max="23" width="6.42578125" customWidth="1"/>
    <col min="24" max="24" width="14.140625" style="7" customWidth="1"/>
    <col min="25" max="25" width="20" style="7" customWidth="1"/>
    <col min="26" max="26" width="5.140625" style="7" customWidth="1"/>
    <col min="27" max="27" width="11.7109375" style="7" customWidth="1"/>
    <col min="28" max="28" width="13.28515625" style="7" customWidth="1"/>
    <col min="29" max="29" width="14.5703125" style="7" customWidth="1"/>
    <col min="30" max="30" width="18" style="7" customWidth="1"/>
    <col min="31" max="31" width="14.140625" style="7" customWidth="1"/>
    <col min="32" max="32" width="36" style="7" customWidth="1"/>
    <col min="33" max="33" width="11.5703125" style="7"/>
    <col min="34" max="35" width="15" style="7" customWidth="1"/>
    <col min="36" max="36" width="32.85546875" customWidth="1"/>
    <col min="37" max="37" width="189.85546875" customWidth="1"/>
    <col min="38" max="38" width="144.140625" customWidth="1"/>
  </cols>
  <sheetData>
    <row r="1" spans="1:37" s="159" customFormat="1" ht="48.75" customHeight="1" x14ac:dyDescent="0.2">
      <c r="A1" s="1" t="str">
        <f>PH_Cases!A2</f>
        <v>Ref</v>
      </c>
      <c r="B1" s="1" t="str">
        <f>PH_Cases!B2</f>
        <v>Report</v>
      </c>
      <c r="C1" s="1" t="str">
        <f>PH_Cases!S2</f>
        <v>Thiamine</v>
      </c>
      <c r="D1" s="38" t="str">
        <f>PH_Cases!Y2</f>
        <v>Vit C
Dose</v>
      </c>
      <c r="E1" s="38"/>
      <c r="F1" s="176" t="s">
        <v>317</v>
      </c>
      <c r="G1" s="177"/>
      <c r="H1" s="38"/>
      <c r="I1" s="38"/>
      <c r="J1" s="38"/>
      <c r="K1" s="177" t="s">
        <v>318</v>
      </c>
      <c r="L1" s="38"/>
      <c r="M1" s="178" t="s">
        <v>319</v>
      </c>
      <c r="N1" s="38"/>
      <c r="O1" s="38"/>
      <c r="P1" s="38" t="s">
        <v>320</v>
      </c>
      <c r="Q1" s="38" t="s">
        <v>321</v>
      </c>
      <c r="R1" s="38"/>
      <c r="S1" s="38" t="s">
        <v>322</v>
      </c>
      <c r="T1" s="38"/>
      <c r="U1" s="38"/>
      <c r="V1" s="159" t="s">
        <v>323</v>
      </c>
      <c r="W1" s="38"/>
      <c r="X1" s="48" t="s">
        <v>324</v>
      </c>
      <c r="Y1" s="48"/>
      <c r="Z1"/>
      <c r="AA1" s="48"/>
      <c r="AB1" s="48"/>
      <c r="AC1" s="48"/>
      <c r="AD1" s="48"/>
      <c r="AK1" s="48" t="s">
        <v>325</v>
      </c>
    </row>
    <row r="2" spans="1:37" x14ac:dyDescent="0.2">
      <c r="A2" s="3">
        <f>PH_Cases!A3</f>
        <v>0</v>
      </c>
      <c r="C2" s="3">
        <f>PH_Cases!S3</f>
        <v>0</v>
      </c>
      <c r="D2" s="3" t="str">
        <f>PH_Cases!Y3</f>
        <v>g/day</v>
      </c>
      <c r="E2" s="3"/>
      <c r="F2" s="178" t="s">
        <v>326</v>
      </c>
      <c r="G2" s="3"/>
      <c r="H2" s="3"/>
      <c r="I2" s="3"/>
      <c r="J2" s="3"/>
      <c r="K2" s="3"/>
      <c r="L2" s="3"/>
      <c r="N2" s="3"/>
      <c r="O2" s="3"/>
      <c r="P2" s="3"/>
      <c r="Q2" s="3"/>
      <c r="R2" s="3"/>
      <c r="S2" s="3"/>
      <c r="T2" s="3"/>
      <c r="U2" s="3"/>
      <c r="W2" s="3"/>
      <c r="Z2" s="179" t="s">
        <v>327</v>
      </c>
      <c r="AA2" s="179"/>
    </row>
    <row r="3" spans="1:37" x14ac:dyDescent="0.2">
      <c r="A3" s="3">
        <f>PH_Cases!A5</f>
        <v>0</v>
      </c>
      <c r="C3" s="3">
        <f>PH_Cases!S5</f>
        <v>0</v>
      </c>
      <c r="D3" s="3">
        <f>PH_Cases!Y5</f>
        <v>0</v>
      </c>
      <c r="E3" s="3"/>
      <c r="F3" s="3"/>
      <c r="G3" s="3"/>
      <c r="H3" s="3"/>
      <c r="I3" s="3"/>
      <c r="J3" s="3"/>
      <c r="K3" s="3"/>
      <c r="L3" s="3"/>
      <c r="N3" s="3"/>
      <c r="O3" s="3"/>
      <c r="P3" s="3"/>
      <c r="Q3" s="3"/>
      <c r="R3" s="3"/>
      <c r="S3" s="3"/>
      <c r="T3" s="3"/>
      <c r="U3" s="3"/>
      <c r="W3" s="3"/>
      <c r="X3" s="179"/>
      <c r="Y3" s="179"/>
      <c r="Z3" s="179"/>
      <c r="AA3" s="179"/>
      <c r="AB3" s="179"/>
      <c r="AC3" s="179"/>
      <c r="AD3" s="179"/>
      <c r="AE3" s="179"/>
      <c r="AF3" s="179"/>
      <c r="AJ3" s="7" t="s">
        <v>328</v>
      </c>
    </row>
    <row r="4" spans="1:37" x14ac:dyDescent="0.2">
      <c r="C4" s="3"/>
      <c r="D4" s="3"/>
      <c r="E4" s="3"/>
      <c r="F4" s="3"/>
      <c r="G4" s="3"/>
      <c r="H4" s="3"/>
      <c r="I4" s="3"/>
      <c r="J4" s="3"/>
      <c r="K4" s="3"/>
      <c r="L4" s="3"/>
      <c r="N4" s="3"/>
      <c r="O4" s="3"/>
      <c r="P4" s="3"/>
      <c r="Q4" s="3"/>
      <c r="R4" s="3"/>
      <c r="S4" s="3"/>
      <c r="T4" s="3"/>
      <c r="U4" s="3"/>
      <c r="W4" s="3"/>
      <c r="X4" s="7" t="s">
        <v>329</v>
      </c>
      <c r="Y4" s="7" t="s">
        <v>330</v>
      </c>
      <c r="Z4" s="7" t="s">
        <v>331</v>
      </c>
      <c r="AA4" s="7" t="s">
        <v>332</v>
      </c>
      <c r="AC4" s="7" t="s">
        <v>333</v>
      </c>
      <c r="AD4" s="7" t="s">
        <v>334</v>
      </c>
      <c r="AE4" s="7" t="s">
        <v>335</v>
      </c>
      <c r="AF4" s="7" t="s">
        <v>336</v>
      </c>
      <c r="AG4" s="7" t="s">
        <v>337</v>
      </c>
      <c r="AJ4" s="7" t="s">
        <v>40</v>
      </c>
    </row>
    <row r="5" spans="1:37" x14ac:dyDescent="0.2">
      <c r="C5" s="3"/>
      <c r="D5" s="3"/>
      <c r="E5" s="3"/>
      <c r="F5" s="3"/>
      <c r="G5" s="3"/>
      <c r="H5" s="3"/>
      <c r="I5" s="3"/>
      <c r="J5" s="3"/>
      <c r="K5" s="3"/>
      <c r="L5" s="3"/>
      <c r="N5" s="3"/>
      <c r="O5" s="3"/>
      <c r="P5" s="3"/>
      <c r="Q5" s="3"/>
      <c r="R5" s="3"/>
      <c r="S5" s="3"/>
      <c r="T5" s="3"/>
      <c r="U5" s="3"/>
      <c r="W5" s="3"/>
    </row>
    <row r="6" spans="1:37" x14ac:dyDescent="0.2">
      <c r="C6" s="3"/>
      <c r="D6" s="3"/>
      <c r="E6" s="3"/>
      <c r="F6" s="3"/>
      <c r="G6" s="3"/>
      <c r="H6" s="3"/>
      <c r="I6" s="3"/>
      <c r="J6" s="3"/>
      <c r="K6" s="3"/>
      <c r="L6" s="3"/>
      <c r="N6" s="3"/>
      <c r="O6" s="3"/>
      <c r="P6" s="3"/>
      <c r="Q6" s="3"/>
      <c r="R6" s="3"/>
      <c r="S6" s="3"/>
      <c r="T6" s="3"/>
      <c r="U6" s="3"/>
      <c r="W6" s="3"/>
    </row>
    <row r="7" spans="1:37" x14ac:dyDescent="0.2">
      <c r="A7" s="3">
        <f>PH_Cases!A7</f>
        <v>76</v>
      </c>
      <c r="B7" s="3" t="str">
        <f>PH_Cases!B7</f>
        <v>Abbas</v>
      </c>
      <c r="C7" s="3" t="str">
        <f>PH_Cases!S7</f>
        <v>Normal</v>
      </c>
      <c r="D7" s="3">
        <f>PH_Cases!Y7</f>
        <v>0</v>
      </c>
      <c r="E7" s="3"/>
      <c r="F7" s="3"/>
      <c r="G7" s="3"/>
      <c r="H7" s="3"/>
      <c r="I7" s="3"/>
      <c r="J7" s="3"/>
      <c r="K7" s="3"/>
      <c r="L7" s="3"/>
      <c r="N7" s="3"/>
      <c r="O7" s="3"/>
      <c r="P7" s="3">
        <f>COUNTA(F7:O7)</f>
        <v>0</v>
      </c>
      <c r="Q7" s="180">
        <f>IF(P7=0,1,0)</f>
        <v>1</v>
      </c>
      <c r="R7" s="3"/>
      <c r="S7" s="180">
        <f>P7+V7</f>
        <v>0</v>
      </c>
      <c r="T7" s="3"/>
      <c r="U7" s="3" t="str">
        <f t="shared" ref="U7:U38" si="0">B7</f>
        <v>Abbas</v>
      </c>
      <c r="V7" s="3"/>
      <c r="W7" s="3"/>
    </row>
    <row r="8" spans="1:37" x14ac:dyDescent="0.2">
      <c r="A8" s="3">
        <f>PH_Cases!A8</f>
        <v>77</v>
      </c>
      <c r="B8" s="3" t="str">
        <f>PH_Cases!B8</f>
        <v>Abe</v>
      </c>
      <c r="C8" s="3" t="str">
        <f>PH_Cases!S8</f>
        <v>Normal</v>
      </c>
      <c r="D8" s="3">
        <f>PH_Cases!Y8</f>
        <v>0.15</v>
      </c>
      <c r="E8" s="3"/>
      <c r="F8" s="3"/>
      <c r="G8" s="3"/>
      <c r="H8" s="3"/>
      <c r="I8" s="3"/>
      <c r="J8" s="3"/>
      <c r="K8" s="181"/>
      <c r="L8" s="7"/>
      <c r="N8" s="3"/>
      <c r="O8" s="3"/>
      <c r="P8" s="3">
        <f>COUNTA(F8:O8)</f>
        <v>0</v>
      </c>
      <c r="Q8" s="180">
        <f>IF(P8=0,1,0)</f>
        <v>1</v>
      </c>
      <c r="R8" s="3"/>
      <c r="S8" s="180">
        <f>P8+V8</f>
        <v>0</v>
      </c>
      <c r="T8" s="3"/>
      <c r="U8" s="3" t="str">
        <f t="shared" si="0"/>
        <v>Abe</v>
      </c>
      <c r="V8" s="3"/>
      <c r="W8" s="3"/>
    </row>
    <row r="9" spans="1:37" x14ac:dyDescent="0.2">
      <c r="A9" s="3">
        <f>PH_Cases!A9</f>
        <v>78</v>
      </c>
      <c r="B9" s="3" t="str">
        <f>PH_Cases!B9</f>
        <v>Azar</v>
      </c>
      <c r="C9" s="3">
        <f>PH_Cases!S9</f>
        <v>0</v>
      </c>
      <c r="D9" s="3">
        <f>PH_Cases!Y9</f>
        <v>0</v>
      </c>
      <c r="E9" s="180" t="s">
        <v>160</v>
      </c>
      <c r="F9" s="3"/>
      <c r="G9" s="3"/>
      <c r="H9" s="3"/>
      <c r="I9" s="3"/>
      <c r="J9" s="3"/>
      <c r="L9" s="3"/>
      <c r="N9" s="3"/>
      <c r="O9" s="3"/>
      <c r="P9" s="3"/>
      <c r="Q9" s="3"/>
      <c r="R9" s="3"/>
      <c r="S9" s="3"/>
      <c r="T9" s="3"/>
      <c r="U9" s="3" t="str">
        <f t="shared" si="0"/>
        <v>Azar</v>
      </c>
      <c r="V9" s="180" t="s">
        <v>338</v>
      </c>
      <c r="W9" s="3"/>
      <c r="X9" s="179" t="s">
        <v>329</v>
      </c>
      <c r="AC9" s="179" t="s">
        <v>339</v>
      </c>
      <c r="AG9" s="7" t="s">
        <v>337</v>
      </c>
    </row>
    <row r="10" spans="1:37" x14ac:dyDescent="0.2">
      <c r="A10" s="3">
        <f>PH_Cases!A10</f>
        <v>79</v>
      </c>
      <c r="B10" s="3" t="str">
        <f>PH_Cases!B10</f>
        <v>Azar2</v>
      </c>
      <c r="C10" s="3">
        <f>PH_Cases!S10</f>
        <v>0</v>
      </c>
      <c r="D10" s="3">
        <f>PH_Cases!Y10</f>
        <v>0</v>
      </c>
      <c r="E10" s="3"/>
      <c r="F10" s="3"/>
      <c r="G10" s="3"/>
      <c r="H10" s="3"/>
      <c r="I10" s="3"/>
      <c r="J10" s="3"/>
      <c r="L10" s="3"/>
      <c r="N10" s="3"/>
      <c r="O10" s="3"/>
      <c r="P10" s="3">
        <f t="shared" ref="P10:P38" si="1">COUNTA(F10:O10)</f>
        <v>0</v>
      </c>
      <c r="Q10" s="180">
        <f t="shared" ref="Q10:Q38" si="2">IF(P10=0,1,0)</f>
        <v>1</v>
      </c>
      <c r="R10" s="3"/>
      <c r="S10" s="3">
        <f t="shared" ref="S10:S38" si="3">P10+V10</f>
        <v>2</v>
      </c>
      <c r="T10" s="3"/>
      <c r="U10" s="3" t="str">
        <f t="shared" si="0"/>
        <v>Azar2</v>
      </c>
      <c r="V10" s="3">
        <f>COUNTA(X10:AF10)</f>
        <v>2</v>
      </c>
      <c r="W10" s="3"/>
      <c r="X10" s="179" t="s">
        <v>329</v>
      </c>
      <c r="AC10" s="179" t="s">
        <v>340</v>
      </c>
    </row>
    <row r="11" spans="1:37" x14ac:dyDescent="0.2">
      <c r="A11" s="3">
        <f>PH_Cases!A11</f>
        <v>80</v>
      </c>
      <c r="B11" s="3" t="str">
        <f>PH_Cases!B11</f>
        <v>Benhamed</v>
      </c>
      <c r="C11" s="3">
        <f>PH_Cases!S11</f>
        <v>0</v>
      </c>
      <c r="D11" s="3">
        <f>PH_Cases!Y11</f>
        <v>0</v>
      </c>
      <c r="E11" s="3"/>
      <c r="F11" s="3"/>
      <c r="G11" s="3"/>
      <c r="H11" s="3"/>
      <c r="I11" s="3"/>
      <c r="J11" s="3"/>
      <c r="L11" s="3"/>
      <c r="N11" s="3"/>
      <c r="O11" s="3"/>
      <c r="P11" s="3">
        <f t="shared" si="1"/>
        <v>0</v>
      </c>
      <c r="Q11" s="180">
        <f t="shared" si="2"/>
        <v>1</v>
      </c>
      <c r="R11" s="3"/>
      <c r="S11" s="3">
        <f t="shared" si="3"/>
        <v>1</v>
      </c>
      <c r="T11" s="3"/>
      <c r="U11" s="3" t="str">
        <f t="shared" si="0"/>
        <v>Benhamed</v>
      </c>
      <c r="V11" s="3">
        <f>COUNTA(X11:AF11)</f>
        <v>1</v>
      </c>
      <c r="W11" s="3"/>
      <c r="X11" s="179" t="s">
        <v>329</v>
      </c>
    </row>
    <row r="12" spans="1:37" x14ac:dyDescent="0.2">
      <c r="A12" s="3">
        <f>PH_Cases!A12</f>
        <v>81</v>
      </c>
      <c r="B12" s="3" t="str">
        <f>PH_Cases!B12</f>
        <v>Conte/Weber</v>
      </c>
      <c r="C12" s="3" t="str">
        <f>PH_Cases!S12</f>
        <v>Normal</v>
      </c>
      <c r="D12" s="3">
        <f>PH_Cases!Y12</f>
        <v>0</v>
      </c>
      <c r="E12" s="3"/>
      <c r="G12" s="3"/>
      <c r="H12" s="3"/>
      <c r="I12" s="3"/>
      <c r="J12" s="3"/>
      <c r="K12" s="3"/>
      <c r="L12" s="3"/>
      <c r="N12" s="3"/>
      <c r="O12" s="3"/>
      <c r="P12" s="3">
        <f t="shared" si="1"/>
        <v>0</v>
      </c>
      <c r="Q12" s="180">
        <f t="shared" si="2"/>
        <v>1</v>
      </c>
      <c r="R12" s="3"/>
      <c r="S12" s="3">
        <f t="shared" si="3"/>
        <v>1</v>
      </c>
      <c r="T12" s="3"/>
      <c r="U12" s="3" t="str">
        <f t="shared" si="0"/>
        <v>Conte/Weber</v>
      </c>
      <c r="V12" s="3">
        <f>COUNTA(X12:AF12)</f>
        <v>1</v>
      </c>
      <c r="W12" s="3"/>
      <c r="X12" s="179" t="s">
        <v>329</v>
      </c>
    </row>
    <row r="13" spans="1:37" x14ac:dyDescent="0.2">
      <c r="A13" s="3">
        <f>PH_Cases!A13</f>
        <v>82</v>
      </c>
      <c r="B13" s="3" t="str">
        <f>PH_Cases!B13</f>
        <v>Dean/Kim</v>
      </c>
      <c r="C13" s="3" t="str">
        <f>PH_Cases!S13</f>
        <v>Normal</v>
      </c>
      <c r="D13" s="3">
        <f>PH_Cases!Y13</f>
        <v>0.3</v>
      </c>
      <c r="E13" s="3"/>
      <c r="F13" s="3" t="s">
        <v>341</v>
      </c>
      <c r="G13" s="3"/>
      <c r="H13" s="3"/>
      <c r="I13" s="3"/>
      <c r="J13" s="3"/>
      <c r="K13" s="3"/>
      <c r="L13" s="3"/>
      <c r="N13" s="3"/>
      <c r="O13" s="3"/>
      <c r="P13" s="3">
        <f t="shared" si="1"/>
        <v>1</v>
      </c>
      <c r="Q13" s="3">
        <f t="shared" si="2"/>
        <v>0</v>
      </c>
      <c r="R13" s="3"/>
      <c r="S13" s="3">
        <f t="shared" si="3"/>
        <v>4</v>
      </c>
      <c r="T13" s="3"/>
      <c r="U13" s="3" t="str">
        <f t="shared" si="0"/>
        <v>Dean/Kim</v>
      </c>
      <c r="V13" s="3">
        <f>COUNTA(X13:AF13)</f>
        <v>3</v>
      </c>
      <c r="W13" s="3"/>
      <c r="Z13" s="179" t="s">
        <v>331</v>
      </c>
      <c r="AB13" s="182"/>
      <c r="AC13" s="179" t="s">
        <v>339</v>
      </c>
      <c r="AE13" s="179" t="s">
        <v>342</v>
      </c>
      <c r="AF13" s="179"/>
      <c r="AG13" s="7" t="s">
        <v>343</v>
      </c>
      <c r="AH13" s="7" t="s">
        <v>344</v>
      </c>
      <c r="AI13" s="7" t="s">
        <v>345</v>
      </c>
      <c r="AK13" t="s">
        <v>346</v>
      </c>
    </row>
    <row r="14" spans="1:37" x14ac:dyDescent="0.2">
      <c r="A14" s="3">
        <f>PH_Cases!A14</f>
        <v>83</v>
      </c>
      <c r="B14" s="3" t="str">
        <f>PH_Cases!B14</f>
        <v>Duvall</v>
      </c>
      <c r="C14" s="3" t="str">
        <f>PH_Cases!S14</f>
        <v>Low</v>
      </c>
      <c r="D14" s="3">
        <f>PH_Cases!Y14</f>
        <v>0</v>
      </c>
      <c r="E14" s="3"/>
      <c r="F14" s="3"/>
      <c r="G14" s="3" t="s">
        <v>347</v>
      </c>
      <c r="H14" s="3" t="s">
        <v>348</v>
      </c>
      <c r="I14" s="3" t="s">
        <v>349</v>
      </c>
      <c r="J14" s="3"/>
      <c r="K14" s="3" t="s">
        <v>350</v>
      </c>
      <c r="L14" s="3"/>
      <c r="N14" s="3"/>
      <c r="O14" s="3"/>
      <c r="P14" s="3">
        <f t="shared" si="1"/>
        <v>4</v>
      </c>
      <c r="Q14" s="3">
        <f t="shared" si="2"/>
        <v>0</v>
      </c>
      <c r="R14" s="3"/>
      <c r="S14" s="3">
        <f t="shared" si="3"/>
        <v>4</v>
      </c>
      <c r="T14" s="3"/>
      <c r="U14" s="3" t="str">
        <f t="shared" si="0"/>
        <v>Duvall</v>
      </c>
      <c r="V14" s="3"/>
      <c r="W14" s="3"/>
    </row>
    <row r="15" spans="1:37" x14ac:dyDescent="0.2">
      <c r="A15" s="3">
        <f>PH_Cases!A15</f>
        <v>84</v>
      </c>
      <c r="B15" s="3" t="str">
        <f>PH_Cases!B15</f>
        <v>Ferreira/Cavalcante</v>
      </c>
      <c r="C15" s="3">
        <f>PH_Cases!S15</f>
        <v>0</v>
      </c>
      <c r="D15" s="3">
        <f>PH_Cases!Y15</f>
        <v>1</v>
      </c>
      <c r="E15" s="3"/>
      <c r="F15" s="3"/>
      <c r="G15" s="3"/>
      <c r="H15" s="3"/>
      <c r="I15" s="3"/>
      <c r="J15" s="3"/>
      <c r="K15" s="3"/>
      <c r="L15" s="3"/>
      <c r="N15" s="3"/>
      <c r="O15" s="3"/>
      <c r="P15" s="3">
        <f t="shared" si="1"/>
        <v>0</v>
      </c>
      <c r="Q15" s="180">
        <f t="shared" si="2"/>
        <v>1</v>
      </c>
      <c r="R15" s="3"/>
      <c r="S15" s="180">
        <f t="shared" si="3"/>
        <v>0</v>
      </c>
      <c r="T15" s="3"/>
      <c r="U15" s="3" t="str">
        <f t="shared" si="0"/>
        <v>Ferreira/Cavalcante</v>
      </c>
      <c r="V15" s="3"/>
      <c r="W15" s="3"/>
    </row>
    <row r="16" spans="1:37" x14ac:dyDescent="0.2">
      <c r="A16" s="3">
        <f>PH_Cases!A16</f>
        <v>85</v>
      </c>
      <c r="B16" s="3" t="str">
        <f>PH_Cases!B16</f>
        <v>Frank</v>
      </c>
      <c r="C16" s="3">
        <f>PH_Cases!S16</f>
        <v>0</v>
      </c>
      <c r="D16" s="3">
        <f>PH_Cases!Y16</f>
        <v>0</v>
      </c>
      <c r="E16" s="3"/>
      <c r="F16" s="3"/>
      <c r="G16" s="3"/>
      <c r="H16" s="3"/>
      <c r="I16" s="3" t="s">
        <v>349</v>
      </c>
      <c r="J16" s="3"/>
      <c r="K16" s="3"/>
      <c r="L16" s="3"/>
      <c r="M16" s="3" t="s">
        <v>351</v>
      </c>
      <c r="N16" s="3"/>
      <c r="O16" s="3"/>
      <c r="P16" s="3">
        <f t="shared" si="1"/>
        <v>2</v>
      </c>
      <c r="Q16" s="3">
        <f t="shared" si="2"/>
        <v>0</v>
      </c>
      <c r="R16" s="3"/>
      <c r="S16" s="3">
        <f t="shared" si="3"/>
        <v>2</v>
      </c>
      <c r="T16" s="3"/>
      <c r="U16" s="3" t="str">
        <f t="shared" si="0"/>
        <v>Frank</v>
      </c>
      <c r="V16" s="3"/>
      <c r="W16" s="3"/>
    </row>
    <row r="17" spans="1:37" x14ac:dyDescent="0.2">
      <c r="A17" s="3">
        <f>PH_Cases!A17</f>
        <v>86</v>
      </c>
      <c r="B17" s="3" t="str">
        <f>PH_Cases!B17</f>
        <v>Gayen</v>
      </c>
      <c r="C17" s="3">
        <f>PH_Cases!S17</f>
        <v>0</v>
      </c>
      <c r="D17" s="3">
        <f>PH_Cases!Y17</f>
        <v>2</v>
      </c>
      <c r="E17" s="3"/>
      <c r="F17" s="3"/>
      <c r="G17" s="3"/>
      <c r="H17" s="3"/>
      <c r="I17" s="3" t="s">
        <v>349</v>
      </c>
      <c r="J17" s="3"/>
      <c r="K17" s="3"/>
      <c r="L17" s="3"/>
      <c r="N17" s="3"/>
      <c r="O17" s="3"/>
      <c r="P17" s="3">
        <f t="shared" si="1"/>
        <v>1</v>
      </c>
      <c r="Q17" s="3">
        <f t="shared" si="2"/>
        <v>0</v>
      </c>
      <c r="R17" s="3"/>
      <c r="S17" s="3">
        <f t="shared" si="3"/>
        <v>1</v>
      </c>
      <c r="T17" s="3"/>
      <c r="U17" s="3" t="str">
        <f t="shared" si="0"/>
        <v>Gayen</v>
      </c>
      <c r="V17" s="3"/>
      <c r="W17" s="3"/>
    </row>
    <row r="18" spans="1:37" x14ac:dyDescent="0.2">
      <c r="A18" s="3">
        <f>PH_Cases!A18</f>
        <v>87</v>
      </c>
      <c r="B18" s="3" t="str">
        <f>PH_Cases!B18</f>
        <v>Ghulam</v>
      </c>
      <c r="C18" s="3">
        <f>PH_Cases!S18</f>
        <v>0</v>
      </c>
      <c r="D18" s="3">
        <f>PH_Cases!Y18</f>
        <v>1</v>
      </c>
      <c r="E18" s="3"/>
      <c r="F18" s="3"/>
      <c r="G18" s="3"/>
      <c r="H18" s="3"/>
      <c r="I18" s="3"/>
      <c r="J18" s="3"/>
      <c r="K18" s="3"/>
      <c r="L18" s="3"/>
      <c r="N18" s="3"/>
      <c r="O18" s="3"/>
      <c r="P18" s="3">
        <f t="shared" si="1"/>
        <v>0</v>
      </c>
      <c r="Q18" s="180">
        <f t="shared" si="2"/>
        <v>1</v>
      </c>
      <c r="R18" s="3"/>
      <c r="S18" s="3">
        <f t="shared" si="3"/>
        <v>2</v>
      </c>
      <c r="T18" s="3"/>
      <c r="U18" s="3" t="str">
        <f t="shared" si="0"/>
        <v>Ghulam</v>
      </c>
      <c r="V18" s="3">
        <f>COUNTA(X18:AF18)</f>
        <v>2</v>
      </c>
      <c r="W18" s="3"/>
      <c r="X18" s="179" t="s">
        <v>329</v>
      </c>
      <c r="AD18" s="179" t="s">
        <v>352</v>
      </c>
      <c r="AJ18" s="7" t="s">
        <v>353</v>
      </c>
      <c r="AK18" t="s">
        <v>354</v>
      </c>
    </row>
    <row r="19" spans="1:37" x14ac:dyDescent="0.2">
      <c r="A19" s="3">
        <f>PH_Cases!A19</f>
        <v>88</v>
      </c>
      <c r="B19" s="3" t="str">
        <f>PH_Cases!B19</f>
        <v>Gilmore/Al-Qadi</v>
      </c>
      <c r="C19" s="3">
        <f>PH_Cases!S19</f>
        <v>0</v>
      </c>
      <c r="D19" s="3">
        <f>PH_Cases!Y19</f>
        <v>1</v>
      </c>
      <c r="E19" s="3"/>
      <c r="F19" s="3"/>
      <c r="G19" s="3"/>
      <c r="H19" s="3"/>
      <c r="I19" s="3"/>
      <c r="J19" s="3"/>
      <c r="K19" s="3"/>
      <c r="L19" s="3"/>
      <c r="N19" s="3"/>
      <c r="O19" s="3"/>
      <c r="P19" s="3">
        <f t="shared" si="1"/>
        <v>0</v>
      </c>
      <c r="Q19" s="180">
        <f t="shared" si="2"/>
        <v>1</v>
      </c>
      <c r="R19" s="3"/>
      <c r="S19" s="180">
        <f t="shared" si="3"/>
        <v>0</v>
      </c>
      <c r="T19" s="3"/>
      <c r="U19" s="3" t="str">
        <f t="shared" si="0"/>
        <v>Gilmore/Al-Qadi</v>
      </c>
      <c r="V19" s="3"/>
      <c r="W19" s="3"/>
      <c r="AJ19" s="7"/>
    </row>
    <row r="20" spans="1:37" x14ac:dyDescent="0.2">
      <c r="A20" s="3">
        <f>PH_Cases!A20</f>
        <v>89</v>
      </c>
      <c r="B20" s="3" t="str">
        <f>PH_Cases!B20</f>
        <v>Ichiyanagi</v>
      </c>
      <c r="C20" s="3" t="str">
        <f>PH_Cases!S20</f>
        <v>Normal</v>
      </c>
      <c r="D20" s="3">
        <f>PH_Cases!Y20</f>
        <v>0.5</v>
      </c>
      <c r="E20" s="3"/>
      <c r="F20" s="3"/>
      <c r="G20" s="3" t="s">
        <v>347</v>
      </c>
      <c r="H20" s="3"/>
      <c r="I20" s="3"/>
      <c r="J20" s="3"/>
      <c r="K20" s="3"/>
      <c r="L20" s="3"/>
      <c r="N20" s="3"/>
      <c r="O20" s="3"/>
      <c r="P20" s="3">
        <f t="shared" si="1"/>
        <v>1</v>
      </c>
      <c r="Q20" s="3">
        <f t="shared" si="2"/>
        <v>0</v>
      </c>
      <c r="R20" s="3"/>
      <c r="S20" s="3">
        <f t="shared" si="3"/>
        <v>2</v>
      </c>
      <c r="T20" s="3"/>
      <c r="U20" s="3" t="str">
        <f t="shared" si="0"/>
        <v>Ichiyanagi</v>
      </c>
      <c r="V20" s="3">
        <f>COUNTA(X20:AF20)</f>
        <v>1</v>
      </c>
      <c r="W20" s="3"/>
      <c r="AC20" s="179" t="s">
        <v>340</v>
      </c>
      <c r="AJ20" s="7" t="s">
        <v>355</v>
      </c>
      <c r="AK20" t="s">
        <v>356</v>
      </c>
    </row>
    <row r="21" spans="1:37" x14ac:dyDescent="0.2">
      <c r="A21" s="3">
        <f>PH_Cases!A21</f>
        <v>90</v>
      </c>
      <c r="B21" s="3" t="str">
        <f>PH_Cases!B21</f>
        <v>Kupari</v>
      </c>
      <c r="C21" s="3">
        <f>PH_Cases!S21</f>
        <v>0</v>
      </c>
      <c r="D21" s="3">
        <f>PH_Cases!Y21</f>
        <v>1</v>
      </c>
      <c r="E21" s="3"/>
      <c r="F21" s="3"/>
      <c r="G21" s="3"/>
      <c r="H21" s="3"/>
      <c r="I21" s="3"/>
      <c r="J21" s="3"/>
      <c r="K21" s="3"/>
      <c r="L21" s="3"/>
      <c r="M21" s="3" t="s">
        <v>351</v>
      </c>
      <c r="N21" s="3"/>
      <c r="O21" s="3"/>
      <c r="P21" s="3">
        <f t="shared" si="1"/>
        <v>1</v>
      </c>
      <c r="Q21" s="3">
        <f t="shared" si="2"/>
        <v>0</v>
      </c>
      <c r="R21" s="3"/>
      <c r="S21" s="3">
        <f t="shared" si="3"/>
        <v>3</v>
      </c>
      <c r="T21" s="3"/>
      <c r="U21" s="3" t="str">
        <f t="shared" si="0"/>
        <v>Kupari</v>
      </c>
      <c r="V21" s="3">
        <f>COUNTA(X21:AF21)</f>
        <v>2</v>
      </c>
      <c r="W21" s="3"/>
      <c r="AA21" s="179" t="s">
        <v>357</v>
      </c>
      <c r="AC21" s="179" t="s">
        <v>339</v>
      </c>
      <c r="AJ21" t="s">
        <v>358</v>
      </c>
      <c r="AK21" s="159" t="s">
        <v>359</v>
      </c>
    </row>
    <row r="22" spans="1:37" x14ac:dyDescent="0.2">
      <c r="A22" s="3">
        <f>PH_Cases!A22</f>
        <v>91</v>
      </c>
      <c r="B22" s="3" t="str">
        <f>PH_Cases!B22</f>
        <v>Kurnick</v>
      </c>
      <c r="C22" s="3" t="str">
        <f>PH_Cases!S22</f>
        <v>Normal</v>
      </c>
      <c r="D22" s="3">
        <f>PH_Cases!Y22</f>
        <v>2</v>
      </c>
      <c r="E22" s="3"/>
      <c r="F22" s="3"/>
      <c r="G22" s="3"/>
      <c r="H22" s="3"/>
      <c r="I22" s="3"/>
      <c r="J22" s="3"/>
      <c r="K22" s="3"/>
      <c r="L22" s="3"/>
      <c r="N22" s="3"/>
      <c r="O22" s="3"/>
      <c r="P22" s="3">
        <f t="shared" si="1"/>
        <v>0</v>
      </c>
      <c r="Q22" s="180">
        <f t="shared" si="2"/>
        <v>1</v>
      </c>
      <c r="R22" s="3"/>
      <c r="S22" s="3">
        <f t="shared" si="3"/>
        <v>1</v>
      </c>
      <c r="T22" s="3"/>
      <c r="U22" s="3" t="str">
        <f t="shared" si="0"/>
        <v>Kurnick</v>
      </c>
      <c r="V22" s="3">
        <f>COUNTA(X22:AF22)</f>
        <v>1</v>
      </c>
      <c r="W22" s="3"/>
      <c r="AE22" s="179" t="s">
        <v>342</v>
      </c>
      <c r="AF22" s="179"/>
      <c r="AG22" s="7" t="s">
        <v>360</v>
      </c>
      <c r="AH22" s="7" t="s">
        <v>361</v>
      </c>
      <c r="AK22" s="159"/>
    </row>
    <row r="23" spans="1:37" x14ac:dyDescent="0.2">
      <c r="A23" s="3">
        <f>PH_Cases!A23</f>
        <v>92</v>
      </c>
      <c r="B23" s="3" t="str">
        <f>PH_Cases!B23</f>
        <v>Mehta</v>
      </c>
      <c r="C23" s="3" t="str">
        <f>PH_Cases!S23</f>
        <v>Normal</v>
      </c>
      <c r="D23" s="3">
        <f>PH_Cases!Y23</f>
        <v>0</v>
      </c>
      <c r="E23" s="3"/>
      <c r="F23" s="3"/>
      <c r="G23" s="3"/>
      <c r="H23" s="3"/>
      <c r="I23" s="3"/>
      <c r="J23" s="3"/>
      <c r="K23" s="3"/>
      <c r="L23" s="3"/>
      <c r="N23" s="3"/>
      <c r="O23" s="3"/>
      <c r="P23" s="3">
        <f t="shared" si="1"/>
        <v>0</v>
      </c>
      <c r="Q23" s="180">
        <f t="shared" si="2"/>
        <v>1</v>
      </c>
      <c r="R23" s="3"/>
      <c r="S23" s="180">
        <f t="shared" si="3"/>
        <v>0</v>
      </c>
      <c r="T23" s="3"/>
      <c r="U23" s="3" t="str">
        <f t="shared" si="0"/>
        <v>Mehta</v>
      </c>
      <c r="V23" s="3"/>
      <c r="W23" s="3"/>
    </row>
    <row r="24" spans="1:37" x14ac:dyDescent="0.2">
      <c r="A24" s="3">
        <f>PH_Cases!A24</f>
        <v>93</v>
      </c>
      <c r="B24" s="3" t="str">
        <f>PH_Cases!B24</f>
        <v>Mertens-case3</v>
      </c>
      <c r="C24" s="3" t="str">
        <f>PH_Cases!S24</f>
        <v>“slightly low”</v>
      </c>
      <c r="D24" s="3">
        <f>PH_Cases!Y24</f>
        <v>1</v>
      </c>
      <c r="E24" s="3"/>
      <c r="F24" s="3"/>
      <c r="G24" s="3"/>
      <c r="H24" s="3"/>
      <c r="I24" s="3"/>
      <c r="J24" s="3"/>
      <c r="K24" s="3"/>
      <c r="L24" s="3"/>
      <c r="N24" s="3"/>
      <c r="O24" s="3"/>
      <c r="P24" s="3">
        <f t="shared" si="1"/>
        <v>0</v>
      </c>
      <c r="Q24" s="180">
        <f t="shared" si="2"/>
        <v>1</v>
      </c>
      <c r="R24" s="3"/>
      <c r="S24" s="3">
        <f t="shared" si="3"/>
        <v>1</v>
      </c>
      <c r="T24" s="3"/>
      <c r="U24" s="3" t="str">
        <f t="shared" si="0"/>
        <v>Mertens-case3</v>
      </c>
      <c r="V24" s="3">
        <f>COUNTA(X24:AF24)</f>
        <v>1</v>
      </c>
      <c r="W24" s="3"/>
      <c r="Y24" s="179" t="s">
        <v>362</v>
      </c>
      <c r="AK24" t="s">
        <v>363</v>
      </c>
    </row>
    <row r="25" spans="1:37" x14ac:dyDescent="0.2">
      <c r="A25" s="3">
        <f>PH_Cases!A25</f>
        <v>94</v>
      </c>
      <c r="B25" s="3" t="str">
        <f>PH_Cases!B25</f>
        <v>Nagamatsu/McEvoy</v>
      </c>
      <c r="C25" s="3" t="str">
        <f>PH_Cases!S25</f>
        <v>Low</v>
      </c>
      <c r="D25" s="3">
        <f>PH_Cases!Y25</f>
        <v>0</v>
      </c>
      <c r="E25" s="3"/>
      <c r="F25" s="3"/>
      <c r="G25" s="3"/>
      <c r="H25" s="3"/>
      <c r="I25" s="3"/>
      <c r="J25" s="3"/>
      <c r="K25" s="3"/>
      <c r="L25" s="3"/>
      <c r="N25" s="3"/>
      <c r="O25" s="3"/>
      <c r="P25" s="3">
        <f t="shared" si="1"/>
        <v>0</v>
      </c>
      <c r="Q25" s="180">
        <f t="shared" si="2"/>
        <v>1</v>
      </c>
      <c r="R25" s="3"/>
      <c r="S25" s="3">
        <f t="shared" si="3"/>
        <v>1</v>
      </c>
      <c r="T25" s="3"/>
      <c r="U25" s="3" t="str">
        <f t="shared" si="0"/>
        <v>Nagamatsu/McEvoy</v>
      </c>
      <c r="V25" s="3">
        <f>COUNTA(X25:AF25)</f>
        <v>1</v>
      </c>
      <c r="W25" s="3"/>
      <c r="Y25" s="179" t="s">
        <v>362</v>
      </c>
    </row>
    <row r="26" spans="1:37" x14ac:dyDescent="0.2">
      <c r="A26" s="3">
        <f>PH_Cases!A26</f>
        <v>95</v>
      </c>
      <c r="B26" s="3" t="str">
        <f>PH_Cases!B26</f>
        <v>Nariai</v>
      </c>
      <c r="C26" s="3" t="str">
        <f>PH_Cases!S26</f>
        <v>Low</v>
      </c>
      <c r="D26" s="3">
        <f>PH_Cases!Y26</f>
        <v>0.84</v>
      </c>
      <c r="E26" s="3"/>
      <c r="F26" s="3"/>
      <c r="G26" s="3" t="s">
        <v>364</v>
      </c>
      <c r="H26" s="3"/>
      <c r="I26" s="3"/>
      <c r="J26" s="3"/>
      <c r="K26" s="3"/>
      <c r="L26" s="3"/>
      <c r="N26" s="3"/>
      <c r="O26" s="3"/>
      <c r="P26" s="3">
        <f t="shared" si="1"/>
        <v>1</v>
      </c>
      <c r="Q26" s="3">
        <f t="shared" si="2"/>
        <v>0</v>
      </c>
      <c r="R26" s="3"/>
      <c r="S26" s="3">
        <f t="shared" si="3"/>
        <v>2</v>
      </c>
      <c r="T26" s="3"/>
      <c r="U26" s="3" t="str">
        <f t="shared" si="0"/>
        <v>Nariai</v>
      </c>
      <c r="V26" s="3">
        <f>COUNTA(X26:AF26)</f>
        <v>1</v>
      </c>
      <c r="W26" s="3"/>
      <c r="AE26" s="179" t="s">
        <v>342</v>
      </c>
      <c r="AF26" s="179"/>
    </row>
    <row r="27" spans="1:37" x14ac:dyDescent="0.2">
      <c r="A27" s="3">
        <f>PH_Cases!A27</f>
        <v>96</v>
      </c>
      <c r="B27" s="3" t="str">
        <f>PH_Cases!B27</f>
        <v>Penn/Marston</v>
      </c>
      <c r="C27" s="3">
        <f>PH_Cases!S27</f>
        <v>0</v>
      </c>
      <c r="D27" s="3">
        <f>PH_Cases!Y27</f>
        <v>0</v>
      </c>
      <c r="E27" s="3"/>
      <c r="F27" s="3"/>
      <c r="G27" s="3"/>
      <c r="H27" s="3"/>
      <c r="I27" s="3"/>
      <c r="J27" s="3"/>
      <c r="K27" s="3" t="s">
        <v>350</v>
      </c>
      <c r="L27" s="3"/>
      <c r="M27" s="3" t="s">
        <v>351</v>
      </c>
      <c r="N27" s="3"/>
      <c r="O27" s="3"/>
      <c r="P27" s="3">
        <f t="shared" si="1"/>
        <v>2</v>
      </c>
      <c r="Q27" s="3">
        <f t="shared" si="2"/>
        <v>0</v>
      </c>
      <c r="R27" s="3"/>
      <c r="S27" s="3">
        <f t="shared" si="3"/>
        <v>5</v>
      </c>
      <c r="T27" s="3"/>
      <c r="U27" s="3" t="str">
        <f t="shared" si="0"/>
        <v>Penn/Marston</v>
      </c>
      <c r="V27" s="3">
        <f>COUNTA(X27:AF27)</f>
        <v>3</v>
      </c>
      <c r="W27" s="3"/>
      <c r="X27" s="179" t="s">
        <v>365</v>
      </c>
      <c r="AA27" s="179" t="s">
        <v>357</v>
      </c>
      <c r="AB27" s="182"/>
      <c r="AC27" s="179" t="s">
        <v>339</v>
      </c>
      <c r="AG27" s="7" t="s">
        <v>343</v>
      </c>
      <c r="AH27" s="7" t="s">
        <v>361</v>
      </c>
      <c r="AI27" s="7" t="s">
        <v>360</v>
      </c>
      <c r="AJ27" s="7" t="s">
        <v>366</v>
      </c>
      <c r="AK27" t="s">
        <v>367</v>
      </c>
    </row>
    <row r="28" spans="1:37" x14ac:dyDescent="0.2">
      <c r="A28" s="3">
        <f>PH_Cases!A28</f>
        <v>97</v>
      </c>
      <c r="B28" s="3" t="str">
        <f>PH_Cases!B28</f>
        <v>Petersen</v>
      </c>
      <c r="C28" s="3">
        <f>PH_Cases!S28</f>
        <v>0</v>
      </c>
      <c r="D28" s="3">
        <f>PH_Cases!Y28</f>
        <v>0</v>
      </c>
      <c r="E28" s="3"/>
      <c r="F28" s="3"/>
      <c r="G28" s="3"/>
      <c r="H28" s="3"/>
      <c r="I28" s="3"/>
      <c r="J28" s="3"/>
      <c r="K28" s="3"/>
      <c r="L28" s="3"/>
      <c r="N28" s="3"/>
      <c r="O28" s="3"/>
      <c r="P28" s="3">
        <f t="shared" si="1"/>
        <v>0</v>
      </c>
      <c r="Q28" s="180">
        <f t="shared" si="2"/>
        <v>1</v>
      </c>
      <c r="R28" s="3"/>
      <c r="S28" s="180">
        <f t="shared" si="3"/>
        <v>0</v>
      </c>
      <c r="T28" s="3"/>
      <c r="U28" s="3" t="str">
        <f t="shared" si="0"/>
        <v>Petersen</v>
      </c>
      <c r="V28" s="3"/>
      <c r="W28" s="3"/>
      <c r="AJ28" s="7" t="s">
        <v>368</v>
      </c>
    </row>
    <row r="29" spans="1:37" x14ac:dyDescent="0.2">
      <c r="A29" s="3">
        <f>PH_Cases!A29</f>
        <v>98</v>
      </c>
      <c r="B29" s="3" t="str">
        <f>PH_Cases!B29</f>
        <v>Quinn/Moore/Frank</v>
      </c>
      <c r="C29" s="3"/>
      <c r="D29" s="3"/>
      <c r="E29" s="3"/>
      <c r="F29" s="3"/>
      <c r="G29" s="3" t="s">
        <v>347</v>
      </c>
      <c r="H29" s="3"/>
      <c r="I29" s="3"/>
      <c r="J29" s="3"/>
      <c r="K29" s="3" t="s">
        <v>350</v>
      </c>
      <c r="L29" s="3"/>
      <c r="M29" s="3" t="s">
        <v>351</v>
      </c>
      <c r="N29" s="3" t="s">
        <v>369</v>
      </c>
      <c r="O29" s="3" t="s">
        <v>370</v>
      </c>
      <c r="P29" s="3">
        <f t="shared" si="1"/>
        <v>5</v>
      </c>
      <c r="Q29" s="3">
        <f t="shared" si="2"/>
        <v>0</v>
      </c>
      <c r="R29" s="3"/>
      <c r="S29" s="3">
        <f t="shared" si="3"/>
        <v>7</v>
      </c>
      <c r="T29" s="3"/>
      <c r="U29" s="3" t="str">
        <f t="shared" si="0"/>
        <v>Quinn/Moore/Frank</v>
      </c>
      <c r="V29" s="3">
        <f>COUNTA(X29:AF29)</f>
        <v>2</v>
      </c>
      <c r="W29" s="3"/>
      <c r="Z29" s="179" t="s">
        <v>331</v>
      </c>
      <c r="AC29" s="179" t="s">
        <v>339</v>
      </c>
    </row>
    <row r="30" spans="1:37" x14ac:dyDescent="0.2">
      <c r="A30" s="3">
        <f>PH_Cases!A30</f>
        <v>99</v>
      </c>
      <c r="B30" s="3" t="str">
        <f>PH_Cases!B30</f>
        <v>Ratanachu a</v>
      </c>
      <c r="C30" s="3">
        <f>PH_Cases!S30</f>
        <v>0</v>
      </c>
      <c r="D30" s="3" t="str">
        <f>PH_Cases!Y30</f>
        <v>0.15-0.3</v>
      </c>
      <c r="E30" s="3"/>
      <c r="F30" s="3"/>
      <c r="G30" s="3" t="s">
        <v>347</v>
      </c>
      <c r="H30" s="3"/>
      <c r="I30" s="3"/>
      <c r="J30" s="3"/>
      <c r="K30" s="3" t="s">
        <v>371</v>
      </c>
      <c r="L30" s="3"/>
      <c r="M30" s="3" t="s">
        <v>372</v>
      </c>
      <c r="N30" s="3"/>
      <c r="O30" s="3"/>
      <c r="P30" s="3">
        <f t="shared" si="1"/>
        <v>3</v>
      </c>
      <c r="Q30" s="3">
        <f t="shared" si="2"/>
        <v>0</v>
      </c>
      <c r="R30" s="3"/>
      <c r="S30" s="3">
        <f t="shared" si="3"/>
        <v>3</v>
      </c>
      <c r="T30" s="3"/>
      <c r="U30" s="3" t="str">
        <f t="shared" si="0"/>
        <v>Ratanachu a</v>
      </c>
      <c r="V30" s="3"/>
      <c r="W30" s="3"/>
    </row>
    <row r="31" spans="1:37" x14ac:dyDescent="0.2">
      <c r="A31" s="3">
        <f>PH_Cases!A31</f>
        <v>99</v>
      </c>
      <c r="B31" s="3" t="str">
        <f>PH_Cases!B31</f>
        <v>Ratanachu b</v>
      </c>
      <c r="C31" s="3">
        <f>PH_Cases!S31</f>
        <v>0</v>
      </c>
      <c r="D31" s="3" t="str">
        <f>PH_Cases!Y31</f>
        <v>0.15-0.3</v>
      </c>
      <c r="E31" s="3"/>
      <c r="F31" s="3"/>
      <c r="G31" s="3" t="s">
        <v>347</v>
      </c>
      <c r="H31" s="3"/>
      <c r="I31" s="3"/>
      <c r="J31" s="3"/>
      <c r="K31" s="3" t="s">
        <v>371</v>
      </c>
      <c r="L31" s="3"/>
      <c r="M31" s="3" t="s">
        <v>372</v>
      </c>
      <c r="N31" s="3"/>
      <c r="O31" s="3"/>
      <c r="P31" s="3">
        <f t="shared" si="1"/>
        <v>3</v>
      </c>
      <c r="Q31" s="3">
        <f t="shared" si="2"/>
        <v>0</v>
      </c>
      <c r="R31" s="3"/>
      <c r="S31" s="3">
        <f t="shared" si="3"/>
        <v>3</v>
      </c>
      <c r="T31" s="3"/>
      <c r="U31" s="3" t="str">
        <f t="shared" si="0"/>
        <v>Ratanachu b</v>
      </c>
      <c r="V31" s="3"/>
      <c r="W31" s="3"/>
    </row>
    <row r="32" spans="1:37" x14ac:dyDescent="0.2">
      <c r="A32" s="3">
        <f>PH_Cases!A32</f>
        <v>100</v>
      </c>
      <c r="B32" s="3" t="str">
        <f>PH_Cases!B32</f>
        <v>Sakamornchai a</v>
      </c>
      <c r="C32" s="3">
        <f>PH_Cases!S32</f>
        <v>0</v>
      </c>
      <c r="D32" s="3">
        <f>PH_Cases!Y32</f>
        <v>0.3</v>
      </c>
      <c r="E32" s="3"/>
      <c r="F32" s="3"/>
      <c r="G32" s="3"/>
      <c r="H32" s="3"/>
      <c r="I32" s="3" t="s">
        <v>349</v>
      </c>
      <c r="J32" s="3" t="s">
        <v>373</v>
      </c>
      <c r="K32" s="3" t="s">
        <v>350</v>
      </c>
      <c r="L32" s="3"/>
      <c r="M32" s="3" t="s">
        <v>351</v>
      </c>
      <c r="N32" s="3"/>
      <c r="O32" s="3"/>
      <c r="P32" s="3">
        <f t="shared" si="1"/>
        <v>4</v>
      </c>
      <c r="Q32" s="3">
        <f t="shared" si="2"/>
        <v>0</v>
      </c>
      <c r="R32" s="3"/>
      <c r="S32" s="3">
        <f t="shared" si="3"/>
        <v>5</v>
      </c>
      <c r="T32" s="3"/>
      <c r="U32" s="3" t="str">
        <f t="shared" si="0"/>
        <v>Sakamornchai a</v>
      </c>
      <c r="V32" s="3">
        <f>COUNTA(X32:AF32)</f>
        <v>1</v>
      </c>
      <c r="W32" s="3"/>
      <c r="AF32" s="179" t="s">
        <v>374</v>
      </c>
      <c r="AG32" s="7" t="s">
        <v>337</v>
      </c>
      <c r="AK32" t="s">
        <v>375</v>
      </c>
    </row>
    <row r="33" spans="1:37" x14ac:dyDescent="0.2">
      <c r="A33" s="3">
        <f>PH_Cases!A33</f>
        <v>100</v>
      </c>
      <c r="B33" s="3" t="str">
        <f>PH_Cases!B33</f>
        <v>Sakamornchai b</v>
      </c>
      <c r="C33" s="3" t="str">
        <f>PH_Cases!S33</f>
        <v>Normal</v>
      </c>
      <c r="D33" s="3">
        <f>PH_Cases!Y33</f>
        <v>0.3</v>
      </c>
      <c r="E33" s="3"/>
      <c r="F33" s="3"/>
      <c r="G33" s="3" t="s">
        <v>376</v>
      </c>
      <c r="H33" s="3"/>
      <c r="I33" s="3"/>
      <c r="J33" s="3" t="s">
        <v>373</v>
      </c>
      <c r="K33" s="3" t="s">
        <v>350</v>
      </c>
      <c r="L33" s="3"/>
      <c r="M33" s="3" t="s">
        <v>351</v>
      </c>
      <c r="P33" s="3">
        <f t="shared" si="1"/>
        <v>4</v>
      </c>
      <c r="Q33" s="3">
        <f t="shared" si="2"/>
        <v>0</v>
      </c>
      <c r="R33" s="3"/>
      <c r="S33" s="3">
        <f t="shared" si="3"/>
        <v>5</v>
      </c>
      <c r="T33" s="3"/>
      <c r="U33" s="3" t="str">
        <f t="shared" si="0"/>
        <v>Sakamornchai b</v>
      </c>
      <c r="V33" s="3">
        <f>COUNTA(X33:AF33)</f>
        <v>1</v>
      </c>
      <c r="W33" s="3"/>
      <c r="AF33" s="179" t="s">
        <v>374</v>
      </c>
      <c r="AJ33" s="7"/>
    </row>
    <row r="34" spans="1:37" x14ac:dyDescent="0.2">
      <c r="A34" s="3">
        <f>PH_Cases!A34</f>
        <v>101</v>
      </c>
      <c r="B34" s="3" t="str">
        <f>PH_Cases!B34</f>
        <v>Shah</v>
      </c>
      <c r="C34" s="3" t="str">
        <f>PH_Cases!S34</f>
        <v>Low</v>
      </c>
      <c r="D34" s="3">
        <f>PH_Cases!Y34</f>
        <v>1</v>
      </c>
      <c r="E34" s="3"/>
      <c r="F34" s="3"/>
      <c r="G34" s="3"/>
      <c r="H34" s="3"/>
      <c r="I34" s="3"/>
      <c r="J34" s="3"/>
      <c r="K34" s="3"/>
      <c r="L34" s="3"/>
      <c r="N34" s="3"/>
      <c r="O34" s="3"/>
      <c r="P34" s="3">
        <f t="shared" si="1"/>
        <v>0</v>
      </c>
      <c r="Q34" s="180">
        <f t="shared" si="2"/>
        <v>1</v>
      </c>
      <c r="R34" s="3"/>
      <c r="S34" s="180">
        <f t="shared" si="3"/>
        <v>0</v>
      </c>
      <c r="T34" s="3"/>
      <c r="U34" s="3" t="str">
        <f t="shared" si="0"/>
        <v>Shah</v>
      </c>
      <c r="V34" s="3"/>
      <c r="W34" s="3"/>
    </row>
    <row r="35" spans="1:37" ht="25.5" x14ac:dyDescent="0.2">
      <c r="A35" s="3">
        <f>PH_Cases!A35</f>
        <v>102</v>
      </c>
      <c r="B35" s="3" t="str">
        <f>PH_Cases!B35</f>
        <v>Singh</v>
      </c>
      <c r="C35" s="3">
        <f>PH_Cases!S35</f>
        <v>0</v>
      </c>
      <c r="D35" s="3">
        <f>PH_Cases!Y35</f>
        <v>0</v>
      </c>
      <c r="E35" s="3"/>
      <c r="F35" s="3"/>
      <c r="G35" s="3"/>
      <c r="H35" s="3"/>
      <c r="I35" s="3"/>
      <c r="J35" s="3"/>
      <c r="K35" s="3"/>
      <c r="L35" s="3"/>
      <c r="N35" s="3"/>
      <c r="O35" s="3"/>
      <c r="P35" s="3">
        <f t="shared" si="1"/>
        <v>0</v>
      </c>
      <c r="Q35" s="180">
        <f t="shared" si="2"/>
        <v>1</v>
      </c>
      <c r="R35" s="3"/>
      <c r="S35" s="3">
        <f t="shared" si="3"/>
        <v>3</v>
      </c>
      <c r="T35" s="3"/>
      <c r="U35" s="3" t="str">
        <f t="shared" si="0"/>
        <v>Singh</v>
      </c>
      <c r="V35" s="3">
        <f>COUNTA(X35:AF35)</f>
        <v>3</v>
      </c>
      <c r="W35" s="3"/>
      <c r="AA35" s="179" t="s">
        <v>377</v>
      </c>
      <c r="AB35" s="179" t="s">
        <v>357</v>
      </c>
      <c r="AC35" s="179" t="s">
        <v>339</v>
      </c>
      <c r="AG35" s="7" t="s">
        <v>337</v>
      </c>
      <c r="AJ35" s="183" t="s">
        <v>378</v>
      </c>
      <c r="AK35" t="s">
        <v>379</v>
      </c>
    </row>
    <row r="36" spans="1:37" ht="25.5" x14ac:dyDescent="0.2">
      <c r="A36" s="3">
        <f>PH_Cases!A36</f>
        <v>103</v>
      </c>
      <c r="B36" s="3" t="str">
        <f>PH_Cases!B36</f>
        <v>Tan/Leong</v>
      </c>
      <c r="C36" s="3">
        <f>PH_Cases!S36</f>
        <v>0</v>
      </c>
      <c r="D36" s="3">
        <f>PH_Cases!Y36</f>
        <v>1</v>
      </c>
      <c r="E36" s="3"/>
      <c r="F36" s="3"/>
      <c r="G36" s="3"/>
      <c r="H36" s="3"/>
      <c r="I36" s="3"/>
      <c r="J36" s="3"/>
      <c r="K36" s="3"/>
      <c r="L36" s="3"/>
      <c r="N36" s="3"/>
      <c r="O36" s="3"/>
      <c r="P36" s="3">
        <f t="shared" si="1"/>
        <v>0</v>
      </c>
      <c r="Q36" s="3">
        <f t="shared" si="2"/>
        <v>1</v>
      </c>
      <c r="R36" s="3"/>
      <c r="S36" s="3">
        <f t="shared" si="3"/>
        <v>4</v>
      </c>
      <c r="T36" s="3"/>
      <c r="U36" s="3" t="str">
        <f t="shared" si="0"/>
        <v>Tan/Leong</v>
      </c>
      <c r="V36" s="3">
        <f>COUNTA(X36:AF36)</f>
        <v>4</v>
      </c>
      <c r="W36" s="3"/>
      <c r="X36" s="179" t="s">
        <v>380</v>
      </c>
      <c r="Z36" s="179" t="s">
        <v>331</v>
      </c>
      <c r="AC36" s="184" t="s">
        <v>381</v>
      </c>
      <c r="AD36" s="184" t="s">
        <v>382</v>
      </c>
    </row>
    <row r="37" spans="1:37" x14ac:dyDescent="0.2">
      <c r="A37" s="3">
        <f>PH_Cases!A37</f>
        <v>104</v>
      </c>
      <c r="B37" s="3" t="str">
        <f>PH_Cases!B37</f>
        <v>Ueki</v>
      </c>
      <c r="C37" s="3" t="str">
        <f>PH_Cases!S37</f>
        <v>Normal</v>
      </c>
      <c r="D37" s="3">
        <f>PH_Cases!Y37</f>
        <v>1</v>
      </c>
      <c r="E37" s="3"/>
      <c r="F37" s="3"/>
      <c r="G37" s="3"/>
      <c r="H37" s="3"/>
      <c r="I37" s="3"/>
      <c r="J37" s="3"/>
      <c r="K37" s="3"/>
      <c r="L37" s="3"/>
      <c r="M37" s="3" t="s">
        <v>351</v>
      </c>
      <c r="N37" s="3"/>
      <c r="O37" s="3"/>
      <c r="P37" s="3">
        <f t="shared" si="1"/>
        <v>1</v>
      </c>
      <c r="Q37" s="3">
        <f t="shared" si="2"/>
        <v>0</v>
      </c>
      <c r="R37" s="3"/>
      <c r="S37" s="3">
        <f t="shared" si="3"/>
        <v>1</v>
      </c>
      <c r="T37" s="3"/>
      <c r="U37" s="3" t="str">
        <f t="shared" si="0"/>
        <v>Ueki</v>
      </c>
      <c r="V37" s="3"/>
      <c r="W37" s="3"/>
    </row>
    <row r="38" spans="1:37" x14ac:dyDescent="0.2">
      <c r="A38" s="3">
        <f>PH_Cases!A38</f>
        <v>105</v>
      </c>
      <c r="B38" s="3" t="s">
        <v>268</v>
      </c>
      <c r="C38" s="3"/>
      <c r="D38" s="3"/>
      <c r="E38" s="3"/>
      <c r="F38" s="3"/>
      <c r="G38" s="3"/>
      <c r="H38" s="3"/>
      <c r="I38" s="3"/>
      <c r="J38" s="3"/>
      <c r="K38" s="3"/>
      <c r="L38" s="3"/>
      <c r="N38" s="3"/>
      <c r="O38" s="3"/>
      <c r="P38" s="3">
        <f t="shared" si="1"/>
        <v>0</v>
      </c>
      <c r="Q38" s="3">
        <f t="shared" si="2"/>
        <v>1</v>
      </c>
      <c r="R38" s="3"/>
      <c r="S38" s="3">
        <f t="shared" si="3"/>
        <v>4</v>
      </c>
      <c r="T38" s="3"/>
      <c r="U38" s="3" t="str">
        <f t="shared" si="0"/>
        <v>Valencia</v>
      </c>
      <c r="V38" s="3">
        <f>COUNTA(X38:AF38)</f>
        <v>4</v>
      </c>
      <c r="W38" s="3"/>
      <c r="AA38" s="179" t="s">
        <v>357</v>
      </c>
      <c r="AC38" s="179" t="s">
        <v>339</v>
      </c>
      <c r="AD38" s="179" t="s">
        <v>383</v>
      </c>
      <c r="AE38" s="179" t="s">
        <v>342</v>
      </c>
      <c r="AF38" s="179"/>
      <c r="AG38" s="7" t="s">
        <v>344</v>
      </c>
    </row>
    <row r="40" spans="1:37" x14ac:dyDescent="0.2">
      <c r="B40" s="38">
        <f>COUNTA(B7:B38)</f>
        <v>32</v>
      </c>
      <c r="E40" t="s">
        <v>269</v>
      </c>
      <c r="F40" s="38">
        <f>COUNTA(F7:F38)</f>
        <v>1</v>
      </c>
      <c r="G40" s="38">
        <f>COUNTA(G7:G38)</f>
        <v>7</v>
      </c>
      <c r="H40" s="38">
        <f>COUNTA(H7:H38)</f>
        <v>1</v>
      </c>
      <c r="I40" s="38">
        <f>COUNTA(I7:I38)</f>
        <v>4</v>
      </c>
      <c r="J40" s="38"/>
      <c r="K40" s="38">
        <f>COUNTA(K7:K38)</f>
        <v>7</v>
      </c>
      <c r="N40" s="2"/>
      <c r="O40" s="2" t="s">
        <v>384</v>
      </c>
      <c r="P40" s="38">
        <f>COUNTIF(P7:P38,"&gt;=1")</f>
        <v>14</v>
      </c>
      <c r="Q40" s="38">
        <f>COUNTIF(Q7:Q38,"=1")</f>
        <v>17</v>
      </c>
      <c r="R40" s="185" t="s">
        <v>385</v>
      </c>
      <c r="S40" s="186">
        <f>COUNTIF(S2:S38,"=0")</f>
        <v>7</v>
      </c>
      <c r="U40" s="2" t="s">
        <v>384</v>
      </c>
      <c r="V40" s="186">
        <f>COUNTIF(V2:V38,"&gt;0")</f>
        <v>18</v>
      </c>
      <c r="Y40" s="38">
        <f t="shared" ref="Y40:AE40" si="4">COUNTA(Y7:Y38)</f>
        <v>2</v>
      </c>
      <c r="Z40" s="38">
        <f t="shared" si="4"/>
        <v>3</v>
      </c>
      <c r="AA40" s="38">
        <f t="shared" si="4"/>
        <v>4</v>
      </c>
      <c r="AB40" s="38">
        <f t="shared" si="4"/>
        <v>1</v>
      </c>
      <c r="AC40" s="38">
        <f t="shared" si="4"/>
        <v>10</v>
      </c>
      <c r="AD40" s="38">
        <f t="shared" si="4"/>
        <v>3</v>
      </c>
      <c r="AE40" s="38">
        <f t="shared" si="4"/>
        <v>4</v>
      </c>
      <c r="AF40" s="38"/>
      <c r="AG40" s="38">
        <f>COUNTA(AG7:AG38)</f>
        <v>7</v>
      </c>
      <c r="AH40" s="38">
        <f>COUNTA(AH7:AH38)</f>
        <v>3</v>
      </c>
      <c r="AI40" s="38">
        <f>COUNTA(AI7:AI38)</f>
        <v>2</v>
      </c>
      <c r="AJ40" s="38">
        <f>COUNTA(AJ7:AJ38)</f>
        <v>6</v>
      </c>
    </row>
    <row r="41" spans="1:37" x14ac:dyDescent="0.2">
      <c r="B41" s="38">
        <f>B40-1</f>
        <v>31</v>
      </c>
      <c r="G41" s="38"/>
      <c r="I41" s="38"/>
      <c r="J41" s="38"/>
      <c r="K41" s="38"/>
      <c r="N41" s="2"/>
      <c r="O41" s="2"/>
      <c r="P41" s="38"/>
      <c r="Q41" s="38"/>
      <c r="R41" s="38"/>
      <c r="S41" s="38"/>
      <c r="U41" s="38"/>
      <c r="V41" s="38"/>
    </row>
    <row r="42" spans="1:37" x14ac:dyDescent="0.2">
      <c r="B42" s="3" t="s">
        <v>386</v>
      </c>
      <c r="O42" s="2"/>
      <c r="P42" s="38"/>
      <c r="Q42" s="38"/>
      <c r="R42" s="38"/>
      <c r="S42" s="38"/>
      <c r="U42" s="187" t="s">
        <v>387</v>
      </c>
      <c r="V42" s="177">
        <f>B41-V40</f>
        <v>13</v>
      </c>
      <c r="AE42" s="2"/>
      <c r="AF42" s="2"/>
      <c r="AG42" s="2"/>
      <c r="AH42" s="2"/>
      <c r="AI42" s="2"/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&amp;CSivu &amp;P</oddFooter>
  </headerFooter>
  <colBreaks count="1" manualBreakCount="1">
    <brk id="12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7"/>
  <sheetViews>
    <sheetView zoomScale="90" zoomScaleNormal="90" workbookViewId="0">
      <selection activeCellId="1" sqref="S28 A1"/>
    </sheetView>
  </sheetViews>
  <sheetFormatPr defaultColWidth="11.5703125" defaultRowHeight="12.75" x14ac:dyDescent="0.2"/>
  <cols>
    <col min="1" max="3" width="11.5703125" style="3"/>
    <col min="8" max="8" width="11.5703125" style="3"/>
  </cols>
  <sheetData>
    <row r="1" spans="1:8" ht="21" customHeight="1" x14ac:dyDescent="0.2">
      <c r="A1" s="3" t="s">
        <v>411</v>
      </c>
      <c r="B1" s="3" t="s">
        <v>56</v>
      </c>
      <c r="C1" s="3" t="s">
        <v>423</v>
      </c>
      <c r="D1" s="3" t="s">
        <v>424</v>
      </c>
      <c r="E1" s="3" t="s">
        <v>425</v>
      </c>
      <c r="F1" s="3" t="s">
        <v>426</v>
      </c>
      <c r="G1" s="3" t="s">
        <v>421</v>
      </c>
      <c r="H1" s="3" t="s">
        <v>422</v>
      </c>
    </row>
    <row r="2" spans="1:8" ht="21" customHeight="1" x14ac:dyDescent="0.2">
      <c r="A2" s="3">
        <v>0</v>
      </c>
      <c r="B2" s="3">
        <v>48</v>
      </c>
      <c r="C2" s="3">
        <v>52</v>
      </c>
      <c r="D2" s="80">
        <v>27</v>
      </c>
      <c r="E2" s="56">
        <v>2.5</v>
      </c>
      <c r="F2" s="56">
        <f>10*E2</f>
        <v>25</v>
      </c>
      <c r="G2" s="80">
        <v>7</v>
      </c>
      <c r="H2" s="3">
        <f>(G2-5)*2.5</f>
        <v>5</v>
      </c>
    </row>
    <row r="3" spans="1:8" ht="21" customHeight="1" x14ac:dyDescent="0.2">
      <c r="A3" s="3">
        <v>1</v>
      </c>
      <c r="C3" s="3">
        <v>38</v>
      </c>
      <c r="D3" s="80">
        <v>18</v>
      </c>
      <c r="E3" s="56">
        <v>1</v>
      </c>
      <c r="F3" s="56">
        <f>10*E3</f>
        <v>10</v>
      </c>
      <c r="G3" s="80">
        <v>20</v>
      </c>
      <c r="H3" s="3">
        <f>(G3-5)*2.5</f>
        <v>37.5</v>
      </c>
    </row>
    <row r="4" spans="1:8" ht="21" customHeight="1" x14ac:dyDescent="0.2">
      <c r="A4" s="3">
        <v>8</v>
      </c>
      <c r="B4" s="3">
        <v>15</v>
      </c>
      <c r="C4" s="3">
        <v>28</v>
      </c>
      <c r="D4" s="80">
        <v>5</v>
      </c>
      <c r="E4" s="56">
        <v>1</v>
      </c>
      <c r="F4" s="56">
        <f>10*E4</f>
        <v>10</v>
      </c>
      <c r="G4" s="80">
        <v>23</v>
      </c>
      <c r="H4" s="3">
        <f>(G4-5)*2.5</f>
        <v>45</v>
      </c>
    </row>
    <row r="7" spans="1:8" x14ac:dyDescent="0.2">
      <c r="F7" s="56"/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6"/>
  <sheetViews>
    <sheetView zoomScaleNormal="100" workbookViewId="0">
      <selection activeCell="A3" activeCellId="1" sqref="S28 A3"/>
    </sheetView>
  </sheetViews>
  <sheetFormatPr defaultColWidth="8.7109375" defaultRowHeight="12.75" x14ac:dyDescent="0.2"/>
  <cols>
    <col min="2" max="3" width="9.140625" style="3" customWidth="1"/>
    <col min="4" max="4" width="9.140625" style="50" customWidth="1"/>
  </cols>
  <sheetData>
    <row r="1" spans="1:4" x14ac:dyDescent="0.2">
      <c r="A1" s="3" t="s">
        <v>411</v>
      </c>
      <c r="B1" s="3" t="s">
        <v>56</v>
      </c>
      <c r="C1" s="3" t="s">
        <v>424</v>
      </c>
      <c r="D1" s="50" t="s">
        <v>421</v>
      </c>
    </row>
    <row r="2" spans="1:4" x14ac:dyDescent="0.2">
      <c r="A2" s="3">
        <v>-30</v>
      </c>
      <c r="C2" s="80"/>
      <c r="D2" s="56">
        <v>23</v>
      </c>
    </row>
    <row r="3" spans="1:4" x14ac:dyDescent="0.2">
      <c r="A3" s="3">
        <v>0</v>
      </c>
      <c r="B3" s="3">
        <v>45</v>
      </c>
      <c r="C3" s="80">
        <v>23</v>
      </c>
      <c r="D3" s="56">
        <v>9.5</v>
      </c>
    </row>
    <row r="4" spans="1:4" x14ac:dyDescent="0.2">
      <c r="A4" s="3">
        <v>5</v>
      </c>
      <c r="B4" s="3">
        <v>48</v>
      </c>
      <c r="C4" s="80"/>
      <c r="D4" s="56"/>
    </row>
    <row r="5" spans="1:4" x14ac:dyDescent="0.2">
      <c r="A5" s="3">
        <v>14</v>
      </c>
      <c r="B5" s="3">
        <v>39</v>
      </c>
    </row>
    <row r="6" spans="1:4" x14ac:dyDescent="0.2">
      <c r="A6" s="3">
        <v>23</v>
      </c>
      <c r="B6" s="3">
        <v>24</v>
      </c>
      <c r="C6" s="3">
        <v>14</v>
      </c>
    </row>
  </sheetData>
  <pageMargins left="0.7" right="0.7" top="0.75" bottom="0.75" header="0.511811023622047" footer="0.511811023622047"/>
  <pageSetup orientation="portrait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7"/>
  <sheetViews>
    <sheetView topLeftCell="C1" zoomScale="90" zoomScaleNormal="90" workbookViewId="0">
      <selection activeCell="B1" activeCellId="1" sqref="S28 B1"/>
    </sheetView>
  </sheetViews>
  <sheetFormatPr defaultColWidth="11.5703125" defaultRowHeight="12.75" x14ac:dyDescent="0.2"/>
  <cols>
    <col min="1" max="2" width="11.5703125" style="3"/>
    <col min="4" max="5" width="11.5703125" style="3"/>
  </cols>
  <sheetData>
    <row r="1" spans="1:5" x14ac:dyDescent="0.2">
      <c r="A1" s="3" t="s">
        <v>411</v>
      </c>
      <c r="B1" s="3" t="s">
        <v>54</v>
      </c>
      <c r="C1" s="3" t="s">
        <v>56</v>
      </c>
      <c r="D1" s="3" t="s">
        <v>421</v>
      </c>
      <c r="E1" s="3" t="s">
        <v>422</v>
      </c>
    </row>
    <row r="2" spans="1:5" x14ac:dyDescent="0.2">
      <c r="A2" s="3">
        <v>0</v>
      </c>
      <c r="B2" s="3">
        <v>75</v>
      </c>
      <c r="C2" s="56">
        <f t="shared" ref="C2:C7" si="0">0.61*B2 +2</f>
        <v>47.75</v>
      </c>
      <c r="D2" s="3">
        <v>12.1</v>
      </c>
      <c r="E2" s="3">
        <f t="shared" ref="E2:E7" si="1">5*(D2-10)</f>
        <v>10.499999999999998</v>
      </c>
    </row>
    <row r="3" spans="1:5" x14ac:dyDescent="0.2">
      <c r="A3" s="3">
        <v>1</v>
      </c>
      <c r="B3" s="3">
        <v>57</v>
      </c>
      <c r="C3" s="56">
        <f t="shared" si="0"/>
        <v>36.769999999999996</v>
      </c>
      <c r="D3" s="3">
        <v>14.6</v>
      </c>
      <c r="E3" s="3">
        <f t="shared" si="1"/>
        <v>23</v>
      </c>
    </row>
    <row r="4" spans="1:5" x14ac:dyDescent="0.2">
      <c r="A4" s="3">
        <v>2</v>
      </c>
      <c r="B4" s="3">
        <v>35</v>
      </c>
      <c r="C4" s="56">
        <f t="shared" si="0"/>
        <v>23.349999999999998</v>
      </c>
      <c r="D4" s="3">
        <v>15.6</v>
      </c>
      <c r="E4" s="3">
        <f t="shared" si="1"/>
        <v>28</v>
      </c>
    </row>
    <row r="5" spans="1:5" x14ac:dyDescent="0.2">
      <c r="A5" s="3">
        <v>3</v>
      </c>
      <c r="B5" s="3">
        <v>26</v>
      </c>
      <c r="C5" s="56">
        <f t="shared" si="0"/>
        <v>17.86</v>
      </c>
      <c r="D5" s="3">
        <v>20.7</v>
      </c>
      <c r="E5" s="3">
        <f t="shared" si="1"/>
        <v>53.5</v>
      </c>
    </row>
    <row r="6" spans="1:5" x14ac:dyDescent="0.2">
      <c r="A6" s="3">
        <v>4</v>
      </c>
      <c r="B6" s="3">
        <v>30</v>
      </c>
      <c r="C6" s="56">
        <f t="shared" si="0"/>
        <v>20.3</v>
      </c>
      <c r="D6" s="3">
        <v>19.899999999999999</v>
      </c>
      <c r="E6" s="3">
        <f t="shared" si="1"/>
        <v>49.499999999999993</v>
      </c>
    </row>
    <row r="7" spans="1:5" x14ac:dyDescent="0.2">
      <c r="A7" s="3">
        <v>35</v>
      </c>
      <c r="B7" s="3">
        <v>22</v>
      </c>
      <c r="C7" s="56">
        <f t="shared" si="0"/>
        <v>15.42</v>
      </c>
      <c r="D7" s="3">
        <v>19.7</v>
      </c>
      <c r="E7" s="3">
        <f t="shared" si="1"/>
        <v>48.5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5"/>
  <sheetViews>
    <sheetView zoomScale="90" zoomScaleNormal="90" workbookViewId="0">
      <selection activeCell="E3" activeCellId="1" sqref="S28 E3"/>
    </sheetView>
  </sheetViews>
  <sheetFormatPr defaultColWidth="11.5703125" defaultRowHeight="12.75" x14ac:dyDescent="0.2"/>
  <cols>
    <col min="1" max="2" width="11.5703125" style="3"/>
    <col min="5" max="5" width="14" customWidth="1"/>
    <col min="6" max="10" width="11.5703125" style="3"/>
  </cols>
  <sheetData>
    <row r="1" spans="1:10" x14ac:dyDescent="0.2">
      <c r="A1" s="3" t="s">
        <v>411</v>
      </c>
      <c r="B1" s="3" t="s">
        <v>418</v>
      </c>
      <c r="C1" s="3" t="s">
        <v>55</v>
      </c>
      <c r="D1" s="3" t="s">
        <v>56</v>
      </c>
      <c r="E1" s="3" t="s">
        <v>427</v>
      </c>
      <c r="F1" s="3" t="s">
        <v>428</v>
      </c>
      <c r="G1" s="3" t="s">
        <v>429</v>
      </c>
      <c r="H1" s="3" t="s">
        <v>430</v>
      </c>
      <c r="I1" s="3" t="s">
        <v>421</v>
      </c>
      <c r="J1" s="3" t="s">
        <v>422</v>
      </c>
    </row>
    <row r="2" spans="1:10" x14ac:dyDescent="0.2">
      <c r="A2" s="3">
        <v>0</v>
      </c>
      <c r="B2" s="3">
        <v>3.3</v>
      </c>
      <c r="C2" s="56">
        <f>4*B2^2 +10</f>
        <v>53.559999999999995</v>
      </c>
      <c r="D2" s="56">
        <f>0.61*C2 +2</f>
        <v>34.671599999999998</v>
      </c>
      <c r="E2" s="80">
        <v>42</v>
      </c>
      <c r="F2" s="3">
        <v>16.899999999999999</v>
      </c>
      <c r="G2" s="3">
        <v>1.6</v>
      </c>
      <c r="H2" s="3">
        <v>2.2999999999999998</v>
      </c>
      <c r="I2" s="3">
        <v>4</v>
      </c>
      <c r="J2" s="3">
        <f>2*I2</f>
        <v>8</v>
      </c>
    </row>
    <row r="3" spans="1:10" x14ac:dyDescent="0.2">
      <c r="A3" s="3">
        <v>0.3</v>
      </c>
      <c r="B3" s="3">
        <v>2.6</v>
      </c>
      <c r="C3" s="56">
        <f>4*B3^2 +10</f>
        <v>37.040000000000006</v>
      </c>
      <c r="D3" s="56">
        <f>0.61*C3 +2</f>
        <v>24.594400000000004</v>
      </c>
      <c r="E3" s="80">
        <v>25</v>
      </c>
      <c r="F3" s="3">
        <v>33.799999999999997</v>
      </c>
      <c r="G3" s="3">
        <v>1.2</v>
      </c>
      <c r="H3" s="3">
        <v>1.1000000000000001</v>
      </c>
      <c r="I3" s="3">
        <v>15</v>
      </c>
      <c r="J3" s="3">
        <f>2*I3</f>
        <v>30</v>
      </c>
    </row>
    <row r="4" spans="1:10" x14ac:dyDescent="0.2">
      <c r="A4" s="3">
        <v>1</v>
      </c>
      <c r="B4" s="3">
        <v>2.2999999999999998</v>
      </c>
      <c r="C4" s="56">
        <f>4*B4^2 +10</f>
        <v>31.159999999999997</v>
      </c>
      <c r="D4" s="56">
        <f>0.61*C4 +2</f>
        <v>21.007599999999996</v>
      </c>
      <c r="E4" s="80"/>
      <c r="G4" s="3">
        <v>1.1000000000000001</v>
      </c>
      <c r="H4" s="3">
        <v>0.9</v>
      </c>
    </row>
    <row r="5" spans="1:10" x14ac:dyDescent="0.2">
      <c r="A5" s="3">
        <v>9</v>
      </c>
      <c r="B5" s="3">
        <v>2.2999999999999998</v>
      </c>
      <c r="C5" s="56">
        <f>4*B5^2 +10</f>
        <v>31.159999999999997</v>
      </c>
      <c r="D5" s="56">
        <f>0.61*C5 +2</f>
        <v>21.007599999999996</v>
      </c>
      <c r="E5" s="80"/>
      <c r="F5" s="3">
        <v>41.3</v>
      </c>
      <c r="G5" s="3">
        <v>1.1000000000000001</v>
      </c>
      <c r="H5" s="3">
        <v>1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13"/>
  <sheetViews>
    <sheetView zoomScale="90" zoomScaleNormal="90" workbookViewId="0">
      <selection activeCell="N34" activeCellId="1" sqref="S28 N34"/>
    </sheetView>
  </sheetViews>
  <sheetFormatPr defaultColWidth="11.5703125" defaultRowHeight="12.75" x14ac:dyDescent="0.2"/>
  <cols>
    <col min="1" max="1" width="11.5703125" style="3"/>
  </cols>
  <sheetData>
    <row r="1" spans="1:8" x14ac:dyDescent="0.2">
      <c r="A1" s="3" t="str">
        <f>Quinn!A1</f>
        <v>Time</v>
      </c>
      <c r="B1" s="3" t="str">
        <f>Quinn!F1</f>
        <v>RV_Area</v>
      </c>
      <c r="C1" s="3"/>
      <c r="D1" s="3"/>
      <c r="E1" s="3"/>
      <c r="F1" s="3"/>
      <c r="G1" s="3"/>
      <c r="H1" s="3"/>
    </row>
    <row r="2" spans="1:8" x14ac:dyDescent="0.2">
      <c r="A2" s="3">
        <f>Quinn!A2</f>
        <v>0</v>
      </c>
      <c r="B2" s="3">
        <f>Quinn!F2</f>
        <v>16.899999999999999</v>
      </c>
      <c r="C2" s="3"/>
      <c r="D2" s="3"/>
      <c r="E2" s="3"/>
      <c r="F2" s="3"/>
      <c r="G2" s="3"/>
      <c r="H2" s="3"/>
    </row>
    <row r="3" spans="1:8" x14ac:dyDescent="0.2">
      <c r="A3" s="3">
        <f>Quinn!A3</f>
        <v>0.3</v>
      </c>
      <c r="B3" s="3">
        <f>Quinn!F3</f>
        <v>33.799999999999997</v>
      </c>
      <c r="C3" s="3"/>
      <c r="D3" s="3"/>
      <c r="E3" s="3"/>
      <c r="F3" s="3"/>
      <c r="G3" s="3"/>
      <c r="H3" s="3"/>
    </row>
    <row r="4" spans="1:8" x14ac:dyDescent="0.2">
      <c r="A4" s="3">
        <f>Quinn!A5</f>
        <v>9</v>
      </c>
      <c r="B4" s="3">
        <f>Quinn!F5</f>
        <v>41.3</v>
      </c>
      <c r="C4" s="3"/>
      <c r="D4" s="3"/>
      <c r="E4" s="3"/>
      <c r="F4" s="3"/>
      <c r="G4" s="3"/>
      <c r="H4" s="3"/>
    </row>
    <row r="5" spans="1:8" x14ac:dyDescent="0.2">
      <c r="B5" s="3"/>
      <c r="C5" s="3"/>
      <c r="D5" s="3"/>
      <c r="E5" s="3"/>
      <c r="F5" s="3"/>
      <c r="G5" s="3"/>
      <c r="H5" s="3"/>
    </row>
    <row r="6" spans="1:8" x14ac:dyDescent="0.2">
      <c r="B6" s="3"/>
      <c r="C6" s="3"/>
      <c r="D6" s="3"/>
      <c r="E6" s="3"/>
      <c r="F6" s="3"/>
      <c r="G6" s="3"/>
      <c r="H6" s="3"/>
    </row>
    <row r="7" spans="1:8" x14ac:dyDescent="0.2">
      <c r="B7" s="3"/>
      <c r="C7" s="3"/>
      <c r="D7" s="3"/>
      <c r="E7" s="3"/>
      <c r="F7" s="3"/>
      <c r="G7" s="3"/>
      <c r="H7" s="3"/>
    </row>
    <row r="8" spans="1:8" x14ac:dyDescent="0.2">
      <c r="B8" s="3"/>
      <c r="C8" s="3"/>
      <c r="D8" s="3"/>
      <c r="E8" s="3"/>
      <c r="F8" s="3"/>
      <c r="G8" s="3"/>
      <c r="H8" s="3"/>
    </row>
    <row r="9" spans="1:8" x14ac:dyDescent="0.2">
      <c r="B9" s="3"/>
      <c r="C9" s="3"/>
      <c r="D9" s="3"/>
      <c r="E9" s="3"/>
      <c r="F9" s="3"/>
      <c r="G9" s="3"/>
      <c r="H9" s="3"/>
    </row>
    <row r="10" spans="1:8" x14ac:dyDescent="0.2">
      <c r="B10" s="3"/>
      <c r="C10" s="3"/>
      <c r="D10" s="3"/>
      <c r="E10" s="3"/>
      <c r="F10" s="3"/>
      <c r="G10" s="3"/>
      <c r="H10" s="3"/>
    </row>
    <row r="11" spans="1:8" x14ac:dyDescent="0.2">
      <c r="B11" s="3"/>
      <c r="C11" s="3"/>
      <c r="D11" s="3"/>
      <c r="E11" s="3"/>
      <c r="F11" s="3"/>
      <c r="G11" s="3"/>
      <c r="H11" s="3"/>
    </row>
    <row r="12" spans="1:8" x14ac:dyDescent="0.2">
      <c r="B12" s="3"/>
      <c r="C12" s="3"/>
      <c r="D12" s="3"/>
      <c r="E12" s="3"/>
      <c r="F12" s="3"/>
      <c r="G12" s="3"/>
      <c r="H12" s="3"/>
    </row>
    <row r="13" spans="1:8" x14ac:dyDescent="0.2">
      <c r="B13" s="3"/>
      <c r="C13" s="3"/>
      <c r="D13" s="3"/>
      <c r="E13" s="3"/>
      <c r="F13" s="3"/>
      <c r="G13" s="3"/>
      <c r="H13" s="3"/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F18"/>
  <sheetViews>
    <sheetView zoomScale="90" zoomScaleNormal="90" workbookViewId="0">
      <selection activeCell="A5" activeCellId="1" sqref="S28 A5"/>
    </sheetView>
  </sheetViews>
  <sheetFormatPr defaultColWidth="11.5703125" defaultRowHeight="12.75" x14ac:dyDescent="0.2"/>
  <cols>
    <col min="6" max="6" width="11.5703125" style="3"/>
  </cols>
  <sheetData>
    <row r="1" spans="1:6" x14ac:dyDescent="0.2">
      <c r="A1" s="3" t="s">
        <v>411</v>
      </c>
      <c r="B1" s="3" t="s">
        <v>431</v>
      </c>
      <c r="C1" s="3" t="s">
        <v>54</v>
      </c>
      <c r="D1" s="3" t="s">
        <v>56</v>
      </c>
      <c r="E1" s="3" t="s">
        <v>429</v>
      </c>
      <c r="F1" s="3" t="s">
        <v>432</v>
      </c>
    </row>
    <row r="2" spans="1:6" x14ac:dyDescent="0.2">
      <c r="A2" s="3">
        <v>0</v>
      </c>
      <c r="B2" s="3">
        <v>0</v>
      </c>
      <c r="C2" s="80">
        <v>75</v>
      </c>
      <c r="D2" s="56">
        <f>0.61*C2 +2</f>
        <v>47.75</v>
      </c>
      <c r="E2" s="3">
        <v>2.0499999999999998</v>
      </c>
      <c r="F2" s="3">
        <v>18.7</v>
      </c>
    </row>
    <row r="3" spans="1:6" x14ac:dyDescent="0.2">
      <c r="A3" s="3">
        <v>6</v>
      </c>
      <c r="B3" s="3">
        <v>6</v>
      </c>
      <c r="C3" s="80">
        <v>60</v>
      </c>
      <c r="D3" s="56">
        <f>0.61*C3 +2</f>
        <v>38.6</v>
      </c>
      <c r="E3" s="3">
        <v>1.4</v>
      </c>
      <c r="F3" s="3">
        <v>11.9</v>
      </c>
    </row>
    <row r="4" spans="1:6" x14ac:dyDescent="0.2">
      <c r="A4" s="3">
        <v>16</v>
      </c>
      <c r="B4" s="3">
        <v>16</v>
      </c>
      <c r="C4" s="80">
        <v>40</v>
      </c>
      <c r="D4" s="56">
        <f>0.61*C4 +2</f>
        <v>26.4</v>
      </c>
      <c r="E4" s="3">
        <v>1.02</v>
      </c>
      <c r="F4" s="3">
        <v>52.7</v>
      </c>
    </row>
    <row r="5" spans="1:6" x14ac:dyDescent="0.2">
      <c r="A5" s="3">
        <v>60</v>
      </c>
      <c r="B5" s="3">
        <v>112</v>
      </c>
      <c r="C5" s="80">
        <v>12</v>
      </c>
      <c r="D5" s="56">
        <f>0.61*C5 +2</f>
        <v>9.32</v>
      </c>
      <c r="E5" s="3">
        <v>1.01</v>
      </c>
      <c r="F5" s="3">
        <v>51.1</v>
      </c>
    </row>
    <row r="17" spans="6:6" x14ac:dyDescent="0.2">
      <c r="F17" s="205"/>
    </row>
    <row r="18" spans="6:6" x14ac:dyDescent="0.2">
      <c r="F18" s="205"/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&amp;CSivu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14"/>
  <sheetViews>
    <sheetView zoomScale="90" zoomScaleNormal="90" workbookViewId="0">
      <selection activeCell="F14" activeCellId="1" sqref="S28 F14"/>
    </sheetView>
  </sheetViews>
  <sheetFormatPr defaultColWidth="11.5703125" defaultRowHeight="12.75" x14ac:dyDescent="0.2"/>
  <cols>
    <col min="1" max="1" width="18.42578125" customWidth="1"/>
    <col min="2" max="2" width="13.28515625" style="4" customWidth="1"/>
    <col min="3" max="6" width="13.28515625" customWidth="1"/>
  </cols>
  <sheetData>
    <row r="1" spans="1:11" x14ac:dyDescent="0.2">
      <c r="A1" s="159" t="str">
        <f>PH_Cases!B2</f>
        <v>Report</v>
      </c>
      <c r="B1" s="4" t="s">
        <v>433</v>
      </c>
    </row>
    <row r="2" spans="1:11" x14ac:dyDescent="0.2">
      <c r="B2" s="187" t="s">
        <v>434</v>
      </c>
      <c r="C2" s="187" t="s">
        <v>435</v>
      </c>
      <c r="D2" s="4" t="s">
        <v>436</v>
      </c>
      <c r="E2" s="187" t="s">
        <v>437</v>
      </c>
      <c r="F2" s="4" t="s">
        <v>436</v>
      </c>
    </row>
    <row r="3" spans="1:11" x14ac:dyDescent="0.2">
      <c r="A3" s="206" t="s">
        <v>266</v>
      </c>
      <c r="C3" s="4" t="s">
        <v>438</v>
      </c>
      <c r="D3" s="4"/>
      <c r="E3" s="4" t="s">
        <v>439</v>
      </c>
      <c r="I3" s="4"/>
      <c r="J3" s="4"/>
      <c r="K3" s="4"/>
    </row>
    <row r="4" spans="1:11" x14ac:dyDescent="0.2">
      <c r="A4" t="s">
        <v>70</v>
      </c>
      <c r="B4" s="4">
        <v>68</v>
      </c>
      <c r="C4">
        <v>97</v>
      </c>
      <c r="D4" s="207">
        <f t="shared" ref="D4:D10" si="0">(C4-$B4)/$B4</f>
        <v>0.4264705882352941</v>
      </c>
      <c r="E4">
        <v>141</v>
      </c>
      <c r="F4" s="207">
        <f t="shared" ref="F4:F10" si="1">(E4-$B4)/$B4</f>
        <v>1.0735294117647058</v>
      </c>
    </row>
    <row r="5" spans="1:11" x14ac:dyDescent="0.2">
      <c r="A5" t="s">
        <v>114</v>
      </c>
      <c r="B5" s="4">
        <v>26.9</v>
      </c>
      <c r="C5">
        <v>15.8</v>
      </c>
      <c r="D5" s="207">
        <f t="shared" si="0"/>
        <v>-0.41263940520446091</v>
      </c>
      <c r="E5">
        <v>6</v>
      </c>
      <c r="F5" s="207">
        <f t="shared" si="1"/>
        <v>-0.77695167286245348</v>
      </c>
    </row>
    <row r="6" spans="1:11" x14ac:dyDescent="0.2">
      <c r="A6" t="s">
        <v>68</v>
      </c>
      <c r="B6" s="4">
        <v>34</v>
      </c>
      <c r="C6">
        <v>2.8</v>
      </c>
      <c r="D6" s="207">
        <f t="shared" si="0"/>
        <v>-0.91764705882352937</v>
      </c>
      <c r="E6">
        <v>0.4</v>
      </c>
      <c r="F6" s="207">
        <f t="shared" si="1"/>
        <v>-0.9882352941176471</v>
      </c>
    </row>
    <row r="7" spans="1:11" x14ac:dyDescent="0.2">
      <c r="A7" t="s">
        <v>440</v>
      </c>
      <c r="B7" s="4">
        <v>3.77</v>
      </c>
      <c r="C7">
        <v>0.72</v>
      </c>
      <c r="D7" s="207">
        <f t="shared" si="0"/>
        <v>-0.80901856763925728</v>
      </c>
      <c r="E7">
        <v>0.25</v>
      </c>
      <c r="F7" s="207">
        <f t="shared" si="1"/>
        <v>-0.93368700265251992</v>
      </c>
    </row>
    <row r="8" spans="1:11" x14ac:dyDescent="0.2">
      <c r="A8" t="s">
        <v>441</v>
      </c>
      <c r="B8" s="4">
        <v>38.03</v>
      </c>
      <c r="C8">
        <v>11.08</v>
      </c>
      <c r="D8" s="207">
        <f t="shared" si="0"/>
        <v>-0.70865106494872476</v>
      </c>
      <c r="E8">
        <v>7.61</v>
      </c>
      <c r="F8" s="207">
        <f t="shared" si="1"/>
        <v>-0.79989481987904287</v>
      </c>
    </row>
    <row r="9" spans="1:11" x14ac:dyDescent="0.2">
      <c r="A9" t="s">
        <v>442</v>
      </c>
      <c r="B9" s="4">
        <v>15.53</v>
      </c>
      <c r="C9">
        <v>12.53</v>
      </c>
      <c r="D9" s="207">
        <f t="shared" si="0"/>
        <v>-0.19317450096587252</v>
      </c>
      <c r="E9">
        <v>201.67</v>
      </c>
      <c r="F9" s="207">
        <f t="shared" si="1"/>
        <v>11.985833869929168</v>
      </c>
    </row>
    <row r="10" spans="1:11" x14ac:dyDescent="0.2">
      <c r="A10" t="s">
        <v>443</v>
      </c>
      <c r="B10" s="4">
        <v>104.7</v>
      </c>
      <c r="C10">
        <v>155.29</v>
      </c>
      <c r="D10" s="207">
        <f t="shared" si="0"/>
        <v>0.4831900668576885</v>
      </c>
      <c r="E10">
        <v>201.94</v>
      </c>
      <c r="F10" s="207">
        <f t="shared" si="1"/>
        <v>0.92874880611270294</v>
      </c>
    </row>
    <row r="13" spans="1:11" x14ac:dyDescent="0.2">
      <c r="A13" s="206" t="s">
        <v>210</v>
      </c>
      <c r="C13" s="4" t="s">
        <v>444</v>
      </c>
    </row>
    <row r="14" spans="1:11" x14ac:dyDescent="0.2">
      <c r="A14" t="s">
        <v>70</v>
      </c>
      <c r="B14" s="4">
        <v>74</v>
      </c>
      <c r="C14">
        <v>140</v>
      </c>
      <c r="D14" s="207">
        <f>(C14-$B14)/$B14</f>
        <v>0.89189189189189189</v>
      </c>
    </row>
  </sheetData>
  <pageMargins left="0.78749999999999998" right="0.78749999999999998" top="1.05277777777778" bottom="1.05277777777778" header="0.78749999999999998" footer="0.78749999999999998"/>
  <pageSetup scale="45"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2:F22"/>
  <sheetViews>
    <sheetView zoomScale="90" zoomScaleNormal="90" workbookViewId="0">
      <selection activeCell="G35" activeCellId="1" sqref="S28 G35"/>
    </sheetView>
  </sheetViews>
  <sheetFormatPr defaultColWidth="11.5703125" defaultRowHeight="12.75" x14ac:dyDescent="0.2"/>
  <cols>
    <col min="1" max="1" width="11.5703125" style="159"/>
    <col min="2" max="3" width="11.5703125" style="4"/>
  </cols>
  <sheetData>
    <row r="2" spans="1:4" x14ac:dyDescent="0.2">
      <c r="C2" s="4" t="s">
        <v>445</v>
      </c>
    </row>
    <row r="3" spans="1:4" x14ac:dyDescent="0.2">
      <c r="C3" s="4" t="s">
        <v>117</v>
      </c>
      <c r="D3" t="s">
        <v>446</v>
      </c>
    </row>
    <row r="4" spans="1:4" x14ac:dyDescent="0.2">
      <c r="A4" s="159" t="s">
        <v>447</v>
      </c>
      <c r="B4" s="4">
        <v>4</v>
      </c>
      <c r="C4" s="4">
        <v>16</v>
      </c>
      <c r="D4">
        <f>B4*C4</f>
        <v>64</v>
      </c>
    </row>
    <row r="9" spans="1:4" x14ac:dyDescent="0.2">
      <c r="A9" s="159" t="s">
        <v>448</v>
      </c>
    </row>
    <row r="10" spans="1:4" x14ac:dyDescent="0.2">
      <c r="B10" s="4" t="s">
        <v>449</v>
      </c>
      <c r="C10" s="4" t="s">
        <v>450</v>
      </c>
    </row>
    <row r="11" spans="1:4" x14ac:dyDescent="0.2">
      <c r="B11" s="4">
        <v>1</v>
      </c>
      <c r="C11" s="4">
        <v>29.57</v>
      </c>
    </row>
    <row r="12" spans="1:4" x14ac:dyDescent="0.2">
      <c r="B12" s="4">
        <v>6</v>
      </c>
      <c r="C12" s="4">
        <f>B12*C$11</f>
        <v>177.42000000000002</v>
      </c>
    </row>
    <row r="13" spans="1:4" x14ac:dyDescent="0.2">
      <c r="A13" s="159">
        <v>12</v>
      </c>
      <c r="B13" s="4">
        <f>B12*A13</f>
        <v>72</v>
      </c>
      <c r="C13" s="4">
        <f>B13*C$11</f>
        <v>2129.04</v>
      </c>
    </row>
    <row r="18" spans="1:6" x14ac:dyDescent="0.2">
      <c r="A18" s="159" t="s">
        <v>451</v>
      </c>
      <c r="C18" s="4" t="s">
        <v>452</v>
      </c>
      <c r="D18" s="4" t="s">
        <v>453</v>
      </c>
      <c r="E18" s="4" t="s">
        <v>454</v>
      </c>
      <c r="F18" s="4" t="s">
        <v>455</v>
      </c>
    </row>
    <row r="19" spans="1:6" x14ac:dyDescent="0.2">
      <c r="A19" s="159" t="s">
        <v>456</v>
      </c>
      <c r="B19" s="4" t="s">
        <v>457</v>
      </c>
      <c r="C19" s="4">
        <v>243</v>
      </c>
      <c r="D19" s="4">
        <v>197</v>
      </c>
      <c r="E19">
        <f>C19-D19</f>
        <v>46</v>
      </c>
      <c r="F19" s="208">
        <f>(C19-D19)/D19</f>
        <v>0.233502538071066</v>
      </c>
    </row>
    <row r="20" spans="1:6" x14ac:dyDescent="0.2">
      <c r="A20" s="159" t="s">
        <v>458</v>
      </c>
      <c r="B20" s="4" t="s">
        <v>459</v>
      </c>
      <c r="C20" s="4">
        <v>237</v>
      </c>
      <c r="D20" s="4">
        <v>185</v>
      </c>
      <c r="E20">
        <f>C20-D20</f>
        <v>52</v>
      </c>
      <c r="F20" s="208">
        <f>(C20-D20)/D20</f>
        <v>0.2810810810810811</v>
      </c>
    </row>
    <row r="22" spans="1:6" x14ac:dyDescent="0.2">
      <c r="B22" s="4" t="s">
        <v>460</v>
      </c>
      <c r="E22">
        <f>AVERAGE(E19:E20)</f>
        <v>49</v>
      </c>
      <c r="F22" s="208">
        <f>AVERAGE(F19:F20)</f>
        <v>0.25729180957607356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&amp;CSivu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B3:C15"/>
  <sheetViews>
    <sheetView zoomScale="110" zoomScaleNormal="110" workbookViewId="0">
      <selection activeCell="B3" activeCellId="1" sqref="S28 B3"/>
    </sheetView>
  </sheetViews>
  <sheetFormatPr defaultColWidth="11.5703125" defaultRowHeight="12.75" x14ac:dyDescent="0.2"/>
  <cols>
    <col min="2" max="2" width="22.42578125" customWidth="1"/>
  </cols>
  <sheetData>
    <row r="3" spans="2:3" x14ac:dyDescent="0.2">
      <c r="C3" s="3" t="s">
        <v>461</v>
      </c>
    </row>
    <row r="4" spans="2:3" x14ac:dyDescent="0.2">
      <c r="C4" s="3"/>
    </row>
    <row r="5" spans="2:3" x14ac:dyDescent="0.2">
      <c r="B5" t="s">
        <v>462</v>
      </c>
      <c r="C5" s="3">
        <v>975</v>
      </c>
    </row>
    <row r="6" spans="2:3" x14ac:dyDescent="0.2">
      <c r="C6" s="3"/>
    </row>
    <row r="7" spans="2:3" x14ac:dyDescent="0.2">
      <c r="B7" t="s">
        <v>463</v>
      </c>
      <c r="C7" s="3">
        <v>4796</v>
      </c>
    </row>
    <row r="8" spans="2:3" x14ac:dyDescent="0.2">
      <c r="C8" s="3"/>
    </row>
    <row r="9" spans="2:3" x14ac:dyDescent="0.2">
      <c r="B9" s="4" t="s">
        <v>269</v>
      </c>
      <c r="C9" s="1">
        <f>C5+C7</f>
        <v>5771</v>
      </c>
    </row>
    <row r="10" spans="2:3" x14ac:dyDescent="0.2">
      <c r="C10" s="3"/>
    </row>
    <row r="11" spans="2:3" x14ac:dyDescent="0.2">
      <c r="B11" t="s">
        <v>464</v>
      </c>
      <c r="C11" s="3">
        <v>535</v>
      </c>
    </row>
    <row r="12" spans="2:3" x14ac:dyDescent="0.2">
      <c r="C12" s="3"/>
    </row>
    <row r="13" spans="2:3" x14ac:dyDescent="0.2">
      <c r="B13" t="s">
        <v>465</v>
      </c>
      <c r="C13" s="3">
        <v>248</v>
      </c>
    </row>
    <row r="14" spans="2:3" x14ac:dyDescent="0.2">
      <c r="C14" s="3"/>
    </row>
    <row r="15" spans="2:3" x14ac:dyDescent="0.2">
      <c r="B15" s="4" t="s">
        <v>466</v>
      </c>
      <c r="C15" s="1">
        <f>C9-C11-C13</f>
        <v>4988</v>
      </c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&amp;CSivu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"/>
  <sheetViews>
    <sheetView zoomScale="90" zoomScaleNormal="90" workbookViewId="0">
      <selection activeCell="C9" activeCellId="1" sqref="S28 C9"/>
    </sheetView>
  </sheetViews>
  <sheetFormatPr defaultColWidth="11.5703125" defaultRowHeight="15" x14ac:dyDescent="0.2"/>
  <cols>
    <col min="2" max="2" width="32.28515625" customWidth="1"/>
    <col min="3" max="3" width="15.28515625" customWidth="1"/>
    <col min="4" max="4" width="11.5703125" style="188"/>
  </cols>
  <sheetData>
    <row r="1" spans="1:4" ht="44.25" customHeight="1" x14ac:dyDescent="0.25">
      <c r="A1" s="189"/>
      <c r="B1" s="190" t="s">
        <v>388</v>
      </c>
      <c r="C1" s="188">
        <f>PH_Cases!B41</f>
        <v>32</v>
      </c>
    </row>
    <row r="2" spans="1:4" ht="44.25" customHeight="1" x14ac:dyDescent="0.25">
      <c r="B2" s="191" t="s">
        <v>389</v>
      </c>
      <c r="C2" s="192" t="s">
        <v>390</v>
      </c>
      <c r="D2" s="188" t="s">
        <v>391</v>
      </c>
    </row>
    <row r="3" spans="1:4" ht="44.25" customHeight="1" x14ac:dyDescent="0.2">
      <c r="B3" s="193" t="s">
        <v>81</v>
      </c>
      <c r="C3" s="188">
        <f>PH_Cases!DR41</f>
        <v>22</v>
      </c>
      <c r="D3" s="194">
        <f t="shared" ref="D3:D9" si="0">C3/C$1</f>
        <v>0.6875</v>
      </c>
    </row>
    <row r="4" spans="1:4" ht="44.25" customHeight="1" x14ac:dyDescent="0.2">
      <c r="B4" s="193" t="s">
        <v>82</v>
      </c>
      <c r="C4" s="188">
        <f>PH_Cases!DS41</f>
        <v>17</v>
      </c>
      <c r="D4" s="194">
        <f t="shared" si="0"/>
        <v>0.53125</v>
      </c>
    </row>
    <row r="5" spans="1:4" ht="44.25" customHeight="1" x14ac:dyDescent="0.2">
      <c r="B5" s="193" t="s">
        <v>83</v>
      </c>
      <c r="C5" s="188">
        <f>PH_Cases!DT41</f>
        <v>9</v>
      </c>
      <c r="D5" s="194">
        <f t="shared" si="0"/>
        <v>0.28125</v>
      </c>
    </row>
    <row r="6" spans="1:4" ht="44.25" customHeight="1" x14ac:dyDescent="0.2">
      <c r="B6" s="193" t="s">
        <v>392</v>
      </c>
      <c r="C6" s="188">
        <f>PH_Cases!DU41</f>
        <v>4</v>
      </c>
      <c r="D6" s="194">
        <f t="shared" si="0"/>
        <v>0.125</v>
      </c>
    </row>
    <row r="7" spans="1:4" ht="44.25" customHeight="1" x14ac:dyDescent="0.2">
      <c r="B7" s="193" t="s">
        <v>393</v>
      </c>
      <c r="C7" s="188">
        <f>PH_Cases!DV41</f>
        <v>17</v>
      </c>
      <c r="D7" s="194">
        <f t="shared" si="0"/>
        <v>0.53125</v>
      </c>
    </row>
    <row r="8" spans="1:4" ht="44.25" customHeight="1" x14ac:dyDescent="0.2">
      <c r="B8" s="193" t="s">
        <v>394</v>
      </c>
      <c r="C8" s="188">
        <f>PH_Cases!DW41</f>
        <v>19</v>
      </c>
      <c r="D8" s="194">
        <f t="shared" si="0"/>
        <v>0.59375</v>
      </c>
    </row>
    <row r="9" spans="1:4" ht="44.25" customHeight="1" x14ac:dyDescent="0.2">
      <c r="B9" s="193" t="s">
        <v>395</v>
      </c>
      <c r="C9" s="188">
        <f>PH_Cases!DX41</f>
        <v>6</v>
      </c>
      <c r="D9" s="194">
        <f t="shared" si="0"/>
        <v>0.1875</v>
      </c>
    </row>
    <row r="10" spans="1:4" x14ac:dyDescent="0.2">
      <c r="B10" s="193"/>
      <c r="C10" s="188"/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9"/>
  <sheetViews>
    <sheetView zoomScale="90" zoomScaleNormal="90" workbookViewId="0">
      <selection activeCell="C18" activeCellId="1" sqref="S28 C18"/>
    </sheetView>
  </sheetViews>
  <sheetFormatPr defaultColWidth="11.42578125" defaultRowHeight="12.75" x14ac:dyDescent="0.2"/>
  <cols>
    <col min="1" max="3" width="11.42578125" style="4"/>
  </cols>
  <sheetData>
    <row r="1" spans="1:3" s="159" customFormat="1" x14ac:dyDescent="0.2">
      <c r="A1" s="2" t="s">
        <v>396</v>
      </c>
      <c r="B1" s="2" t="s">
        <v>397</v>
      </c>
      <c r="C1" s="2" t="s">
        <v>398</v>
      </c>
    </row>
    <row r="2" spans="1:3" x14ac:dyDescent="0.2">
      <c r="A2" s="4">
        <f>PH_Cases!DD7</f>
        <v>28</v>
      </c>
      <c r="B2" s="4">
        <f t="shared" ref="B2:B29" si="0">IF(A2&gt;=14,14,A2)</f>
        <v>14</v>
      </c>
      <c r="C2" s="4">
        <f t="shared" ref="C2:C29" si="1">IF(A2&gt;14,0,1)</f>
        <v>0</v>
      </c>
    </row>
    <row r="3" spans="1:3" x14ac:dyDescent="0.2">
      <c r="A3" s="4">
        <f>PH_Cases!DD8</f>
        <v>38</v>
      </c>
      <c r="B3" s="4">
        <f t="shared" si="0"/>
        <v>14</v>
      </c>
      <c r="C3" s="4">
        <f t="shared" si="1"/>
        <v>0</v>
      </c>
    </row>
    <row r="4" spans="1:3" x14ac:dyDescent="0.2">
      <c r="A4" s="4">
        <f>PH_Cases!DD10</f>
        <v>21</v>
      </c>
      <c r="B4" s="4">
        <f t="shared" si="0"/>
        <v>14</v>
      </c>
      <c r="C4" s="4">
        <f t="shared" si="1"/>
        <v>0</v>
      </c>
    </row>
    <row r="5" spans="1:3" x14ac:dyDescent="0.2">
      <c r="A5" s="4">
        <f>PH_Cases!DD11</f>
        <v>2</v>
      </c>
      <c r="B5" s="4">
        <f t="shared" si="0"/>
        <v>2</v>
      </c>
      <c r="C5" s="4">
        <f t="shared" si="1"/>
        <v>1</v>
      </c>
    </row>
    <row r="6" spans="1:3" x14ac:dyDescent="0.2">
      <c r="A6" s="4">
        <f>PH_Cases!DD13</f>
        <v>2</v>
      </c>
      <c r="B6" s="4">
        <f t="shared" si="0"/>
        <v>2</v>
      </c>
      <c r="C6" s="4">
        <f t="shared" si="1"/>
        <v>1</v>
      </c>
    </row>
    <row r="7" spans="1:3" x14ac:dyDescent="0.2">
      <c r="A7" s="4">
        <f>PH_Cases!DD14</f>
        <v>9</v>
      </c>
      <c r="B7" s="4">
        <f t="shared" si="0"/>
        <v>9</v>
      </c>
      <c r="C7" s="4">
        <f t="shared" si="1"/>
        <v>1</v>
      </c>
    </row>
    <row r="8" spans="1:3" x14ac:dyDescent="0.2">
      <c r="A8" s="4">
        <f>PH_Cases!DD16</f>
        <v>30</v>
      </c>
      <c r="B8" s="4">
        <f t="shared" si="0"/>
        <v>14</v>
      </c>
      <c r="C8" s="4">
        <f t="shared" si="1"/>
        <v>0</v>
      </c>
    </row>
    <row r="9" spans="1:3" x14ac:dyDescent="0.2">
      <c r="A9" s="4">
        <f>PH_Cases!DD17</f>
        <v>150</v>
      </c>
      <c r="B9" s="4">
        <f t="shared" si="0"/>
        <v>14</v>
      </c>
      <c r="C9" s="4">
        <f t="shared" si="1"/>
        <v>0</v>
      </c>
    </row>
    <row r="10" spans="1:3" x14ac:dyDescent="0.2">
      <c r="A10" s="4">
        <f>PH_Cases!DD18</f>
        <v>14</v>
      </c>
      <c r="B10" s="4">
        <f t="shared" si="0"/>
        <v>14</v>
      </c>
      <c r="C10" s="4">
        <f t="shared" si="1"/>
        <v>1</v>
      </c>
    </row>
    <row r="11" spans="1:3" x14ac:dyDescent="0.2">
      <c r="A11" s="4">
        <f>PH_Cases!DD19</f>
        <v>42</v>
      </c>
      <c r="B11" s="4">
        <f t="shared" si="0"/>
        <v>14</v>
      </c>
      <c r="C11" s="4">
        <f t="shared" si="1"/>
        <v>0</v>
      </c>
    </row>
    <row r="12" spans="1:3" x14ac:dyDescent="0.2">
      <c r="A12" s="4">
        <f>PH_Cases!DD20</f>
        <v>1</v>
      </c>
      <c r="B12" s="4">
        <f t="shared" si="0"/>
        <v>1</v>
      </c>
      <c r="C12" s="4">
        <f t="shared" si="1"/>
        <v>1</v>
      </c>
    </row>
    <row r="13" spans="1:3" x14ac:dyDescent="0.2">
      <c r="A13" s="4">
        <f>PH_Cases!DD21</f>
        <v>7</v>
      </c>
      <c r="B13" s="4">
        <f t="shared" si="0"/>
        <v>7</v>
      </c>
      <c r="C13" s="4">
        <f t="shared" si="1"/>
        <v>1</v>
      </c>
    </row>
    <row r="14" spans="1:3" x14ac:dyDescent="0.2">
      <c r="A14" s="4">
        <f>PH_Cases!DD22</f>
        <v>10</v>
      </c>
      <c r="B14" s="4">
        <f t="shared" si="0"/>
        <v>10</v>
      </c>
      <c r="C14" s="4">
        <f t="shared" si="1"/>
        <v>1</v>
      </c>
    </row>
    <row r="15" spans="1:3" x14ac:dyDescent="0.2">
      <c r="A15" s="4">
        <f>PH_Cases!DD23</f>
        <v>19</v>
      </c>
      <c r="B15" s="4">
        <f t="shared" si="0"/>
        <v>14</v>
      </c>
      <c r="C15" s="4">
        <f t="shared" si="1"/>
        <v>0</v>
      </c>
    </row>
    <row r="16" spans="1:3" x14ac:dyDescent="0.2">
      <c r="A16" s="4">
        <f>PH_Cases!DD24</f>
        <v>150</v>
      </c>
      <c r="B16" s="4">
        <f t="shared" si="0"/>
        <v>14</v>
      </c>
      <c r="C16" s="4">
        <f t="shared" si="1"/>
        <v>0</v>
      </c>
    </row>
    <row r="17" spans="1:3" x14ac:dyDescent="0.2">
      <c r="A17" s="4">
        <f>PH_Cases!DD25</f>
        <v>90</v>
      </c>
      <c r="B17" s="4">
        <f t="shared" si="0"/>
        <v>14</v>
      </c>
      <c r="C17" s="4">
        <f t="shared" si="1"/>
        <v>0</v>
      </c>
    </row>
    <row r="18" spans="1:3" x14ac:dyDescent="0.2">
      <c r="A18" s="4">
        <f>PH_Cases!DD26</f>
        <v>2</v>
      </c>
      <c r="B18" s="4">
        <f t="shared" si="0"/>
        <v>2</v>
      </c>
      <c r="C18" s="4">
        <f t="shared" si="1"/>
        <v>1</v>
      </c>
    </row>
    <row r="19" spans="1:3" x14ac:dyDescent="0.2">
      <c r="A19" s="4">
        <f>PH_Cases!DD27</f>
        <v>42</v>
      </c>
      <c r="B19" s="4">
        <f t="shared" si="0"/>
        <v>14</v>
      </c>
      <c r="C19" s="4">
        <f t="shared" si="1"/>
        <v>0</v>
      </c>
    </row>
    <row r="20" spans="1:3" x14ac:dyDescent="0.2">
      <c r="A20" s="4">
        <f>PH_Cases!DD28</f>
        <v>14</v>
      </c>
      <c r="B20" s="4">
        <f t="shared" si="0"/>
        <v>14</v>
      </c>
      <c r="C20" s="4">
        <f t="shared" si="1"/>
        <v>1</v>
      </c>
    </row>
    <row r="21" spans="1:3" x14ac:dyDescent="0.2">
      <c r="A21" s="4">
        <f>PH_Cases!DD29</f>
        <v>9</v>
      </c>
      <c r="B21" s="4">
        <f t="shared" si="0"/>
        <v>9</v>
      </c>
      <c r="C21" s="4">
        <f t="shared" si="1"/>
        <v>1</v>
      </c>
    </row>
    <row r="22" spans="1:3" x14ac:dyDescent="0.2">
      <c r="A22" s="4">
        <f>PH_Cases!DD30</f>
        <v>7</v>
      </c>
      <c r="B22" s="4">
        <f t="shared" si="0"/>
        <v>7</v>
      </c>
      <c r="C22" s="4">
        <f t="shared" si="1"/>
        <v>1</v>
      </c>
    </row>
    <row r="23" spans="1:3" x14ac:dyDescent="0.2">
      <c r="A23" s="4">
        <f>PH_Cases!DD31</f>
        <v>7</v>
      </c>
      <c r="B23" s="4">
        <f t="shared" si="0"/>
        <v>7</v>
      </c>
      <c r="C23" s="4">
        <f t="shared" si="1"/>
        <v>1</v>
      </c>
    </row>
    <row r="24" spans="1:3" x14ac:dyDescent="0.2">
      <c r="A24" s="4">
        <f>PH_Cases!DD32</f>
        <v>60</v>
      </c>
      <c r="B24" s="4">
        <f t="shared" si="0"/>
        <v>14</v>
      </c>
      <c r="C24" s="4">
        <f t="shared" si="1"/>
        <v>0</v>
      </c>
    </row>
    <row r="25" spans="1:3" x14ac:dyDescent="0.2">
      <c r="A25" s="4">
        <f>PH_Cases!DD33</f>
        <v>1</v>
      </c>
      <c r="B25" s="4">
        <f t="shared" si="0"/>
        <v>1</v>
      </c>
      <c r="C25" s="4">
        <f t="shared" si="1"/>
        <v>1</v>
      </c>
    </row>
    <row r="26" spans="1:3" x14ac:dyDescent="0.2">
      <c r="A26" s="4">
        <f>PH_Cases!DD34</f>
        <v>14</v>
      </c>
      <c r="B26" s="4">
        <f t="shared" si="0"/>
        <v>14</v>
      </c>
      <c r="C26" s="4">
        <f t="shared" si="1"/>
        <v>1</v>
      </c>
    </row>
    <row r="27" spans="1:3" x14ac:dyDescent="0.2">
      <c r="A27" s="4">
        <f>PH_Cases!DD35</f>
        <v>30</v>
      </c>
      <c r="B27" s="4">
        <f t="shared" si="0"/>
        <v>14</v>
      </c>
      <c r="C27" s="4">
        <f t="shared" si="1"/>
        <v>0</v>
      </c>
    </row>
    <row r="28" spans="1:3" x14ac:dyDescent="0.2">
      <c r="A28" s="4">
        <f>PH_Cases!DD36</f>
        <v>10</v>
      </c>
      <c r="B28" s="4">
        <f t="shared" si="0"/>
        <v>10</v>
      </c>
      <c r="C28" s="4">
        <f t="shared" si="1"/>
        <v>1</v>
      </c>
    </row>
    <row r="29" spans="1:3" x14ac:dyDescent="0.2">
      <c r="A29" s="4">
        <f>PH_Cases!DD37</f>
        <v>105</v>
      </c>
      <c r="B29" s="4">
        <f t="shared" si="0"/>
        <v>14</v>
      </c>
      <c r="C29" s="4">
        <f t="shared" si="1"/>
        <v>0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3"/>
  <sheetViews>
    <sheetView zoomScale="90" zoomScaleNormal="90" workbookViewId="0">
      <selection activeCell="E14" activeCellId="1" sqref="S28 E14"/>
    </sheetView>
  </sheetViews>
  <sheetFormatPr defaultColWidth="11.42578125" defaultRowHeight="12.75" x14ac:dyDescent="0.2"/>
  <cols>
    <col min="1" max="1" width="22.5703125" customWidth="1"/>
    <col min="2" max="5" width="11.42578125" style="3"/>
    <col min="965" max="1024" width="11.5703125" customWidth="1"/>
  </cols>
  <sheetData>
    <row r="1" spans="1:5" s="159" customFormat="1" ht="25.5" x14ac:dyDescent="0.2">
      <c r="A1" s="159" t="str">
        <f>PH_Cases!AE2</f>
        <v>Report</v>
      </c>
      <c r="B1" s="1" t="str">
        <f>PH_Cases!BL2</f>
        <v>mPAP</v>
      </c>
      <c r="C1" s="1" t="s">
        <v>399</v>
      </c>
      <c r="D1" s="38" t="str">
        <f>PH_Cases!CA2</f>
        <v>mPAP
repeat</v>
      </c>
      <c r="E1" s="1" t="s">
        <v>400</v>
      </c>
    </row>
    <row r="2" spans="1:5" ht="18.75" customHeight="1" x14ac:dyDescent="0.2">
      <c r="A2" t="str">
        <f>PH_Cases!AE37</f>
        <v>Ueki</v>
      </c>
      <c r="B2" s="90">
        <f>PH_Cases!BL37</f>
        <v>28.6204</v>
      </c>
      <c r="C2" s="3">
        <v>0</v>
      </c>
      <c r="D2" s="195">
        <f>PH_Cases!CA37</f>
        <v>23.349999999999998</v>
      </c>
      <c r="E2" s="3">
        <f>1-$C$36</f>
        <v>0.97499999999999998</v>
      </c>
    </row>
    <row r="3" spans="1:5" ht="18.75" customHeight="1" x14ac:dyDescent="0.2">
      <c r="A3" t="str">
        <f>PH_Cases!AE19</f>
        <v>Gilmore/Al-Qadi</v>
      </c>
      <c r="B3" s="90">
        <f>PH_Cases!BL19</f>
        <v>32.5</v>
      </c>
      <c r="C3" s="3">
        <v>0</v>
      </c>
      <c r="D3" s="195">
        <f>PH_Cases!CA19</f>
        <v>11.76</v>
      </c>
      <c r="E3" s="3">
        <v>1</v>
      </c>
    </row>
    <row r="4" spans="1:5" ht="18.75" customHeight="1" x14ac:dyDescent="0.2">
      <c r="A4" t="str">
        <f>PH_Cases!AE12</f>
        <v>Conte/Weber</v>
      </c>
      <c r="B4" s="90">
        <f>PH_Cases!BL12</f>
        <v>35</v>
      </c>
      <c r="C4" s="3">
        <v>0</v>
      </c>
      <c r="D4" s="195">
        <f>PH_Cases!CA12</f>
        <v>0</v>
      </c>
    </row>
    <row r="5" spans="1:5" ht="18.75" customHeight="1" x14ac:dyDescent="0.2">
      <c r="A5" t="str">
        <f>PH_Cases!AE23</f>
        <v>Mehta</v>
      </c>
      <c r="B5" s="90">
        <f>PH_Cases!BL23</f>
        <v>35.549999999999997</v>
      </c>
      <c r="C5" s="3">
        <v>0</v>
      </c>
      <c r="D5" s="195">
        <f>PH_Cases!CA23</f>
        <v>0</v>
      </c>
    </row>
    <row r="6" spans="1:5" ht="18.75" customHeight="1" x14ac:dyDescent="0.2">
      <c r="A6" t="str">
        <f>PH_Cases!AE15</f>
        <v>Ferreira/Cavalcante</v>
      </c>
      <c r="B6" s="90">
        <f>PH_Cases!BL15</f>
        <v>39.21</v>
      </c>
      <c r="C6" s="3">
        <v>0</v>
      </c>
      <c r="D6" s="195">
        <f>PH_Cases!CA15</f>
        <v>0</v>
      </c>
    </row>
    <row r="7" spans="1:5" ht="18.75" customHeight="1" x14ac:dyDescent="0.2">
      <c r="A7" t="str">
        <f>PH_Cases!AE10</f>
        <v>Azar2</v>
      </c>
      <c r="B7" s="90">
        <f>PH_Cases!BL10</f>
        <v>41</v>
      </c>
      <c r="C7" s="3">
        <f>-$C$36</f>
        <v>-2.5000000000000001E-2</v>
      </c>
      <c r="D7" s="195">
        <f>PH_Cases!CA10</f>
        <v>0</v>
      </c>
    </row>
    <row r="8" spans="1:5" ht="18.75" customHeight="1" x14ac:dyDescent="0.2">
      <c r="A8" t="str">
        <f>PH_Cases!AE35</f>
        <v>Singh</v>
      </c>
      <c r="B8" s="90">
        <f>PH_Cases!BL35</f>
        <v>41</v>
      </c>
      <c r="C8" s="3">
        <v>0</v>
      </c>
      <c r="D8" s="195">
        <f>PH_Cases!CA35</f>
        <v>0</v>
      </c>
    </row>
    <row r="9" spans="1:5" ht="18.75" customHeight="1" x14ac:dyDescent="0.2">
      <c r="A9" t="str">
        <f>PH_Cases!AE17</f>
        <v>Gayen</v>
      </c>
      <c r="B9" s="90">
        <f>PH_Cases!BL17</f>
        <v>41</v>
      </c>
      <c r="C9" s="3">
        <f>$C$36</f>
        <v>2.5000000000000001E-2</v>
      </c>
      <c r="D9" s="195">
        <f>PH_Cases!CA17</f>
        <v>19.690000000000001</v>
      </c>
      <c r="E9" s="3">
        <f>1-$C$36</f>
        <v>0.97499999999999998</v>
      </c>
    </row>
    <row r="10" spans="1:5" ht="18.75" customHeight="1" x14ac:dyDescent="0.2">
      <c r="A10" t="str">
        <f>PH_Cases!AE27</f>
        <v>Penn/Marston</v>
      </c>
      <c r="B10" s="90">
        <f>PH_Cases!BL27</f>
        <v>41</v>
      </c>
      <c r="C10" s="3">
        <f>$C$36*2</f>
        <v>0.05</v>
      </c>
      <c r="D10" s="195">
        <f>PH_Cases!CA27</f>
        <v>26</v>
      </c>
      <c r="E10" s="3">
        <v>1</v>
      </c>
    </row>
    <row r="11" spans="1:5" ht="18.75" customHeight="1" x14ac:dyDescent="0.2">
      <c r="A11" t="str">
        <f>PH_Cases!AE29</f>
        <v>Quinn/Moore/Frank</v>
      </c>
      <c r="B11" s="90">
        <f>PH_Cases!BL29</f>
        <v>42</v>
      </c>
      <c r="C11" s="3">
        <v>0</v>
      </c>
      <c r="D11" s="195">
        <f>PH_Cases!CA29</f>
        <v>21.007599999999996</v>
      </c>
      <c r="E11" s="3">
        <v>1</v>
      </c>
    </row>
    <row r="12" spans="1:5" ht="18.75" customHeight="1" x14ac:dyDescent="0.2">
      <c r="A12" t="str">
        <f>PH_Cases!AE13</f>
        <v>Dean/Kim</v>
      </c>
      <c r="B12" s="90">
        <f>PH_Cases!BL13</f>
        <v>43.48</v>
      </c>
      <c r="C12" s="3">
        <v>0</v>
      </c>
      <c r="D12" s="195">
        <f>PH_Cases!CA13</f>
        <v>13.59</v>
      </c>
      <c r="E12" s="3">
        <f>1-$C$36</f>
        <v>0.97499999999999998</v>
      </c>
    </row>
    <row r="13" spans="1:5" ht="18.75" customHeight="1" x14ac:dyDescent="0.2">
      <c r="A13" t="str">
        <f>PH_Cases!AE22</f>
        <v>Kurnick</v>
      </c>
      <c r="B13" s="90">
        <f>PH_Cases!BL22</f>
        <v>48</v>
      </c>
      <c r="C13" s="3">
        <f>$C$36</f>
        <v>2.5000000000000001E-2</v>
      </c>
      <c r="D13" s="195">
        <f>PH_Cases!CA22</f>
        <v>23.96</v>
      </c>
      <c r="E13" s="3">
        <f>1-C36*2</f>
        <v>0.95</v>
      </c>
    </row>
    <row r="14" spans="1:5" ht="18.75" customHeight="1" x14ac:dyDescent="0.2">
      <c r="A14" t="str">
        <f>PH_Cases!AE14</f>
        <v>Duvall</v>
      </c>
      <c r="B14" s="90">
        <f>PH_Cases!BL14</f>
        <v>45</v>
      </c>
      <c r="C14" s="3">
        <f>-$C$36</f>
        <v>-2.5000000000000001E-2</v>
      </c>
      <c r="D14" s="195">
        <f>PH_Cases!CA14</f>
        <v>0</v>
      </c>
    </row>
    <row r="15" spans="1:5" ht="18.75" customHeight="1" x14ac:dyDescent="0.2">
      <c r="A15" t="str">
        <f>PH_Cases!AE8</f>
        <v>Abe</v>
      </c>
      <c r="B15" s="90">
        <f>PH_Cases!BL8</f>
        <v>45.92</v>
      </c>
      <c r="C15" s="3">
        <v>0</v>
      </c>
      <c r="D15" s="195">
        <f>PH_Cases!CA8</f>
        <v>22.13</v>
      </c>
      <c r="E15" s="3">
        <f>1+$C$36</f>
        <v>1.0249999999999999</v>
      </c>
    </row>
    <row r="16" spans="1:5" ht="18.75" customHeight="1" x14ac:dyDescent="0.2">
      <c r="A16" t="str">
        <f>PH_Cases!AE36</f>
        <v>Tan/Leong</v>
      </c>
      <c r="B16" s="90">
        <f>PH_Cases!BL36</f>
        <v>47.75</v>
      </c>
      <c r="C16" s="3">
        <f>-$C$36</f>
        <v>-2.5000000000000001E-2</v>
      </c>
      <c r="D16" s="195">
        <f>PH_Cases!CA36</f>
        <v>14</v>
      </c>
      <c r="E16" s="3">
        <f>1+$C$36</f>
        <v>1.0249999999999999</v>
      </c>
    </row>
    <row r="17" spans="1:5" ht="18.75" customHeight="1" x14ac:dyDescent="0.2">
      <c r="A17" t="str">
        <f>PH_Cases!AE21</f>
        <v>Kupari</v>
      </c>
      <c r="B17" s="90">
        <f>PH_Cases!BL21</f>
        <v>48</v>
      </c>
      <c r="C17" s="3">
        <v>0</v>
      </c>
      <c r="D17" s="195">
        <f>PH_Cases!CA21</f>
        <v>15</v>
      </c>
      <c r="E17" s="3">
        <v>1</v>
      </c>
    </row>
    <row r="18" spans="1:5" ht="18.75" customHeight="1" x14ac:dyDescent="0.2">
      <c r="A18" t="str">
        <f>PH_Cases!AE25</f>
        <v>Nagamatsu/McEvoy</v>
      </c>
      <c r="B18" s="90">
        <f>PH_Cases!BL25</f>
        <v>48</v>
      </c>
      <c r="C18" s="3">
        <f>$C$36*2</f>
        <v>0.05</v>
      </c>
      <c r="D18" s="195">
        <f>PH_Cases!CA25</f>
        <v>23.349999999999998</v>
      </c>
      <c r="E18" s="3">
        <f>1+$C$36</f>
        <v>1.0249999999999999</v>
      </c>
    </row>
    <row r="19" spans="1:5" ht="18.75" customHeight="1" x14ac:dyDescent="0.2">
      <c r="A19" t="str">
        <f>PH_Cases!AE9</f>
        <v>Azar</v>
      </c>
      <c r="B19" s="90">
        <f>PH_Cases!BL9</f>
        <v>50</v>
      </c>
      <c r="C19" s="3">
        <f>$C$36</f>
        <v>2.5000000000000001E-2</v>
      </c>
      <c r="D19" s="195">
        <f>PH_Cases!CA9</f>
        <v>0</v>
      </c>
    </row>
    <row r="20" spans="1:5" ht="18.75" customHeight="1" x14ac:dyDescent="0.2">
      <c r="A20" t="str">
        <f>PH_Cases!AE24</f>
        <v>Mertens-case3</v>
      </c>
      <c r="B20" s="90">
        <f>PH_Cases!BL24</f>
        <v>50.8</v>
      </c>
      <c r="C20" s="3">
        <f>-$C$36</f>
        <v>-2.5000000000000001E-2</v>
      </c>
      <c r="D20" s="195">
        <f>PH_Cases!CA24</f>
        <v>0</v>
      </c>
    </row>
    <row r="21" spans="1:5" ht="18.75" customHeight="1" x14ac:dyDescent="0.2">
      <c r="A21" t="str">
        <f>PH_Cases!AE16</f>
        <v>Frank</v>
      </c>
      <c r="B21" s="90">
        <f>PH_Cases!BL16</f>
        <v>51.141599999999997</v>
      </c>
      <c r="C21" s="3">
        <v>0</v>
      </c>
      <c r="D21" s="195">
        <f>PH_Cases!CA16</f>
        <v>22.154399999999999</v>
      </c>
      <c r="E21" s="3">
        <f>1-$C$36</f>
        <v>0.97499999999999998</v>
      </c>
    </row>
    <row r="22" spans="1:5" ht="18.75" customHeight="1" x14ac:dyDescent="0.2">
      <c r="A22" t="str">
        <f>PH_Cases!AE26</f>
        <v>Nariai</v>
      </c>
      <c r="B22" s="90">
        <f>PH_Cases!BL26</f>
        <v>53.85</v>
      </c>
      <c r="C22" s="3">
        <f>$C$36</f>
        <v>2.5000000000000001E-2</v>
      </c>
      <c r="D22" s="195">
        <f>PH_Cases!CA26</f>
        <v>21.52</v>
      </c>
      <c r="E22" s="3">
        <f>1+$C$36</f>
        <v>1.0249999999999999</v>
      </c>
    </row>
    <row r="23" spans="1:5" ht="18.75" customHeight="1" x14ac:dyDescent="0.2">
      <c r="A23" t="str">
        <f>PH_Cases!AE34</f>
        <v>Shah</v>
      </c>
      <c r="B23" s="90">
        <f>PH_Cases!BL34</f>
        <v>54.46</v>
      </c>
      <c r="C23" s="3">
        <f>-$C$36</f>
        <v>-2.5000000000000001E-2</v>
      </c>
      <c r="D23" s="195">
        <f>PH_Cases!CA34</f>
        <v>19</v>
      </c>
      <c r="E23" s="3">
        <f>1-$C$36</f>
        <v>0.97499999999999998</v>
      </c>
    </row>
    <row r="24" spans="1:5" ht="18.75" customHeight="1" x14ac:dyDescent="0.2">
      <c r="A24" t="str">
        <f>PH_Cases!AE32</f>
        <v>Sakamornchai a</v>
      </c>
      <c r="B24" s="90">
        <f>PH_Cases!BL32</f>
        <v>56.9</v>
      </c>
      <c r="C24" s="3">
        <f>$C$36</f>
        <v>2.5000000000000001E-2</v>
      </c>
      <c r="D24" s="195">
        <f>PH_Cases!CA32</f>
        <v>0</v>
      </c>
    </row>
    <row r="25" spans="1:5" ht="18.75" customHeight="1" x14ac:dyDescent="0.2">
      <c r="A25" t="str">
        <f>PH_Cases!AE33</f>
        <v>Sakamornchai b</v>
      </c>
      <c r="B25" s="90">
        <f>PH_Cases!BL33</f>
        <v>56.9</v>
      </c>
      <c r="C25" s="3">
        <f>-$C$36</f>
        <v>-2.5000000000000001E-2</v>
      </c>
      <c r="D25" s="195">
        <f>PH_Cases!CA33</f>
        <v>0</v>
      </c>
    </row>
    <row r="26" spans="1:5" ht="18.75" customHeight="1" x14ac:dyDescent="0.2">
      <c r="A26" t="str">
        <f>PH_Cases!AE18</f>
        <v>Ghulam</v>
      </c>
      <c r="B26" s="90">
        <f>PH_Cases!BL18</f>
        <v>61.17</v>
      </c>
      <c r="C26" s="3">
        <v>0</v>
      </c>
      <c r="D26" s="195">
        <f>PH_Cases!CA18</f>
        <v>19.079999999999998</v>
      </c>
      <c r="E26" s="3">
        <v>1</v>
      </c>
    </row>
    <row r="27" spans="1:5" ht="18.75" customHeight="1" x14ac:dyDescent="0.2">
      <c r="A27" t="str">
        <f>PH_Cases!AE11</f>
        <v>Benhamed</v>
      </c>
      <c r="B27" s="90">
        <f>PH_Cases!BL11</f>
        <v>63</v>
      </c>
      <c r="C27" s="3">
        <v>0</v>
      </c>
      <c r="D27" s="195">
        <f>PH_Cases!CA11</f>
        <v>19.079999999999998</v>
      </c>
      <c r="E27" s="3">
        <f>1+$C$36</f>
        <v>1.0249999999999999</v>
      </c>
    </row>
    <row r="28" spans="1:5" ht="18.75" customHeight="1" x14ac:dyDescent="0.2">
      <c r="A28" t="str">
        <f>PH_Cases!AE38</f>
        <v>Valencia</v>
      </c>
      <c r="B28" s="90">
        <f>PH_Cases!BL38</f>
        <v>76</v>
      </c>
      <c r="C28" s="3">
        <f>$C$36</f>
        <v>2.5000000000000001E-2</v>
      </c>
      <c r="D28" s="195">
        <f>PH_Cases!CA38</f>
        <v>32.5</v>
      </c>
      <c r="E28" s="3">
        <v>1</v>
      </c>
    </row>
    <row r="29" spans="1:5" ht="18.75" customHeight="1" x14ac:dyDescent="0.2">
      <c r="A29" t="str">
        <f>PH_Cases!AE20</f>
        <v>Ichiyanagi</v>
      </c>
      <c r="B29" s="90">
        <f>PH_Cases!BL20</f>
        <v>77</v>
      </c>
      <c r="C29" s="3">
        <f>-$C$36</f>
        <v>-2.5000000000000001E-2</v>
      </c>
      <c r="D29" s="195">
        <f>PH_Cases!CA20</f>
        <v>19</v>
      </c>
      <c r="E29" s="3">
        <f>1-$C$36*2</f>
        <v>0.95</v>
      </c>
    </row>
    <row r="30" spans="1:5" ht="18.75" customHeight="1" x14ac:dyDescent="0.2">
      <c r="A30" t="str">
        <f>PH_Cases!AE7</f>
        <v>Abbas</v>
      </c>
      <c r="B30" s="3" t="str">
        <f>PH_Cases!BL7</f>
        <v>N</v>
      </c>
      <c r="C30" s="3">
        <v>0</v>
      </c>
      <c r="D30" s="195">
        <f>PH_Cases!CA7</f>
        <v>0</v>
      </c>
    </row>
    <row r="31" spans="1:5" ht="18.75" customHeight="1" x14ac:dyDescent="0.2">
      <c r="A31" t="str">
        <f>PH_Cases!AE28</f>
        <v>Petersen</v>
      </c>
      <c r="B31" s="3" t="str">
        <f>PH_Cases!BL28</f>
        <v>N</v>
      </c>
      <c r="C31" s="3">
        <v>0</v>
      </c>
      <c r="D31" s="195">
        <f>PH_Cases!CA28</f>
        <v>0</v>
      </c>
    </row>
    <row r="32" spans="1:5" ht="18.75" customHeight="1" x14ac:dyDescent="0.2">
      <c r="A32" t="str">
        <f>PH_Cases!AE30</f>
        <v>Ratanachu a</v>
      </c>
      <c r="B32" s="3" t="str">
        <f>PH_Cases!BL30</f>
        <v>N</v>
      </c>
      <c r="C32" s="3">
        <v>0</v>
      </c>
      <c r="D32" s="195">
        <f>PH_Cases!CA30</f>
        <v>0</v>
      </c>
    </row>
    <row r="33" spans="1:5" ht="18.75" customHeight="1" x14ac:dyDescent="0.2">
      <c r="A33" t="str">
        <f>PH_Cases!AE31</f>
        <v>Ratanachu b</v>
      </c>
      <c r="B33" s="3" t="str">
        <f>PH_Cases!BL31</f>
        <v>N</v>
      </c>
      <c r="C33" s="3">
        <v>0</v>
      </c>
      <c r="D33" s="195">
        <f>PH_Cases!CA31</f>
        <v>0</v>
      </c>
    </row>
    <row r="36" spans="1:5" x14ac:dyDescent="0.2">
      <c r="C36" s="3">
        <v>2.5000000000000001E-2</v>
      </c>
    </row>
    <row r="40" spans="1:5" x14ac:dyDescent="0.2">
      <c r="A40" s="4" t="s">
        <v>401</v>
      </c>
      <c r="B40" s="3">
        <f>COUNT(B2:B33)</f>
        <v>28</v>
      </c>
      <c r="D40" s="3">
        <f>COUNTIF(D2:D33,"&gt;0")</f>
        <v>18</v>
      </c>
      <c r="E40" s="3">
        <f>COUNTIF(E2:E33,"&gt;0")</f>
        <v>18</v>
      </c>
    </row>
    <row r="43" spans="1:5" x14ac:dyDescent="0.2">
      <c r="B43" s="3">
        <f>SUM(B2:B33)</f>
        <v>1354.2520000000002</v>
      </c>
      <c r="D43" s="3">
        <f>SUM(D2:D33)</f>
        <v>366.17199999999997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8"/>
  <sheetViews>
    <sheetView topLeftCell="A7" zoomScale="90" zoomScaleNormal="90" workbookViewId="0">
      <selection activeCell="A41" activeCellId="1" sqref="S28 A41"/>
    </sheetView>
  </sheetViews>
  <sheetFormatPr defaultColWidth="11.42578125" defaultRowHeight="12.75" x14ac:dyDescent="0.2"/>
  <cols>
    <col min="1" max="1" width="23.28515625" customWidth="1"/>
    <col min="2" max="2" width="11.42578125" style="3"/>
    <col min="3" max="3" width="11.42578125" style="196"/>
    <col min="961" max="1024" width="11.5703125" customWidth="1"/>
  </cols>
  <sheetData>
    <row r="1" spans="1:6" s="159" customFormat="1" ht="18" customHeight="1" x14ac:dyDescent="0.2">
      <c r="A1" s="159" t="str">
        <f>mPAP!A1</f>
        <v>Report</v>
      </c>
      <c r="B1" s="1" t="str">
        <f>mPAP!B1</f>
        <v>mPAP</v>
      </c>
      <c r="C1" s="197" t="s">
        <v>402</v>
      </c>
    </row>
    <row r="2" spans="1:6" ht="18" customHeight="1" x14ac:dyDescent="0.2">
      <c r="A2" t="str">
        <f>mPAP!A2</f>
        <v>Ueki</v>
      </c>
      <c r="B2" s="198">
        <f>mPAP!B2</f>
        <v>28.6204</v>
      </c>
      <c r="C2" s="199">
        <f>mPAP!C2</f>
        <v>0</v>
      </c>
      <c r="F2" s="159"/>
    </row>
    <row r="3" spans="1:6" ht="18" customHeight="1" x14ac:dyDescent="0.2">
      <c r="A3" t="str">
        <f>mPAP!A3</f>
        <v>Gilmore/Al-Qadi</v>
      </c>
      <c r="B3" s="198">
        <f>mPAP!B3</f>
        <v>32.5</v>
      </c>
      <c r="C3" s="199">
        <f>mPAP!C3</f>
        <v>0</v>
      </c>
      <c r="F3" s="159"/>
    </row>
    <row r="4" spans="1:6" ht="18" customHeight="1" x14ac:dyDescent="0.2">
      <c r="A4" t="str">
        <f>mPAP!A4</f>
        <v>Conte/Weber</v>
      </c>
      <c r="B4" s="198">
        <f>mPAP!B4</f>
        <v>35</v>
      </c>
      <c r="C4" s="199">
        <f>mPAP!C4</f>
        <v>0</v>
      </c>
      <c r="F4" s="159"/>
    </row>
    <row r="5" spans="1:6" ht="18" customHeight="1" x14ac:dyDescent="0.2">
      <c r="A5" t="str">
        <f>mPAP!A5</f>
        <v>Mehta</v>
      </c>
      <c r="B5" s="198">
        <f>mPAP!B5</f>
        <v>35.549999999999997</v>
      </c>
      <c r="C5" s="199">
        <f>mPAP!C5</f>
        <v>0</v>
      </c>
      <c r="F5" s="159"/>
    </row>
    <row r="6" spans="1:6" ht="18" customHeight="1" x14ac:dyDescent="0.2">
      <c r="A6" t="str">
        <f>mPAP!A6</f>
        <v>Ferreira/Cavalcante</v>
      </c>
      <c r="B6" s="198">
        <f>mPAP!B6</f>
        <v>39.21</v>
      </c>
      <c r="C6" s="199">
        <f>mPAP!C6</f>
        <v>0</v>
      </c>
      <c r="F6" s="159"/>
    </row>
    <row r="7" spans="1:6" ht="18" customHeight="1" x14ac:dyDescent="0.2">
      <c r="A7" t="str">
        <f>mPAP!A7</f>
        <v>Azar2</v>
      </c>
      <c r="B7" s="198">
        <f>mPAP!B7</f>
        <v>41</v>
      </c>
      <c r="C7" s="199">
        <f>mPAP!C7</f>
        <v>-2.5000000000000001E-2</v>
      </c>
      <c r="F7" s="159"/>
    </row>
    <row r="8" spans="1:6" ht="18" customHeight="1" x14ac:dyDescent="0.2">
      <c r="A8" t="str">
        <f>mPAP!A8</f>
        <v>Singh</v>
      </c>
      <c r="B8" s="198">
        <f>mPAP!B8</f>
        <v>41</v>
      </c>
      <c r="C8" s="199">
        <f>mPAP!C8</f>
        <v>0</v>
      </c>
      <c r="F8" s="159"/>
    </row>
    <row r="9" spans="1:6" ht="18" customHeight="1" x14ac:dyDescent="0.2">
      <c r="A9" t="str">
        <f>mPAP!A9</f>
        <v>Gayen</v>
      </c>
      <c r="B9" s="198">
        <f>mPAP!B9</f>
        <v>41</v>
      </c>
      <c r="C9" s="199">
        <f>mPAP!C9</f>
        <v>2.5000000000000001E-2</v>
      </c>
      <c r="F9" s="159"/>
    </row>
    <row r="10" spans="1:6" ht="18" customHeight="1" x14ac:dyDescent="0.2">
      <c r="A10" t="str">
        <f>mPAP!A10</f>
        <v>Penn/Marston</v>
      </c>
      <c r="B10" s="198">
        <f>mPAP!B10</f>
        <v>41</v>
      </c>
      <c r="C10" s="199">
        <f>mPAP!C10</f>
        <v>0.05</v>
      </c>
      <c r="F10" s="159"/>
    </row>
    <row r="11" spans="1:6" ht="18" customHeight="1" x14ac:dyDescent="0.2">
      <c r="A11" t="str">
        <f>mPAP!A11</f>
        <v>Quinn/Moore/Frank</v>
      </c>
      <c r="B11" s="198">
        <f>mPAP!B11</f>
        <v>42</v>
      </c>
      <c r="C11" s="199">
        <f>mPAP!C11</f>
        <v>0</v>
      </c>
      <c r="F11" s="159"/>
    </row>
    <row r="12" spans="1:6" ht="18" customHeight="1" x14ac:dyDescent="0.2">
      <c r="A12" t="str">
        <f>mPAP!A12</f>
        <v>Dean/Kim</v>
      </c>
      <c r="B12" s="198">
        <f>mPAP!B12</f>
        <v>43.48</v>
      </c>
      <c r="C12" s="199">
        <f>mPAP!C12</f>
        <v>0</v>
      </c>
      <c r="F12" s="159"/>
    </row>
    <row r="13" spans="1:6" ht="18" customHeight="1" x14ac:dyDescent="0.2">
      <c r="A13" t="str">
        <f>mPAP!A13</f>
        <v>Kurnick</v>
      </c>
      <c r="B13" s="198">
        <f>mPAP!B13</f>
        <v>48</v>
      </c>
      <c r="C13" s="199">
        <f>mPAP!C13</f>
        <v>2.5000000000000001E-2</v>
      </c>
      <c r="F13" s="159"/>
    </row>
    <row r="14" spans="1:6" ht="18" customHeight="1" x14ac:dyDescent="0.2">
      <c r="A14" t="str">
        <f>mPAP!A14</f>
        <v>Duvall</v>
      </c>
      <c r="B14" s="198">
        <f>mPAP!B14</f>
        <v>45</v>
      </c>
      <c r="C14" s="199">
        <f>mPAP!C14</f>
        <v>-2.5000000000000001E-2</v>
      </c>
      <c r="F14" s="159"/>
    </row>
    <row r="15" spans="1:6" ht="18" customHeight="1" x14ac:dyDescent="0.2">
      <c r="A15" t="str">
        <f>mPAP!A15</f>
        <v>Abe</v>
      </c>
      <c r="B15" s="198">
        <f>mPAP!B15</f>
        <v>45.92</v>
      </c>
      <c r="C15" s="199">
        <f>mPAP!C15</f>
        <v>0</v>
      </c>
      <c r="F15" s="159"/>
    </row>
    <row r="16" spans="1:6" ht="18" customHeight="1" x14ac:dyDescent="0.2">
      <c r="A16" t="str">
        <f>mPAP!A16</f>
        <v>Tan/Leong</v>
      </c>
      <c r="B16" s="198">
        <f>mPAP!B16</f>
        <v>47.75</v>
      </c>
      <c r="C16" s="199">
        <f>mPAP!C16</f>
        <v>-2.5000000000000001E-2</v>
      </c>
      <c r="F16" s="159"/>
    </row>
    <row r="17" spans="1:6" ht="18" customHeight="1" x14ac:dyDescent="0.2">
      <c r="A17" t="str">
        <f>mPAP!A17</f>
        <v>Kupari</v>
      </c>
      <c r="B17" s="198">
        <f>mPAP!B17</f>
        <v>48</v>
      </c>
      <c r="C17" s="199">
        <f>mPAP!C17</f>
        <v>0</v>
      </c>
      <c r="F17" s="159"/>
    </row>
    <row r="18" spans="1:6" ht="18" customHeight="1" x14ac:dyDescent="0.2">
      <c r="A18" t="str">
        <f>mPAP!A18</f>
        <v>Nagamatsu/McEvoy</v>
      </c>
      <c r="B18" s="198">
        <f>mPAP!B18</f>
        <v>48</v>
      </c>
      <c r="C18" s="199">
        <f>mPAP!C18</f>
        <v>0.05</v>
      </c>
      <c r="F18" s="159"/>
    </row>
    <row r="19" spans="1:6" ht="18" customHeight="1" x14ac:dyDescent="0.2">
      <c r="A19" t="str">
        <f>mPAP!A19</f>
        <v>Azar</v>
      </c>
      <c r="B19" s="198">
        <f>mPAP!B19</f>
        <v>50</v>
      </c>
      <c r="C19" s="199">
        <f>mPAP!C19</f>
        <v>2.5000000000000001E-2</v>
      </c>
      <c r="F19" s="159"/>
    </row>
    <row r="20" spans="1:6" ht="18" customHeight="1" x14ac:dyDescent="0.2">
      <c r="A20" t="str">
        <f>mPAP!A20</f>
        <v>Mertens-case3</v>
      </c>
      <c r="B20" s="198">
        <f>mPAP!B20</f>
        <v>50.8</v>
      </c>
      <c r="C20" s="199">
        <f>mPAP!C20</f>
        <v>-2.5000000000000001E-2</v>
      </c>
      <c r="F20" s="159"/>
    </row>
    <row r="21" spans="1:6" ht="18" customHeight="1" x14ac:dyDescent="0.2">
      <c r="A21" t="str">
        <f>mPAP!A21</f>
        <v>Frank</v>
      </c>
      <c r="B21" s="198">
        <f>mPAP!B21</f>
        <v>51.141599999999997</v>
      </c>
      <c r="C21" s="199">
        <f>mPAP!C21</f>
        <v>0</v>
      </c>
      <c r="F21" s="159"/>
    </row>
    <row r="22" spans="1:6" ht="18" customHeight="1" x14ac:dyDescent="0.2">
      <c r="A22" t="str">
        <f>mPAP!A22</f>
        <v>Nariai</v>
      </c>
      <c r="B22" s="198">
        <f>mPAP!B22</f>
        <v>53.85</v>
      </c>
      <c r="C22" s="199">
        <f>mPAP!C22</f>
        <v>2.5000000000000001E-2</v>
      </c>
      <c r="F22" s="159"/>
    </row>
    <row r="23" spans="1:6" ht="18" customHeight="1" x14ac:dyDescent="0.2">
      <c r="A23" t="str">
        <f>mPAP!A23</f>
        <v>Shah</v>
      </c>
      <c r="B23" s="198">
        <f>mPAP!B23</f>
        <v>54.46</v>
      </c>
      <c r="C23" s="199">
        <f>mPAP!C23</f>
        <v>-2.5000000000000001E-2</v>
      </c>
      <c r="F23" s="159"/>
    </row>
    <row r="24" spans="1:6" ht="18" customHeight="1" x14ac:dyDescent="0.2">
      <c r="A24" t="str">
        <f>mPAP!A24</f>
        <v>Sakamornchai a</v>
      </c>
      <c r="B24" s="198">
        <f>mPAP!B24</f>
        <v>56.9</v>
      </c>
      <c r="C24" s="199">
        <f>mPAP!C24</f>
        <v>2.5000000000000001E-2</v>
      </c>
      <c r="F24" s="159"/>
    </row>
    <row r="25" spans="1:6" ht="18" customHeight="1" x14ac:dyDescent="0.2">
      <c r="A25" t="str">
        <f>mPAP!A25</f>
        <v>Sakamornchai b</v>
      </c>
      <c r="B25" s="198">
        <f>mPAP!B25</f>
        <v>56.9</v>
      </c>
      <c r="C25" s="199">
        <f>mPAP!C25</f>
        <v>-2.5000000000000001E-2</v>
      </c>
      <c r="F25" s="159"/>
    </row>
    <row r="26" spans="1:6" ht="18" customHeight="1" x14ac:dyDescent="0.2">
      <c r="A26" t="str">
        <f>mPAP!A26</f>
        <v>Ghulam</v>
      </c>
      <c r="B26" s="198">
        <f>mPAP!B26</f>
        <v>61.17</v>
      </c>
      <c r="C26" s="199">
        <f>mPAP!C26</f>
        <v>0</v>
      </c>
      <c r="F26" s="159"/>
    </row>
    <row r="27" spans="1:6" ht="18" customHeight="1" x14ac:dyDescent="0.2">
      <c r="A27" t="str">
        <f>mPAP!A27</f>
        <v>Benhamed</v>
      </c>
      <c r="B27" s="198">
        <f>mPAP!B27</f>
        <v>63</v>
      </c>
      <c r="C27" s="199">
        <f>mPAP!C27</f>
        <v>0</v>
      </c>
      <c r="F27" s="159"/>
    </row>
    <row r="28" spans="1:6" ht="18" customHeight="1" x14ac:dyDescent="0.2">
      <c r="A28" t="str">
        <f>mPAP!A28</f>
        <v>Valencia</v>
      </c>
      <c r="B28" s="198">
        <f>mPAP!B28</f>
        <v>76</v>
      </c>
      <c r="C28" s="199">
        <f>mPAP!C28</f>
        <v>2.5000000000000001E-2</v>
      </c>
      <c r="F28" s="159"/>
    </row>
    <row r="29" spans="1:6" ht="18" customHeight="1" x14ac:dyDescent="0.2">
      <c r="A29" t="str">
        <f>mPAP!A29</f>
        <v>Ichiyanagi</v>
      </c>
      <c r="B29" s="198">
        <f>mPAP!B29</f>
        <v>77</v>
      </c>
      <c r="C29" s="199">
        <f>mPAP!C29</f>
        <v>-2.5000000000000001E-2</v>
      </c>
      <c r="F29" s="159"/>
    </row>
    <row r="30" spans="1:6" ht="18" customHeight="1" x14ac:dyDescent="0.2">
      <c r="A30" t="str">
        <f>mPAP!A2</f>
        <v>Ueki</v>
      </c>
      <c r="B30" s="198">
        <f>mPAP!D2</f>
        <v>23.349999999999998</v>
      </c>
      <c r="C30" s="199">
        <f>mPAP!E2</f>
        <v>0.97499999999999998</v>
      </c>
      <c r="F30" s="159"/>
    </row>
    <row r="31" spans="1:6" ht="18" customHeight="1" x14ac:dyDescent="0.2">
      <c r="A31" t="str">
        <f>mPAP!A3</f>
        <v>Gilmore/Al-Qadi</v>
      </c>
      <c r="B31" s="198">
        <f>mPAP!D3</f>
        <v>11.76</v>
      </c>
      <c r="C31" s="199">
        <f>mPAP!E3</f>
        <v>1</v>
      </c>
      <c r="F31" s="159"/>
    </row>
    <row r="32" spans="1:6" ht="18" customHeight="1" x14ac:dyDescent="0.2">
      <c r="A32" t="str">
        <f>mPAP!A9</f>
        <v>Gayen</v>
      </c>
      <c r="B32" s="198">
        <f>mPAP!D9</f>
        <v>19.690000000000001</v>
      </c>
      <c r="C32" s="199">
        <f>mPAP!E9</f>
        <v>0.97499999999999998</v>
      </c>
      <c r="F32" s="159"/>
    </row>
    <row r="33" spans="1:6" ht="18" customHeight="1" x14ac:dyDescent="0.2">
      <c r="A33" t="str">
        <f>mPAP!A10</f>
        <v>Penn/Marston</v>
      </c>
      <c r="B33" s="198">
        <f>mPAP!D10</f>
        <v>26</v>
      </c>
      <c r="C33" s="199">
        <f>mPAP!E10</f>
        <v>1</v>
      </c>
      <c r="F33" s="159"/>
    </row>
    <row r="34" spans="1:6" ht="18" customHeight="1" x14ac:dyDescent="0.2">
      <c r="A34" t="str">
        <f>mPAP!A11</f>
        <v>Quinn/Moore/Frank</v>
      </c>
      <c r="B34" s="198">
        <f>mPAP!D11</f>
        <v>21.007599999999996</v>
      </c>
      <c r="C34" s="199">
        <f>mPAP!E11</f>
        <v>1</v>
      </c>
      <c r="F34" s="159"/>
    </row>
    <row r="35" spans="1:6" ht="18" customHeight="1" x14ac:dyDescent="0.2">
      <c r="A35" t="str">
        <f>mPAP!A12</f>
        <v>Dean/Kim</v>
      </c>
      <c r="B35" s="198">
        <f>mPAP!D12</f>
        <v>13.59</v>
      </c>
      <c r="C35" s="199">
        <f>mPAP!E12</f>
        <v>0.97499999999999998</v>
      </c>
      <c r="F35" s="159"/>
    </row>
    <row r="36" spans="1:6" ht="18" customHeight="1" x14ac:dyDescent="0.2">
      <c r="A36" t="str">
        <f>mPAP!A13</f>
        <v>Kurnick</v>
      </c>
      <c r="B36" s="198">
        <f>mPAP!D13</f>
        <v>23.96</v>
      </c>
      <c r="C36" s="199">
        <f>mPAP!E13</f>
        <v>0.95</v>
      </c>
      <c r="F36" s="159"/>
    </row>
    <row r="37" spans="1:6" x14ac:dyDescent="0.2">
      <c r="A37" t="str">
        <f>mPAP!A15</f>
        <v>Abe</v>
      </c>
      <c r="B37" s="198">
        <f>mPAP!D15</f>
        <v>22.13</v>
      </c>
      <c r="C37" s="199">
        <f>mPAP!E15</f>
        <v>1.0249999999999999</v>
      </c>
      <c r="F37" s="159"/>
    </row>
    <row r="38" spans="1:6" x14ac:dyDescent="0.2">
      <c r="A38" t="str">
        <f>mPAP!A16</f>
        <v>Tan/Leong</v>
      </c>
      <c r="B38" s="198">
        <f>mPAP!D16</f>
        <v>14</v>
      </c>
      <c r="C38" s="199">
        <f>mPAP!E16</f>
        <v>1.0249999999999999</v>
      </c>
      <c r="F38" s="159"/>
    </row>
    <row r="39" spans="1:6" x14ac:dyDescent="0.2">
      <c r="A39" t="str">
        <f>mPAP!A17</f>
        <v>Kupari</v>
      </c>
      <c r="B39" s="198">
        <f>mPAP!D17</f>
        <v>15</v>
      </c>
      <c r="C39" s="199">
        <f>mPAP!E17</f>
        <v>1</v>
      </c>
      <c r="F39" s="159"/>
    </row>
    <row r="40" spans="1:6" x14ac:dyDescent="0.2">
      <c r="A40" t="str">
        <f>mPAP!A18</f>
        <v>Nagamatsu/McEvoy</v>
      </c>
      <c r="B40" s="198">
        <f>mPAP!D18</f>
        <v>23.349999999999998</v>
      </c>
      <c r="C40" s="199">
        <f>mPAP!E18</f>
        <v>1.0249999999999999</v>
      </c>
      <c r="F40" s="159"/>
    </row>
    <row r="41" spans="1:6" x14ac:dyDescent="0.2">
      <c r="A41" t="str">
        <f>mPAP!A21</f>
        <v>Frank</v>
      </c>
      <c r="B41" s="198">
        <f>mPAP!D21</f>
        <v>22.154399999999999</v>
      </c>
      <c r="C41" s="199">
        <f>mPAP!E21</f>
        <v>0.97499999999999998</v>
      </c>
    </row>
    <row r="42" spans="1:6" x14ac:dyDescent="0.2">
      <c r="A42" t="str">
        <f>mPAP!A22</f>
        <v>Nariai</v>
      </c>
      <c r="B42" s="198">
        <f>mPAP!D22</f>
        <v>21.52</v>
      </c>
      <c r="C42" s="199">
        <f>mPAP!E22</f>
        <v>1.0249999999999999</v>
      </c>
    </row>
    <row r="43" spans="1:6" x14ac:dyDescent="0.2">
      <c r="A43" t="str">
        <f>mPAP!A23</f>
        <v>Shah</v>
      </c>
      <c r="B43" s="198">
        <f>mPAP!D23</f>
        <v>19</v>
      </c>
      <c r="C43" s="199">
        <f>mPAP!E23</f>
        <v>0.97499999999999998</v>
      </c>
    </row>
    <row r="44" spans="1:6" x14ac:dyDescent="0.2">
      <c r="A44" t="str">
        <f>mPAP!A26</f>
        <v>Ghulam</v>
      </c>
      <c r="B44" s="198">
        <f>mPAP!D26</f>
        <v>19.079999999999998</v>
      </c>
      <c r="C44" s="199">
        <f>mPAP!E26</f>
        <v>1</v>
      </c>
    </row>
    <row r="45" spans="1:6" x14ac:dyDescent="0.2">
      <c r="A45" t="str">
        <f>mPAP!A27</f>
        <v>Benhamed</v>
      </c>
      <c r="B45" s="198">
        <f>mPAP!D27</f>
        <v>19.079999999999998</v>
      </c>
      <c r="C45" s="199">
        <f>mPAP!E27</f>
        <v>1.0249999999999999</v>
      </c>
    </row>
    <row r="46" spans="1:6" x14ac:dyDescent="0.2">
      <c r="A46" t="str">
        <f>mPAP!A28</f>
        <v>Valencia</v>
      </c>
      <c r="B46" s="198">
        <f>mPAP!D28</f>
        <v>32.5</v>
      </c>
      <c r="C46" s="199">
        <f>mPAP!E28</f>
        <v>1</v>
      </c>
    </row>
    <row r="47" spans="1:6" x14ac:dyDescent="0.2">
      <c r="A47" t="str">
        <f>mPAP!A29</f>
        <v>Ichiyanagi</v>
      </c>
      <c r="B47" s="198">
        <f>mPAP!D29</f>
        <v>19</v>
      </c>
      <c r="C47" s="199">
        <f>mPAP!E29</f>
        <v>0.95</v>
      </c>
    </row>
    <row r="48" spans="1:6" x14ac:dyDescent="0.2">
      <c r="B48" s="198"/>
      <c r="C48" s="199"/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9"/>
  <sheetViews>
    <sheetView zoomScale="90" zoomScaleNormal="90" workbookViewId="0">
      <selection activeCell="A8" activeCellId="1" sqref="S28 A8"/>
    </sheetView>
  </sheetViews>
  <sheetFormatPr defaultColWidth="11.42578125" defaultRowHeight="12.75" x14ac:dyDescent="0.2"/>
  <cols>
    <col min="1" max="1" width="20.42578125" customWidth="1"/>
    <col min="2" max="5" width="11.42578125" style="3"/>
    <col min="960" max="1019" width="11.5703125" customWidth="1"/>
    <col min="1024" max="1024" width="11.5703125" customWidth="1"/>
  </cols>
  <sheetData>
    <row r="1" spans="1:5" s="159" customFormat="1" ht="32.25" customHeight="1" x14ac:dyDescent="0.2">
      <c r="A1" s="159" t="str">
        <f>mPAP!A1</f>
        <v>Report</v>
      </c>
      <c r="B1" s="1" t="s">
        <v>403</v>
      </c>
      <c r="C1" s="1" t="str">
        <f>mPAP!C1</f>
        <v>time0</v>
      </c>
      <c r="D1" s="1" t="s">
        <v>404</v>
      </c>
      <c r="E1" s="1" t="str">
        <f>mPAP!E1</f>
        <v>time1</v>
      </c>
    </row>
    <row r="2" spans="1:5" ht="32.25" customHeight="1" x14ac:dyDescent="0.2">
      <c r="A2" t="str">
        <f>mPAP!A2</f>
        <v>Ueki</v>
      </c>
      <c r="B2" s="90">
        <f>mPAP!B2</f>
        <v>28.6204</v>
      </c>
      <c r="C2" s="3">
        <f>mPAP!C2</f>
        <v>0</v>
      </c>
      <c r="D2" s="90">
        <f>mPAP!D2</f>
        <v>23.349999999999998</v>
      </c>
      <c r="E2" s="3">
        <f>mPAP!E2</f>
        <v>0.97499999999999998</v>
      </c>
    </row>
    <row r="3" spans="1:5" x14ac:dyDescent="0.2">
      <c r="A3" t="str">
        <f>mPAP!A3</f>
        <v>Gilmore/Al-Qadi</v>
      </c>
      <c r="B3" s="90">
        <f>mPAP!B3</f>
        <v>32.5</v>
      </c>
      <c r="C3" s="3">
        <f>mPAP!C3</f>
        <v>0</v>
      </c>
      <c r="D3" s="90">
        <f>mPAP!D3</f>
        <v>11.76</v>
      </c>
      <c r="E3" s="3">
        <f>mPAP!E3</f>
        <v>1</v>
      </c>
    </row>
    <row r="4" spans="1:5" x14ac:dyDescent="0.2">
      <c r="A4" t="str">
        <f>mPAP!A9</f>
        <v>Gayen</v>
      </c>
      <c r="B4" s="90">
        <f>mPAP!B9</f>
        <v>41</v>
      </c>
      <c r="C4" s="3">
        <f>mPAP!C9</f>
        <v>2.5000000000000001E-2</v>
      </c>
      <c r="D4" s="90">
        <f>mPAP!D9</f>
        <v>19.690000000000001</v>
      </c>
      <c r="E4" s="3">
        <f>mPAP!E9</f>
        <v>0.97499999999999998</v>
      </c>
    </row>
    <row r="5" spans="1:5" x14ac:dyDescent="0.2">
      <c r="A5" t="str">
        <f>mPAP!A10</f>
        <v>Penn/Marston</v>
      </c>
      <c r="B5" s="90">
        <f>mPAP!B10</f>
        <v>41</v>
      </c>
      <c r="C5" s="3">
        <f>mPAP!C10</f>
        <v>0.05</v>
      </c>
      <c r="D5" s="90">
        <f>mPAP!D10</f>
        <v>26</v>
      </c>
      <c r="E5" s="3">
        <f>mPAP!E10</f>
        <v>1</v>
      </c>
    </row>
    <row r="6" spans="1:5" x14ac:dyDescent="0.2">
      <c r="A6" t="str">
        <f>mPAP!A11</f>
        <v>Quinn/Moore/Frank</v>
      </c>
      <c r="B6" s="90">
        <f>mPAP!B11</f>
        <v>42</v>
      </c>
      <c r="C6" s="3">
        <f>mPAP!C11</f>
        <v>0</v>
      </c>
      <c r="D6" s="90">
        <f>mPAP!D11</f>
        <v>21.007599999999996</v>
      </c>
      <c r="E6" s="3">
        <f>mPAP!E11</f>
        <v>1</v>
      </c>
    </row>
    <row r="7" spans="1:5" x14ac:dyDescent="0.2">
      <c r="A7" t="str">
        <f>mPAP!A12</f>
        <v>Dean/Kim</v>
      </c>
      <c r="B7" s="90">
        <f>mPAP!B12</f>
        <v>43.48</v>
      </c>
      <c r="C7" s="3">
        <f>mPAP!C12</f>
        <v>0</v>
      </c>
      <c r="D7" s="90">
        <f>mPAP!D12</f>
        <v>13.59</v>
      </c>
      <c r="E7" s="3">
        <f>mPAP!E12</f>
        <v>0.97499999999999998</v>
      </c>
    </row>
    <row r="8" spans="1:5" x14ac:dyDescent="0.2">
      <c r="A8" t="str">
        <f>mPAP!A13</f>
        <v>Kurnick</v>
      </c>
      <c r="B8" s="90">
        <f>mPAP!B13</f>
        <v>48</v>
      </c>
      <c r="C8" s="3">
        <f>mPAP!C13</f>
        <v>2.5000000000000001E-2</v>
      </c>
      <c r="D8" s="90">
        <f>mPAP!D13</f>
        <v>23.96</v>
      </c>
      <c r="E8" s="3">
        <f>mPAP!E13</f>
        <v>0.95</v>
      </c>
    </row>
    <row r="9" spans="1:5" x14ac:dyDescent="0.2">
      <c r="A9" t="str">
        <f>mPAP!A15</f>
        <v>Abe</v>
      </c>
      <c r="B9" s="90">
        <f>mPAP!B15</f>
        <v>45.92</v>
      </c>
      <c r="C9" s="3">
        <f>mPAP!C15</f>
        <v>0</v>
      </c>
      <c r="D9" s="90">
        <f>mPAP!D15</f>
        <v>22.13</v>
      </c>
      <c r="E9" s="3">
        <f>mPAP!E15</f>
        <v>1.0249999999999999</v>
      </c>
    </row>
    <row r="10" spans="1:5" x14ac:dyDescent="0.2">
      <c r="A10" t="str">
        <f>mPAP!A16</f>
        <v>Tan/Leong</v>
      </c>
      <c r="B10" s="90">
        <f>mPAP!B16</f>
        <v>47.75</v>
      </c>
      <c r="C10" s="3">
        <f>mPAP!C16</f>
        <v>-2.5000000000000001E-2</v>
      </c>
      <c r="D10" s="90">
        <f>mPAP!D16</f>
        <v>14</v>
      </c>
      <c r="E10" s="3">
        <f>mPAP!E16</f>
        <v>1.0249999999999999</v>
      </c>
    </row>
    <row r="11" spans="1:5" x14ac:dyDescent="0.2">
      <c r="A11" t="str">
        <f>mPAP!A17</f>
        <v>Kupari</v>
      </c>
      <c r="B11" s="90">
        <f>mPAP!B17</f>
        <v>48</v>
      </c>
      <c r="C11" s="3">
        <f>mPAP!C17</f>
        <v>0</v>
      </c>
      <c r="D11" s="90">
        <f>mPAP!D17</f>
        <v>15</v>
      </c>
      <c r="E11" s="3">
        <f>mPAP!E17</f>
        <v>1</v>
      </c>
    </row>
    <row r="12" spans="1:5" x14ac:dyDescent="0.2">
      <c r="A12" t="str">
        <f>mPAP!A18</f>
        <v>Nagamatsu/McEvoy</v>
      </c>
      <c r="B12" s="90">
        <f>mPAP!B18</f>
        <v>48</v>
      </c>
      <c r="C12" s="3">
        <f>mPAP!C18</f>
        <v>0.05</v>
      </c>
      <c r="D12" s="90">
        <f>mPAP!D18</f>
        <v>23.349999999999998</v>
      </c>
      <c r="E12" s="3">
        <f>mPAP!E18</f>
        <v>1.0249999999999999</v>
      </c>
    </row>
    <row r="13" spans="1:5" x14ac:dyDescent="0.2">
      <c r="A13" t="str">
        <f>mPAP!A21</f>
        <v>Frank</v>
      </c>
      <c r="B13" s="90">
        <f>mPAP!B21</f>
        <v>51.141599999999997</v>
      </c>
      <c r="C13" s="3">
        <f>mPAP!C21</f>
        <v>0</v>
      </c>
      <c r="D13" s="90">
        <f>mPAP!D21</f>
        <v>22.154399999999999</v>
      </c>
      <c r="E13" s="3">
        <f>mPAP!E21</f>
        <v>0.97499999999999998</v>
      </c>
    </row>
    <row r="14" spans="1:5" x14ac:dyDescent="0.2">
      <c r="A14" t="str">
        <f>mPAP!A22</f>
        <v>Nariai</v>
      </c>
      <c r="B14" s="90">
        <f>mPAP!B22</f>
        <v>53.85</v>
      </c>
      <c r="C14" s="3">
        <f>mPAP!C22</f>
        <v>2.5000000000000001E-2</v>
      </c>
      <c r="D14" s="90">
        <f>mPAP!D22</f>
        <v>21.52</v>
      </c>
      <c r="E14" s="3">
        <f>mPAP!E22</f>
        <v>1.0249999999999999</v>
      </c>
    </row>
    <row r="15" spans="1:5" x14ac:dyDescent="0.2">
      <c r="A15" t="str">
        <f>mPAP!A23</f>
        <v>Shah</v>
      </c>
      <c r="B15" s="90">
        <f>mPAP!B23</f>
        <v>54.46</v>
      </c>
      <c r="C15" s="3">
        <f>mPAP!C23</f>
        <v>-2.5000000000000001E-2</v>
      </c>
      <c r="D15" s="90">
        <f>mPAP!D23</f>
        <v>19</v>
      </c>
      <c r="E15" s="3">
        <f>mPAP!E23</f>
        <v>0.97499999999999998</v>
      </c>
    </row>
    <row r="16" spans="1:5" x14ac:dyDescent="0.2">
      <c r="A16" t="str">
        <f>mPAP!A26</f>
        <v>Ghulam</v>
      </c>
      <c r="B16" s="90">
        <f>mPAP!B26</f>
        <v>61.17</v>
      </c>
      <c r="C16" s="3">
        <f>mPAP!C26</f>
        <v>0</v>
      </c>
      <c r="D16" s="90">
        <f>mPAP!D26</f>
        <v>19.079999999999998</v>
      </c>
      <c r="E16" s="3">
        <f>mPAP!E26</f>
        <v>1</v>
      </c>
    </row>
    <row r="17" spans="1:5" x14ac:dyDescent="0.2">
      <c r="A17" t="str">
        <f>mPAP!A27</f>
        <v>Benhamed</v>
      </c>
      <c r="B17" s="90">
        <f>mPAP!B27</f>
        <v>63</v>
      </c>
      <c r="C17" s="3">
        <f>mPAP!C27</f>
        <v>0</v>
      </c>
      <c r="D17" s="90">
        <f>mPAP!D27</f>
        <v>19.079999999999998</v>
      </c>
      <c r="E17" s="3">
        <f>mPAP!E27</f>
        <v>1.0249999999999999</v>
      </c>
    </row>
    <row r="18" spans="1:5" x14ac:dyDescent="0.2">
      <c r="A18" t="str">
        <f>mPAP!A28</f>
        <v>Valencia</v>
      </c>
      <c r="B18" s="90">
        <f>mPAP!B28</f>
        <v>76</v>
      </c>
      <c r="C18" s="3">
        <f>mPAP!C28</f>
        <v>2.5000000000000001E-2</v>
      </c>
      <c r="D18" s="90">
        <f>mPAP!D28</f>
        <v>32.5</v>
      </c>
      <c r="E18" s="3">
        <f>mPAP!E28</f>
        <v>1</v>
      </c>
    </row>
    <row r="19" spans="1:5" x14ac:dyDescent="0.2">
      <c r="A19" t="str">
        <f>mPAP!A29</f>
        <v>Ichiyanagi</v>
      </c>
      <c r="B19" s="90">
        <f>mPAP!B29</f>
        <v>77</v>
      </c>
      <c r="C19" s="3">
        <f>mPAP!C29</f>
        <v>-2.5000000000000001E-2</v>
      </c>
      <c r="D19" s="90">
        <f>mPAP!D29</f>
        <v>19</v>
      </c>
      <c r="E19" s="3">
        <f>mPAP!E29</f>
        <v>0.95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Roman,Normaali"&amp;12&amp;A</oddHeader>
    <oddFooter>&amp;C&amp;"Times New Roman,Normaali"&amp;12Sivu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1"/>
  <sheetViews>
    <sheetView zoomScale="90" zoomScaleNormal="90" workbookViewId="0">
      <selection activeCell="G5" activeCellId="1" sqref="S28 G5"/>
    </sheetView>
  </sheetViews>
  <sheetFormatPr defaultColWidth="11.5703125" defaultRowHeight="12.75" x14ac:dyDescent="0.2"/>
  <cols>
    <col min="1" max="1" width="15.42578125" customWidth="1"/>
    <col min="2" max="4" width="15.42578125" style="3" customWidth="1"/>
  </cols>
  <sheetData>
    <row r="1" spans="1:4" ht="23.25" customHeight="1" x14ac:dyDescent="0.2">
      <c r="B1" s="1" t="s">
        <v>405</v>
      </c>
      <c r="C1" s="1" t="s">
        <v>406</v>
      </c>
    </row>
    <row r="2" spans="1:4" ht="23.25" customHeight="1" x14ac:dyDescent="0.2">
      <c r="A2" s="159" t="s">
        <v>407</v>
      </c>
      <c r="B2" s="1" t="s">
        <v>408</v>
      </c>
      <c r="C2" s="1" t="s">
        <v>409</v>
      </c>
      <c r="D2" s="1" t="s">
        <v>410</v>
      </c>
    </row>
    <row r="3" spans="1:4" ht="23.25" customHeight="1" x14ac:dyDescent="0.2">
      <c r="A3" t="str">
        <f>PH_Cases!BT9</f>
        <v>Azar</v>
      </c>
      <c r="B3" s="3">
        <f>PH_Cases!BP9</f>
        <v>6.7</v>
      </c>
      <c r="C3" s="1"/>
      <c r="D3" s="1"/>
    </row>
    <row r="4" spans="1:4" ht="23.25" customHeight="1" x14ac:dyDescent="0.2">
      <c r="A4" s="200" t="str">
        <f>PH_Cases!BT10</f>
        <v>Azar2</v>
      </c>
      <c r="B4" s="50">
        <f>PH_Cases!BP10</f>
        <v>6</v>
      </c>
      <c r="C4" s="1"/>
      <c r="D4" s="1"/>
    </row>
    <row r="5" spans="1:4" ht="23.25" customHeight="1" x14ac:dyDescent="0.2">
      <c r="A5" t="str">
        <f>PH_Cases!BT13</f>
        <v>Dean/Kim</v>
      </c>
      <c r="B5" s="50">
        <f>PH_Cases!BP13</f>
        <v>4.1176470588235299</v>
      </c>
      <c r="C5" s="1"/>
      <c r="D5" s="1"/>
    </row>
    <row r="6" spans="1:4" ht="23.25" customHeight="1" x14ac:dyDescent="0.2">
      <c r="A6" t="str">
        <f>PH_Cases!BT17</f>
        <v>Gayen</v>
      </c>
      <c r="B6" s="50">
        <f>PH_Cases!BP17</f>
        <v>8.6750000000000007</v>
      </c>
      <c r="C6" s="50">
        <f>PH_Cases!CG17</f>
        <v>3.95</v>
      </c>
      <c r="D6" s="50">
        <f>B6/C6</f>
        <v>2.1962025316455698</v>
      </c>
    </row>
    <row r="7" spans="1:4" ht="23.25" customHeight="1" x14ac:dyDescent="0.2">
      <c r="A7" t="str">
        <f>PH_Cases!BT20</f>
        <v>Ichiyanagi</v>
      </c>
      <c r="B7" s="50">
        <f>PH_Cases!BP20</f>
        <v>41.127272727272725</v>
      </c>
      <c r="C7" s="50">
        <f>PH_Cases!CG20</f>
        <v>4.2181818181818178</v>
      </c>
      <c r="D7" s="50">
        <f>B7/C7</f>
        <v>9.75</v>
      </c>
    </row>
    <row r="8" spans="1:4" ht="23.25" customHeight="1" x14ac:dyDescent="0.2">
      <c r="A8" t="str">
        <f>PH_Cases!BT21</f>
        <v>Kupari</v>
      </c>
      <c r="B8" s="90">
        <f>PH_Cases!BP21</f>
        <v>30</v>
      </c>
      <c r="C8" s="90">
        <f>PH_Cases!CG21</f>
        <v>1.34</v>
      </c>
      <c r="D8" s="50">
        <f>B8/C8</f>
        <v>22.388059701492537</v>
      </c>
    </row>
    <row r="9" spans="1:4" ht="23.25" customHeight="1" x14ac:dyDescent="0.2">
      <c r="A9" t="str">
        <f>PH_Cases!BT22</f>
        <v>Kurnick</v>
      </c>
      <c r="B9" s="90">
        <f>PH_Cases!BP22</f>
        <v>16</v>
      </c>
      <c r="C9" s="90">
        <f>PH_Cases!CG22</f>
        <v>4.3</v>
      </c>
      <c r="D9" s="50">
        <f>B9/C9</f>
        <v>3.7209302325581395</v>
      </c>
    </row>
    <row r="10" spans="1:4" ht="23.25" customHeight="1" x14ac:dyDescent="0.2">
      <c r="A10" t="str">
        <f>PH_Cases!BT27</f>
        <v>Penn/Marston</v>
      </c>
      <c r="B10" s="90">
        <f>PH_Cases!BP27</f>
        <v>13.125</v>
      </c>
      <c r="C10" s="90">
        <f>PH_Cases!CG27</f>
        <v>1.425</v>
      </c>
      <c r="D10" s="50">
        <f>B10/C10</f>
        <v>9.2105263157894726</v>
      </c>
    </row>
    <row r="11" spans="1:4" ht="23.25" customHeight="1" x14ac:dyDescent="0.2">
      <c r="A11" s="200" t="str">
        <f>PH_Cases!BT38</f>
        <v>Valencia</v>
      </c>
      <c r="B11" s="50">
        <f>PH_Cases!BP38</f>
        <v>6.7075000000000005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5"/>
  <sheetViews>
    <sheetView zoomScale="90" zoomScaleNormal="90" workbookViewId="0">
      <selection activeCell="B13" activeCellId="1" sqref="S28 B13"/>
    </sheetView>
  </sheetViews>
  <sheetFormatPr defaultColWidth="11.5703125" defaultRowHeight="12.75" x14ac:dyDescent="0.2"/>
  <cols>
    <col min="1" max="3" width="14.28515625" customWidth="1"/>
  </cols>
  <sheetData>
    <row r="1" spans="1:3" s="159" customFormat="1" ht="28.5" customHeight="1" x14ac:dyDescent="0.2">
      <c r="A1" s="159" t="str">
        <f>'Wood units'!A2</f>
        <v>Raport</v>
      </c>
      <c r="B1" s="2" t="s">
        <v>411</v>
      </c>
      <c r="C1" s="2" t="s">
        <v>59</v>
      </c>
    </row>
    <row r="2" spans="1:3" s="159" customFormat="1" ht="28.5" customHeight="1" x14ac:dyDescent="0.2">
      <c r="A2" s="159" t="str">
        <f>'Wood units'!A3</f>
        <v>Azar</v>
      </c>
      <c r="B2" s="4">
        <v>-0.02</v>
      </c>
      <c r="C2" s="200">
        <f>'Wood units'!B3</f>
        <v>6.7</v>
      </c>
    </row>
    <row r="3" spans="1:3" s="159" customFormat="1" ht="28.5" customHeight="1" x14ac:dyDescent="0.2">
      <c r="A3" s="159" t="str">
        <f>'Wood units'!A4</f>
        <v>Azar2</v>
      </c>
      <c r="B3" s="4">
        <v>0</v>
      </c>
      <c r="C3" s="200">
        <f>'Wood units'!B4</f>
        <v>6</v>
      </c>
    </row>
    <row r="4" spans="1:3" s="159" customFormat="1" ht="28.5" customHeight="1" x14ac:dyDescent="0.2">
      <c r="A4" s="159" t="str">
        <f>'Wood units'!A5</f>
        <v>Dean/Kim</v>
      </c>
      <c r="B4" s="159">
        <v>0</v>
      </c>
      <c r="C4" s="200">
        <f>'Wood units'!B5</f>
        <v>4.1176470588235299</v>
      </c>
    </row>
    <row r="5" spans="1:3" ht="28.5" customHeight="1" x14ac:dyDescent="0.2">
      <c r="A5" t="str">
        <f>'Wood units'!A6</f>
        <v>Gayen</v>
      </c>
      <c r="B5">
        <v>0</v>
      </c>
      <c r="C5" s="200">
        <f>'Wood units'!B6</f>
        <v>8.6750000000000007</v>
      </c>
    </row>
    <row r="6" spans="1:3" ht="28.5" customHeight="1" x14ac:dyDescent="0.2">
      <c r="A6" t="str">
        <f>'Wood units'!A7</f>
        <v>Ichiyanagi</v>
      </c>
      <c r="B6">
        <v>0</v>
      </c>
      <c r="C6" s="200">
        <f>'Wood units'!B7</f>
        <v>41.127272727272725</v>
      </c>
    </row>
    <row r="7" spans="1:3" ht="28.5" customHeight="1" x14ac:dyDescent="0.2">
      <c r="A7" t="str">
        <f>'Wood units'!A8</f>
        <v>Kupari</v>
      </c>
      <c r="B7">
        <v>0</v>
      </c>
      <c r="C7" s="200">
        <f>'Wood units'!B8</f>
        <v>30</v>
      </c>
    </row>
    <row r="8" spans="1:3" ht="28.5" customHeight="1" x14ac:dyDescent="0.2">
      <c r="A8" t="str">
        <f>'Wood units'!A9</f>
        <v>Kurnick</v>
      </c>
      <c r="B8">
        <v>0</v>
      </c>
      <c r="C8" s="200">
        <f>'Wood units'!B9</f>
        <v>16</v>
      </c>
    </row>
    <row r="9" spans="1:3" ht="28.5" customHeight="1" x14ac:dyDescent="0.2">
      <c r="A9" t="str">
        <f>'Wood units'!A10</f>
        <v>Penn/Marston</v>
      </c>
      <c r="B9">
        <v>0</v>
      </c>
      <c r="C9" s="200">
        <f>'Wood units'!B10</f>
        <v>13.125</v>
      </c>
    </row>
    <row r="10" spans="1:3" ht="28.5" customHeight="1" x14ac:dyDescent="0.2">
      <c r="A10" t="str">
        <f>'Wood units'!A11</f>
        <v>Valencia</v>
      </c>
      <c r="B10">
        <v>0.02</v>
      </c>
      <c r="C10" s="200">
        <f>'Wood units'!B11</f>
        <v>6.7075000000000005</v>
      </c>
    </row>
    <row r="11" spans="1:3" ht="28.5" customHeight="1" x14ac:dyDescent="0.2">
      <c r="A11" t="str">
        <f>'Wood units'!A6</f>
        <v>Gayen</v>
      </c>
      <c r="B11">
        <v>0.98</v>
      </c>
      <c r="C11" s="200">
        <f>'Wood units'!C6</f>
        <v>3.95</v>
      </c>
    </row>
    <row r="12" spans="1:3" ht="28.5" customHeight="1" x14ac:dyDescent="0.2">
      <c r="A12" t="str">
        <f>'Wood units'!A7</f>
        <v>Ichiyanagi</v>
      </c>
      <c r="B12">
        <v>1</v>
      </c>
      <c r="C12" s="200">
        <f>'Wood units'!C7</f>
        <v>4.2181818181818178</v>
      </c>
    </row>
    <row r="13" spans="1:3" ht="28.5" customHeight="1" x14ac:dyDescent="0.2">
      <c r="A13" t="str">
        <f>'Wood units'!A8</f>
        <v>Kupari</v>
      </c>
      <c r="B13">
        <v>1.02</v>
      </c>
      <c r="C13" s="198">
        <f>'Wood units'!C8</f>
        <v>1.34</v>
      </c>
    </row>
    <row r="14" spans="1:3" ht="28.5" customHeight="1" x14ac:dyDescent="0.2">
      <c r="A14" t="str">
        <f>'Wood units'!A9</f>
        <v>Kurnick</v>
      </c>
      <c r="B14">
        <v>1.02</v>
      </c>
      <c r="C14" s="198">
        <f>'Wood units'!C9</f>
        <v>4.3</v>
      </c>
    </row>
    <row r="15" spans="1:3" ht="28.5" customHeight="1" x14ac:dyDescent="0.2">
      <c r="A15" t="str">
        <f>'Wood units'!A10</f>
        <v>Penn/Marston</v>
      </c>
      <c r="B15">
        <v>0.98</v>
      </c>
      <c r="C15" s="198">
        <f>'Wood units'!C10</f>
        <v>1.425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2911</TotalTime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28</vt:i4>
      </vt:variant>
      <vt:variant>
        <vt:lpstr>Nimetyt alueet</vt:lpstr>
      </vt:variant>
      <vt:variant>
        <vt:i4>2</vt:i4>
      </vt:variant>
    </vt:vector>
  </HeadingPairs>
  <TitlesOfParts>
    <vt:vector size="30" baseType="lpstr">
      <vt:lpstr>PH_Cases</vt:lpstr>
      <vt:lpstr>Other Vitamins &amp; Drugs</vt:lpstr>
      <vt:lpstr>Symptoms</vt:lpstr>
      <vt:lpstr>Card recovery</vt:lpstr>
      <vt:lpstr>mPAP</vt:lpstr>
      <vt:lpstr>mPAPpoints</vt:lpstr>
      <vt:lpstr>mPAParrows</vt:lpstr>
      <vt:lpstr>Wood units</vt:lpstr>
      <vt:lpstr>WoodPoints</vt:lpstr>
      <vt:lpstr>WoodArrows</vt:lpstr>
      <vt:lpstr>HR_RR_Reference</vt:lpstr>
      <vt:lpstr>HR_RR_BP</vt:lpstr>
      <vt:lpstr>Benhamed</vt:lpstr>
      <vt:lpstr>Frank</vt:lpstr>
      <vt:lpstr>Ghulam</vt:lpstr>
      <vt:lpstr>Ichiyanagi</vt:lpstr>
      <vt:lpstr>Ichiyanagi_2</vt:lpstr>
      <vt:lpstr>Ichiyanagi_3</vt:lpstr>
      <vt:lpstr>Ichiyanagi_4</vt:lpstr>
      <vt:lpstr>Kupari</vt:lpstr>
      <vt:lpstr>Kurnick</vt:lpstr>
      <vt:lpstr>Nariai</vt:lpstr>
      <vt:lpstr>Quinn</vt:lpstr>
      <vt:lpstr>Quinn_2</vt:lpstr>
      <vt:lpstr>Tan</vt:lpstr>
      <vt:lpstr>Laboratory changes</vt:lpstr>
      <vt:lpstr>Calculations</vt:lpstr>
      <vt:lpstr>WORDS</vt:lpstr>
      <vt:lpstr>PH_Cases!Excel_BuiltIn_Print_Area</vt:lpstr>
      <vt:lpstr>PH_Cases!Tulostusalue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Man, A.M.E. de (Angélique)</dc:creator>
  <dc:description/>
  <cp:lastModifiedBy>Harri Hemilä</cp:lastModifiedBy>
  <cp:revision>470</cp:revision>
  <dcterms:created xsi:type="dcterms:W3CDTF">2022-11-23T19:30:38Z</dcterms:created>
  <dcterms:modified xsi:type="dcterms:W3CDTF">2024-02-21T08:09:26Z</dcterms:modified>
  <dc:language>en-US</dc:language>
</cp:coreProperties>
</file>