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charts/colors17.xml" ContentType="application/vnd.ms-office.chartcolorstyle+xml"/>
  <Override PartName="/xl/charts/style17.xml" ContentType="application/vnd.ms-office.chartstyle+xml"/>
  <Override PartName="/xl/charts/chart17.xml" ContentType="application/vnd.openxmlformats-officedocument.drawingml.chart+xml"/>
  <Override PartName="/xl/worksheets/sheet2.xml" ContentType="application/vnd.openxmlformats-officedocument.spreadsheetml.worksheet+xml"/>
  <Override PartName="/xl/drawings/drawing8.xml" ContentType="application/vnd.openxmlformats-officedocument.drawing+xml"/>
  <Override PartName="/xl/charts/colors16.xml" ContentType="application/vnd.ms-office.chartcolorstyle+xml"/>
  <Override PartName="/xl/charts/style16.xml" ContentType="application/vnd.ms-office.chartstyle+xml"/>
  <Override PartName="/xl/charts/chart14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worksheets/sheet1.xml" ContentType="application/vnd.openxmlformats-officedocument.spreadsheetml.workshee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olors15.xml" ContentType="application/vnd.ms-office.chartcolorstyle+xml"/>
  <Override PartName="/xl/charts/style15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chart1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olors4.xml" ContentType="application/vnd.ms-office.chartcolorstyle+xml"/>
  <Override PartName="/xl/charts/style4.xml" ContentType="application/vnd.ms-office.chartstyle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style12.xml" ContentType="application/vnd.ms-office.chartstyle+xml"/>
  <Override PartName="/xl/charts/style5.xml" ContentType="application/vnd.ms-office.chartstyle+xml"/>
  <Override PartName="/xl/charts/chart6.xml" ContentType="application/vnd.openxmlformats-officedocument.drawingml.chart+xml"/>
  <Override PartName="/xl/charts/colors9.xml" ContentType="application/vnd.ms-office.chartcolorstyle+xml"/>
  <Override PartName="/xl/charts/style9.xml" ContentType="application/vnd.ms-office.chartstyle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olors11.xml" ContentType="application/vnd.ms-office.chartcolorstyle+xml"/>
  <Override PartName="/xl/charts/style11.xml" ContentType="application/vnd.ms-office.chartstyle+xml"/>
  <Override PartName="/xl/charts/chart11.xml" ContentType="application/vnd.openxmlformats-officedocument.drawingml.chart+xml"/>
  <Override PartName="/xl/charts/colors5.xml" ContentType="application/vnd.ms-office.chartcolor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olors6.xml" ContentType="application/vnd.ms-office.chartcolorstyle+xml"/>
  <Override PartName="/xl/charts/style6.xml" ContentType="application/vnd.ms-office.chartstyle+xml"/>
  <Override PartName="/xl/charts/style8.xml" ContentType="application/vnd.ms-office.chartstyle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4" activeTab="10"/>
  </bookViews>
  <sheets>
    <sheet name="Felt carbon" sheetId="1" r:id="rId1"/>
    <sheet name="electrode1 (ANNA)" sheetId="4" r:id="rId2"/>
    <sheet name=" Electrode 2 FC" sheetId="3" r:id="rId3"/>
    <sheet name=" electrode3 (vero)" sheetId="2" r:id="rId4"/>
    <sheet name="effect pH" sheetId="5" r:id="rId5"/>
    <sheet name="EFFECT CURRENT" sheetId="9" r:id="rId6"/>
    <sheet name="dosage H2O2" sheetId="11" r:id="rId7"/>
    <sheet name=" DI-RW1H" sheetId="6" r:id="rId8"/>
    <sheet name="Reuse" sheetId="7" r:id="rId9"/>
    <sheet name="DI-RW150min" sheetId="10" r:id="rId10"/>
    <sheet name="kinetic studies" sheetId="13" r:id="rId11"/>
  </sheets>
  <calcPr calcId="152511"/>
</workbook>
</file>

<file path=xl/calcChain.xml><?xml version="1.0" encoding="utf-8"?>
<calcChain xmlns="http://schemas.openxmlformats.org/spreadsheetml/2006/main">
  <c r="K2" i="13" l="1"/>
  <c r="Q3" i="13" l="1"/>
  <c r="Q4" i="13"/>
  <c r="Q5" i="13"/>
  <c r="Q6" i="13"/>
  <c r="Q7" i="13"/>
  <c r="Q8" i="13"/>
  <c r="Q9" i="13"/>
  <c r="Q10" i="13"/>
  <c r="Q11" i="13"/>
  <c r="Q2" i="13"/>
  <c r="P3" i="13"/>
  <c r="P4" i="13"/>
  <c r="P5" i="13"/>
  <c r="P6" i="13"/>
  <c r="P7" i="13"/>
  <c r="P8" i="13"/>
  <c r="P9" i="13"/>
  <c r="P10" i="13"/>
  <c r="P11" i="13"/>
  <c r="P2" i="13"/>
  <c r="L3" i="13"/>
  <c r="L4" i="13"/>
  <c r="L5" i="13"/>
  <c r="L6" i="13"/>
  <c r="L7" i="13"/>
  <c r="L8" i="13"/>
  <c r="L9" i="13"/>
  <c r="L10" i="13"/>
  <c r="L11" i="13"/>
  <c r="L2" i="13"/>
  <c r="K3" i="13"/>
  <c r="K4" i="13"/>
  <c r="K5" i="13"/>
  <c r="K6" i="13"/>
  <c r="K7" i="13"/>
  <c r="K8" i="13"/>
  <c r="K9" i="13"/>
  <c r="K10" i="13"/>
  <c r="K11" i="13"/>
  <c r="G3" i="13"/>
  <c r="G4" i="13"/>
  <c r="G5" i="13"/>
  <c r="G6" i="13"/>
  <c r="G7" i="13"/>
  <c r="G8" i="13"/>
  <c r="G9" i="13"/>
  <c r="G10" i="13"/>
  <c r="G11" i="13"/>
  <c r="G2" i="13"/>
  <c r="F3" i="13"/>
  <c r="F4" i="13"/>
  <c r="F5" i="13"/>
  <c r="F6" i="13"/>
  <c r="F7" i="13"/>
  <c r="F8" i="13"/>
  <c r="F9" i="13"/>
  <c r="F10" i="13"/>
  <c r="F11" i="13"/>
  <c r="F2" i="13"/>
  <c r="G11" i="6" l="1"/>
  <c r="Z13" i="11" l="1"/>
  <c r="Z12" i="11"/>
  <c r="Z11" i="11"/>
  <c r="Z10" i="11"/>
  <c r="Z9" i="11"/>
  <c r="Z8" i="11"/>
  <c r="Z7" i="11"/>
  <c r="Z6" i="11"/>
  <c r="Z5" i="11"/>
  <c r="Z4" i="11"/>
  <c r="Z19" i="11" l="1"/>
  <c r="Z20" i="11"/>
  <c r="Z21" i="11"/>
  <c r="Z22" i="11"/>
  <c r="Z23" i="11"/>
  <c r="Z24" i="11"/>
  <c r="Z25" i="11"/>
  <c r="Z26" i="11"/>
  <c r="Z18" i="11"/>
  <c r="X19" i="11"/>
  <c r="X20" i="11"/>
  <c r="X21" i="11"/>
  <c r="X22" i="11"/>
  <c r="X23" i="11"/>
  <c r="X24" i="11"/>
  <c r="X25" i="11"/>
  <c r="X26" i="11"/>
  <c r="X27" i="11"/>
  <c r="Z27" i="11" s="1"/>
  <c r="X18" i="11"/>
  <c r="Q13" i="11"/>
  <c r="X5" i="11"/>
  <c r="X6" i="11"/>
  <c r="X7" i="11"/>
  <c r="X8" i="11"/>
  <c r="X9" i="11"/>
  <c r="X10" i="11"/>
  <c r="X11" i="11"/>
  <c r="X12" i="11"/>
  <c r="X13" i="11"/>
  <c r="X4" i="11"/>
  <c r="K16" i="10" l="1"/>
  <c r="K17" i="10"/>
  <c r="K18" i="10"/>
  <c r="K19" i="10"/>
  <c r="K20" i="10"/>
  <c r="K21" i="10"/>
  <c r="K22" i="10"/>
  <c r="K23" i="10"/>
  <c r="K15" i="10"/>
  <c r="J16" i="10"/>
  <c r="J17" i="10"/>
  <c r="J18" i="10"/>
  <c r="J19" i="10"/>
  <c r="J20" i="10"/>
  <c r="J21" i="10"/>
  <c r="J22" i="10"/>
  <c r="J23" i="10"/>
  <c r="J15" i="10"/>
  <c r="K4" i="10"/>
  <c r="I16" i="10"/>
  <c r="I17" i="10"/>
  <c r="I18" i="10"/>
  <c r="I19" i="10"/>
  <c r="I20" i="10"/>
  <c r="I21" i="10"/>
  <c r="I22" i="10"/>
  <c r="I23" i="10"/>
  <c r="I15" i="10"/>
  <c r="H16" i="10"/>
  <c r="H17" i="10"/>
  <c r="H18" i="10"/>
  <c r="H19" i="10"/>
  <c r="H20" i="10"/>
  <c r="H21" i="10"/>
  <c r="H22" i="10"/>
  <c r="H23" i="10"/>
  <c r="H15" i="10"/>
  <c r="I27" i="7" l="1"/>
  <c r="AE35" i="7"/>
  <c r="I25" i="7"/>
  <c r="F13" i="5"/>
  <c r="J13" i="5" s="1"/>
  <c r="F12" i="5"/>
  <c r="J12" i="5" s="1"/>
  <c r="F11" i="5"/>
  <c r="J11" i="5" s="1"/>
  <c r="G13" i="5"/>
  <c r="K13" i="5"/>
  <c r="G12" i="5"/>
  <c r="K12" i="5"/>
  <c r="L11" i="5"/>
  <c r="L12" i="5"/>
  <c r="L13" i="5"/>
  <c r="H11" i="5"/>
  <c r="H12" i="5"/>
  <c r="H13" i="5"/>
  <c r="G11" i="5"/>
  <c r="K11" i="5"/>
  <c r="H5" i="5"/>
  <c r="H6" i="5"/>
  <c r="H7" i="5"/>
  <c r="H8" i="5"/>
  <c r="H9" i="5"/>
  <c r="H10" i="5"/>
  <c r="L12" i="10" l="1"/>
  <c r="K5" i="10"/>
  <c r="K6" i="10"/>
  <c r="K7" i="10"/>
  <c r="K8" i="10"/>
  <c r="K10" i="10"/>
  <c r="K11" i="10"/>
  <c r="B22" i="10"/>
  <c r="L5" i="10"/>
  <c r="L6" i="10"/>
  <c r="L7" i="10"/>
  <c r="L8" i="10"/>
  <c r="L9" i="10"/>
  <c r="L10" i="10"/>
  <c r="L11" i="10"/>
  <c r="L4" i="10"/>
  <c r="F5" i="10"/>
  <c r="F6" i="10"/>
  <c r="F7" i="10"/>
  <c r="F8" i="10"/>
  <c r="F9" i="10"/>
  <c r="F10" i="10"/>
  <c r="F11" i="10"/>
  <c r="F12" i="10"/>
  <c r="K12" i="10" s="1"/>
  <c r="G5" i="10"/>
  <c r="G6" i="10"/>
  <c r="G7" i="10"/>
  <c r="G8" i="10"/>
  <c r="G9" i="10"/>
  <c r="G10" i="10"/>
  <c r="G11" i="10"/>
  <c r="G12" i="10"/>
  <c r="G4" i="10"/>
  <c r="F4" i="10"/>
  <c r="B23" i="10"/>
  <c r="F14" i="11"/>
  <c r="I14" i="9"/>
  <c r="G14" i="9"/>
  <c r="J14" i="9"/>
  <c r="J17" i="9"/>
  <c r="K9" i="10" l="1"/>
  <c r="Q5" i="11"/>
  <c r="Q6" i="11"/>
  <c r="Q7" i="11"/>
  <c r="Q8" i="11"/>
  <c r="Q9" i="11"/>
  <c r="Q10" i="11"/>
  <c r="Q11" i="11"/>
  <c r="Q12" i="11"/>
  <c r="P5" i="11"/>
  <c r="P6" i="11"/>
  <c r="P7" i="11"/>
  <c r="P8" i="11"/>
  <c r="P9" i="11"/>
  <c r="P10" i="11"/>
  <c r="P11" i="11"/>
  <c r="P12" i="11"/>
  <c r="P13" i="11"/>
  <c r="Q4" i="11"/>
  <c r="P4" i="11"/>
  <c r="F6" i="11" l="1"/>
  <c r="F7" i="11"/>
  <c r="F8" i="11"/>
  <c r="F9" i="11"/>
  <c r="F10" i="11"/>
  <c r="F11" i="11"/>
  <c r="F12" i="11"/>
  <c r="F13" i="11"/>
  <c r="E6" i="11"/>
  <c r="E7" i="11"/>
  <c r="E8" i="11"/>
  <c r="E9" i="11"/>
  <c r="E10" i="11"/>
  <c r="E11" i="11"/>
  <c r="E12" i="11"/>
  <c r="E13" i="11"/>
  <c r="F5" i="11"/>
  <c r="E5" i="11"/>
  <c r="L6" i="7"/>
  <c r="L7" i="7"/>
  <c r="L8" i="7"/>
  <c r="L9" i="7"/>
  <c r="L10" i="7"/>
  <c r="L11" i="7"/>
  <c r="L12" i="7"/>
  <c r="L13" i="7"/>
  <c r="K13" i="7"/>
  <c r="K6" i="7"/>
  <c r="K7" i="7"/>
  <c r="K8" i="7"/>
  <c r="K9" i="7"/>
  <c r="K10" i="7"/>
  <c r="K11" i="7"/>
  <c r="K12" i="7"/>
  <c r="J6" i="7"/>
  <c r="J7" i="7"/>
  <c r="J8" i="7"/>
  <c r="J9" i="7"/>
  <c r="J10" i="7"/>
  <c r="J11" i="7"/>
  <c r="J12" i="7"/>
  <c r="J13" i="7"/>
  <c r="I6" i="7"/>
  <c r="I7" i="7"/>
  <c r="I8" i="7"/>
  <c r="I9" i="7"/>
  <c r="I10" i="7"/>
  <c r="I11" i="7"/>
  <c r="I12" i="7"/>
  <c r="I13" i="7"/>
  <c r="H6" i="7"/>
  <c r="H7" i="7"/>
  <c r="H8" i="7"/>
  <c r="H9" i="7"/>
  <c r="H10" i="7"/>
  <c r="H11" i="7"/>
  <c r="H12" i="7"/>
  <c r="H13" i="7"/>
  <c r="J6" i="9"/>
  <c r="J7" i="9"/>
  <c r="J8" i="9"/>
  <c r="J9" i="9"/>
  <c r="J10" i="9"/>
  <c r="J11" i="9"/>
  <c r="J12" i="9"/>
  <c r="O12" i="9" s="1"/>
  <c r="J13" i="9"/>
  <c r="O13" i="9" s="1"/>
  <c r="J5" i="9"/>
  <c r="I13" i="9"/>
  <c r="N13" i="9" s="1"/>
  <c r="H13" i="9"/>
  <c r="G13" i="9"/>
  <c r="L13" i="9" s="1"/>
  <c r="H6" i="9"/>
  <c r="H7" i="9"/>
  <c r="H8" i="9"/>
  <c r="H9" i="9"/>
  <c r="H10" i="9"/>
  <c r="H11" i="9"/>
  <c r="H12" i="9"/>
  <c r="I6" i="9"/>
  <c r="I7" i="9"/>
  <c r="I8" i="9"/>
  <c r="I9" i="9"/>
  <c r="I10" i="9"/>
  <c r="I11" i="9"/>
  <c r="I12" i="9"/>
  <c r="S13" i="9" l="1"/>
  <c r="M13" i="9"/>
  <c r="H14" i="9"/>
  <c r="T13" i="9"/>
  <c r="R13" i="9"/>
  <c r="Q13" i="9"/>
  <c r="O6" i="9"/>
  <c r="O7" i="9"/>
  <c r="O8" i="9"/>
  <c r="O9" i="9"/>
  <c r="O10" i="9"/>
  <c r="T11" i="9"/>
  <c r="O5" i="9"/>
  <c r="T5" i="9" l="1"/>
  <c r="T9" i="9"/>
  <c r="T12" i="9"/>
  <c r="T10" i="9"/>
  <c r="O11" i="9"/>
  <c r="T7" i="9"/>
  <c r="T6" i="9"/>
  <c r="T8" i="9"/>
  <c r="S6" i="9"/>
  <c r="S7" i="9"/>
  <c r="S10" i="9"/>
  <c r="S11" i="9"/>
  <c r="G6" i="9"/>
  <c r="Q6" i="9" s="1"/>
  <c r="G7" i="9"/>
  <c r="G8" i="9"/>
  <c r="G9" i="9"/>
  <c r="G10" i="9"/>
  <c r="Q10" i="9" s="1"/>
  <c r="G11" i="9"/>
  <c r="G12" i="9"/>
  <c r="I5" i="9"/>
  <c r="H5" i="9"/>
  <c r="G5" i="9"/>
  <c r="E12" i="6"/>
  <c r="D12" i="6"/>
  <c r="M13" i="1"/>
  <c r="M14" i="1"/>
  <c r="M15" i="1"/>
  <c r="M16" i="1"/>
  <c r="M17" i="1"/>
  <c r="L13" i="1"/>
  <c r="L14" i="1"/>
  <c r="L15" i="1"/>
  <c r="L16" i="1"/>
  <c r="L17" i="1"/>
  <c r="K13" i="1"/>
  <c r="K14" i="1"/>
  <c r="K15" i="1"/>
  <c r="K16" i="1"/>
  <c r="K17" i="1"/>
  <c r="J13" i="1"/>
  <c r="J14" i="1"/>
  <c r="J15" i="1"/>
  <c r="J16" i="1"/>
  <c r="J17" i="1"/>
  <c r="M12" i="1"/>
  <c r="M4" i="1"/>
  <c r="L12" i="1"/>
  <c r="K12" i="1"/>
  <c r="J12" i="1"/>
  <c r="I13" i="1"/>
  <c r="I14" i="1"/>
  <c r="I15" i="1"/>
  <c r="I16" i="1"/>
  <c r="I17" i="1"/>
  <c r="I12" i="1"/>
  <c r="L5" i="7"/>
  <c r="K5" i="7"/>
  <c r="J5" i="7"/>
  <c r="I5" i="7"/>
  <c r="H5" i="7"/>
  <c r="L10" i="9" l="1"/>
  <c r="M9" i="9"/>
  <c r="R9" i="9"/>
  <c r="M10" i="9"/>
  <c r="R10" i="9"/>
  <c r="M11" i="9"/>
  <c r="R11" i="9"/>
  <c r="N9" i="9"/>
  <c r="S9" i="9"/>
  <c r="N11" i="9"/>
  <c r="N10" i="9"/>
  <c r="N8" i="9"/>
  <c r="S8" i="9"/>
  <c r="M8" i="9"/>
  <c r="R8" i="9"/>
  <c r="M7" i="9"/>
  <c r="R7" i="9"/>
  <c r="N7" i="9"/>
  <c r="M12" i="9"/>
  <c r="R12" i="9"/>
  <c r="L12" i="9"/>
  <c r="Q12" i="9"/>
  <c r="L11" i="9"/>
  <c r="Q11" i="9"/>
  <c r="L8" i="9"/>
  <c r="Q8" i="9"/>
  <c r="L5" i="9"/>
  <c r="Q5" i="9"/>
  <c r="L7" i="9"/>
  <c r="Q7" i="9"/>
  <c r="L6" i="9"/>
  <c r="L9" i="9"/>
  <c r="Q9" i="9"/>
  <c r="N12" i="9"/>
  <c r="S12" i="9"/>
  <c r="M6" i="9"/>
  <c r="R6" i="9"/>
  <c r="N6" i="9"/>
  <c r="M5" i="9"/>
  <c r="R5" i="9"/>
  <c r="N5" i="9"/>
  <c r="S5" i="9"/>
  <c r="J6" i="5"/>
  <c r="J7" i="5"/>
  <c r="C12" i="6"/>
  <c r="J5" i="5"/>
  <c r="G6" i="5"/>
  <c r="K6" i="5" s="1"/>
  <c r="G7" i="5"/>
  <c r="K7" i="5" s="1"/>
  <c r="G8" i="5"/>
  <c r="K8" i="5" s="1"/>
  <c r="G9" i="5"/>
  <c r="K9" i="5" s="1"/>
  <c r="G10" i="5"/>
  <c r="K10" i="5" s="1"/>
  <c r="G5" i="5"/>
  <c r="K5" i="5" s="1"/>
  <c r="L6" i="5"/>
  <c r="L7" i="5"/>
  <c r="L8" i="5"/>
  <c r="L9" i="5"/>
  <c r="L10" i="5"/>
  <c r="L5" i="5"/>
  <c r="F10" i="5"/>
  <c r="J10" i="5" s="1"/>
  <c r="F6" i="5"/>
  <c r="F7" i="5"/>
  <c r="F8" i="5"/>
  <c r="J8" i="5" s="1"/>
  <c r="F9" i="5"/>
  <c r="J9" i="5" s="1"/>
  <c r="F5" i="5"/>
  <c r="G8" i="6"/>
  <c r="G9" i="6"/>
  <c r="F6" i="6"/>
  <c r="F7" i="6"/>
  <c r="F8" i="6"/>
  <c r="F9" i="6"/>
  <c r="F10" i="6"/>
  <c r="E6" i="6"/>
  <c r="G6" i="6" s="1"/>
  <c r="E7" i="6"/>
  <c r="G7" i="6" s="1"/>
  <c r="E8" i="6"/>
  <c r="E9" i="6"/>
  <c r="E10" i="6"/>
  <c r="G10" i="6" s="1"/>
  <c r="D6" i="6"/>
  <c r="D7" i="6"/>
  <c r="D8" i="6"/>
  <c r="D9" i="6"/>
  <c r="D10" i="6"/>
  <c r="F5" i="6"/>
  <c r="E5" i="6"/>
  <c r="G5" i="6" s="1"/>
  <c r="D5" i="6"/>
  <c r="O10" i="4"/>
  <c r="N10" i="4"/>
  <c r="M10" i="4"/>
  <c r="O9" i="4"/>
  <c r="N9" i="4"/>
  <c r="M9" i="4"/>
  <c r="O8" i="4"/>
  <c r="N8" i="4"/>
  <c r="M8" i="4"/>
  <c r="O7" i="4"/>
  <c r="N7" i="4"/>
  <c r="M7" i="4"/>
  <c r="O6" i="4"/>
  <c r="N6" i="4"/>
  <c r="M6" i="4"/>
  <c r="O5" i="4"/>
  <c r="N5" i="4"/>
  <c r="M5" i="4"/>
  <c r="L10" i="4"/>
  <c r="K10" i="4"/>
  <c r="J10" i="4"/>
  <c r="L9" i="4"/>
  <c r="K9" i="4"/>
  <c r="J9" i="4"/>
  <c r="L8" i="4"/>
  <c r="K8" i="4"/>
  <c r="J8" i="4"/>
  <c r="L7" i="4"/>
  <c r="K7" i="4"/>
  <c r="J7" i="4"/>
  <c r="L6" i="4"/>
  <c r="K6" i="4"/>
  <c r="J6" i="4"/>
  <c r="L5" i="4"/>
  <c r="K5" i="4"/>
  <c r="J5" i="4"/>
  <c r="H10" i="4"/>
  <c r="G10" i="4"/>
  <c r="F10" i="4"/>
  <c r="H9" i="4"/>
  <c r="G9" i="4"/>
  <c r="F9" i="4"/>
  <c r="H8" i="4"/>
  <c r="G8" i="4"/>
  <c r="F8" i="4"/>
  <c r="H7" i="4"/>
  <c r="G7" i="4"/>
  <c r="F7" i="4"/>
  <c r="H6" i="4"/>
  <c r="G6" i="4"/>
  <c r="F6" i="4"/>
  <c r="H5" i="4"/>
  <c r="G5" i="4"/>
  <c r="F5" i="4"/>
  <c r="M6" i="2" l="1"/>
  <c r="P6" i="3"/>
  <c r="P7" i="3"/>
  <c r="P9" i="3"/>
  <c r="P10" i="3"/>
  <c r="N6" i="3"/>
  <c r="N9" i="3"/>
  <c r="N10" i="3"/>
  <c r="F6" i="2"/>
  <c r="F7" i="2"/>
  <c r="M7" i="2" s="1"/>
  <c r="F8" i="2"/>
  <c r="M8" i="2" s="1"/>
  <c r="F9" i="2"/>
  <c r="M9" i="2" s="1"/>
  <c r="F10" i="2"/>
  <c r="M10" i="2" s="1"/>
  <c r="F5" i="2"/>
  <c r="M5" i="2" s="1"/>
  <c r="H6" i="3"/>
  <c r="L6" i="3" s="1"/>
  <c r="H7" i="3"/>
  <c r="L7" i="3" s="1"/>
  <c r="H8" i="3"/>
  <c r="P8" i="3" s="1"/>
  <c r="H9" i="3"/>
  <c r="L9" i="3" s="1"/>
  <c r="H10" i="3"/>
  <c r="L10" i="3" s="1"/>
  <c r="G6" i="3"/>
  <c r="K6" i="3" s="1"/>
  <c r="G7" i="3"/>
  <c r="K7" i="3" s="1"/>
  <c r="G8" i="3"/>
  <c r="K8" i="3" s="1"/>
  <c r="G9" i="3"/>
  <c r="K9" i="3" s="1"/>
  <c r="G10" i="3"/>
  <c r="O10" i="3" s="1"/>
  <c r="H5" i="3"/>
  <c r="L5" i="3" s="1"/>
  <c r="G5" i="3"/>
  <c r="K5" i="3" s="1"/>
  <c r="F6" i="3"/>
  <c r="J6" i="3" s="1"/>
  <c r="F7" i="3"/>
  <c r="J7" i="3" s="1"/>
  <c r="F8" i="3"/>
  <c r="J8" i="3" s="1"/>
  <c r="F9" i="3"/>
  <c r="J9" i="3" s="1"/>
  <c r="F10" i="3"/>
  <c r="J10" i="3" s="1"/>
  <c r="F5" i="3"/>
  <c r="J5" i="3" s="1"/>
  <c r="H6" i="2"/>
  <c r="O6" i="2" s="1"/>
  <c r="H7" i="2"/>
  <c r="L7" i="2" s="1"/>
  <c r="H8" i="2"/>
  <c r="O8" i="2" s="1"/>
  <c r="H9" i="2"/>
  <c r="O9" i="2" s="1"/>
  <c r="H10" i="2"/>
  <c r="O10" i="2" s="1"/>
  <c r="H5" i="2"/>
  <c r="L5" i="2" s="1"/>
  <c r="G6" i="2"/>
  <c r="K6" i="2" s="1"/>
  <c r="G7" i="2"/>
  <c r="K7" i="2" s="1"/>
  <c r="G8" i="2"/>
  <c r="K8" i="2" s="1"/>
  <c r="G9" i="2"/>
  <c r="N9" i="2" s="1"/>
  <c r="G10" i="2"/>
  <c r="K10" i="2" s="1"/>
  <c r="G5" i="2"/>
  <c r="K5" i="2" s="1"/>
  <c r="J6" i="2"/>
  <c r="J5" i="2"/>
  <c r="C12" i="2"/>
  <c r="O5" i="3" l="1"/>
  <c r="O8" i="3"/>
  <c r="O9" i="3"/>
  <c r="J8" i="2"/>
  <c r="N8" i="2"/>
  <c r="L9" i="2"/>
  <c r="L8" i="2"/>
  <c r="N7" i="2"/>
  <c r="J10" i="2"/>
  <c r="J7" i="2"/>
  <c r="O5" i="2"/>
  <c r="J9" i="2"/>
  <c r="K9" i="2"/>
  <c r="L6" i="2"/>
  <c r="N10" i="2"/>
  <c r="N6" i="2"/>
  <c r="O7" i="2"/>
  <c r="L10" i="2"/>
  <c r="N5" i="2"/>
  <c r="O7" i="3"/>
  <c r="P5" i="3"/>
  <c r="K10" i="3"/>
  <c r="L8" i="3"/>
  <c r="N5" i="3"/>
  <c r="N8" i="3"/>
  <c r="N7" i="3"/>
  <c r="O6" i="3"/>
  <c r="U5" i="1"/>
  <c r="U6" i="1"/>
  <c r="U7" i="1"/>
  <c r="U8" i="1"/>
  <c r="U9" i="1"/>
  <c r="U4" i="1"/>
  <c r="T5" i="1"/>
  <c r="T6" i="1"/>
  <c r="T7" i="1"/>
  <c r="T8" i="1"/>
  <c r="T9" i="1"/>
  <c r="T4" i="1"/>
  <c r="S4" i="1"/>
  <c r="N5" i="1"/>
  <c r="N6" i="1"/>
  <c r="N7" i="1"/>
  <c r="N8" i="1"/>
  <c r="N9" i="1"/>
  <c r="N4" i="1"/>
  <c r="M5" i="1"/>
  <c r="M6" i="1"/>
  <c r="M7" i="1"/>
  <c r="M8" i="1"/>
  <c r="M9" i="1"/>
  <c r="S5" i="1"/>
  <c r="S6" i="1"/>
  <c r="S7" i="1"/>
  <c r="S8" i="1"/>
  <c r="S9" i="1"/>
  <c r="R5" i="1"/>
  <c r="R6" i="1"/>
  <c r="R7" i="1"/>
  <c r="R8" i="1"/>
  <c r="R9" i="1"/>
  <c r="R4" i="1"/>
  <c r="Q5" i="1"/>
  <c r="Q6" i="1"/>
  <c r="Q7" i="1"/>
  <c r="Q8" i="1"/>
  <c r="Q9" i="1"/>
  <c r="Q4" i="1"/>
  <c r="P4" i="1"/>
  <c r="P5" i="1"/>
  <c r="P6" i="1"/>
  <c r="P7" i="1"/>
  <c r="P8" i="1"/>
  <c r="P9" i="1"/>
  <c r="D18" i="1"/>
  <c r="L5" i="1"/>
  <c r="L6" i="1"/>
  <c r="L7" i="1"/>
  <c r="L8" i="1"/>
  <c r="L9" i="1"/>
  <c r="L4" i="1"/>
  <c r="J5" i="1"/>
  <c r="J6" i="1"/>
  <c r="J7" i="1"/>
  <c r="J8" i="1"/>
  <c r="J9" i="1"/>
  <c r="J4" i="1"/>
  <c r="I5" i="1"/>
  <c r="I6" i="1"/>
  <c r="I7" i="1"/>
  <c r="I8" i="1"/>
  <c r="I9" i="1"/>
  <c r="I4" i="1"/>
  <c r="K5" i="1"/>
  <c r="K6" i="1"/>
  <c r="K7" i="1"/>
  <c r="K8" i="1"/>
  <c r="K9" i="1"/>
  <c r="K4" i="1"/>
</calcChain>
</file>

<file path=xl/sharedStrings.xml><?xml version="1.0" encoding="utf-8"?>
<sst xmlns="http://schemas.openxmlformats.org/spreadsheetml/2006/main" count="183" uniqueCount="63">
  <si>
    <t>Time</t>
  </si>
  <si>
    <t>C.O</t>
  </si>
  <si>
    <t>ATP=40mg/L</t>
  </si>
  <si>
    <t>PH=3</t>
  </si>
  <si>
    <t>Volt</t>
  </si>
  <si>
    <t>10mA</t>
  </si>
  <si>
    <t>BDD</t>
  </si>
  <si>
    <t>Na2SO4=0.05M</t>
  </si>
  <si>
    <t>Bubble=1L/min</t>
  </si>
  <si>
    <t>FELt carbon (2*2*0.5)</t>
  </si>
  <si>
    <t>ABS=2.222</t>
  </si>
  <si>
    <t>NZVI</t>
  </si>
  <si>
    <t>AC</t>
  </si>
  <si>
    <t>HB</t>
  </si>
  <si>
    <t>ABS=2.16</t>
  </si>
  <si>
    <t>ATP</t>
  </si>
  <si>
    <t>1L/min</t>
  </si>
  <si>
    <t>I=0.05A</t>
  </si>
  <si>
    <t>pH3</t>
  </si>
  <si>
    <t>pH5</t>
  </si>
  <si>
    <t>pH7</t>
  </si>
  <si>
    <t>PH3</t>
  </si>
  <si>
    <t>Removal %</t>
  </si>
  <si>
    <t>Real</t>
  </si>
  <si>
    <t>C/C0</t>
  </si>
  <si>
    <t>R</t>
  </si>
  <si>
    <t>Cycle1</t>
  </si>
  <si>
    <t>Cycle2</t>
  </si>
  <si>
    <t>Cycle3</t>
  </si>
  <si>
    <t>C4</t>
  </si>
  <si>
    <t>C5</t>
  </si>
  <si>
    <t>PH7</t>
  </si>
  <si>
    <t>50mA</t>
  </si>
  <si>
    <t>FC</t>
  </si>
  <si>
    <t>AC-ACNZVI</t>
  </si>
  <si>
    <t>243 ANT</t>
  </si>
  <si>
    <t>H2O2 405</t>
  </si>
  <si>
    <t>FC-AC-NZVI</t>
  </si>
  <si>
    <t>I=110mA</t>
  </si>
  <si>
    <t>41.3mg/L</t>
  </si>
  <si>
    <t>ANT</t>
  </si>
  <si>
    <t>EC(kwh/g)</t>
  </si>
  <si>
    <t>DW(40.1)</t>
  </si>
  <si>
    <t>RW(40.29) DW(40.2)</t>
  </si>
  <si>
    <t>--</t>
  </si>
  <si>
    <t>c0</t>
  </si>
  <si>
    <t>c/c0</t>
  </si>
  <si>
    <t>r%</t>
  </si>
  <si>
    <t>Kinetic studies</t>
  </si>
  <si>
    <t>Zo</t>
  </si>
  <si>
    <t>ct</t>
  </si>
  <si>
    <t>lnc/c0</t>
  </si>
  <si>
    <t>So</t>
  </si>
  <si>
    <t>1/ct</t>
  </si>
  <si>
    <t xml:space="preserve"> CF modief</t>
  </si>
  <si>
    <t>CF non modifier</t>
  </si>
  <si>
    <t>ZO</t>
  </si>
  <si>
    <t>FO</t>
  </si>
  <si>
    <t>SO</t>
  </si>
  <si>
    <t>CF-MO</t>
  </si>
  <si>
    <t>CF</t>
  </si>
  <si>
    <t>C0</t>
  </si>
  <si>
    <t>CF-ACNZVI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</si>
</sst>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0" borderId="1" xfId="0" applyBorder="1"/>
    <xf numFmtId="0" fontId="0" fillId="6" borderId="1" xfId="0" applyFill="1" applyBorder="1"/>
    <xf numFmtId="0" fontId="0" fillId="7" borderId="1" xfId="0" applyFill="1" applyBorder="1"/>
    <xf numFmtId="0" fontId="0" fillId="9" borderId="0" xfId="0" applyFill="1"/>
    <xf numFmtId="0" fontId="0" fillId="9" borderId="1" xfId="0" applyFill="1" applyBorder="1"/>
    <xf numFmtId="0" fontId="0" fillId="8" borderId="1" xfId="0" applyFill="1" applyBorder="1"/>
    <xf numFmtId="0" fontId="0" fillId="10" borderId="1" xfId="0" applyFill="1" applyBorder="1"/>
    <xf numFmtId="0" fontId="0" fillId="7" borderId="1" xfId="0" applyFont="1" applyFill="1" applyBorder="1"/>
    <xf numFmtId="0" fontId="0" fillId="11" borderId="1" xfId="0" applyFill="1" applyBorder="1"/>
    <xf numFmtId="0" fontId="0" fillId="11" borderId="0" xfId="0" applyFill="1"/>
    <xf numFmtId="0" fontId="0" fillId="11" borderId="2" xfId="0" applyFill="1" applyBorder="1"/>
    <xf numFmtId="0" fontId="0" fillId="12" borderId="0" xfId="0" applyFill="1"/>
    <xf numFmtId="0" fontId="0" fillId="12" borderId="1" xfId="0" applyFill="1" applyBorder="1"/>
    <xf numFmtId="0" fontId="0" fillId="13" borderId="1" xfId="0" applyFill="1" applyBorder="1"/>
    <xf numFmtId="0" fontId="0" fillId="6" borderId="0" xfId="0" applyFill="1" applyBorder="1"/>
    <xf numFmtId="0" fontId="0" fillId="14" borderId="1" xfId="0" applyFill="1" applyBorder="1"/>
    <xf numFmtId="0" fontId="0" fillId="6" borderId="0" xfId="0" applyFill="1"/>
    <xf numFmtId="0" fontId="0" fillId="15" borderId="1" xfId="0" applyFill="1" applyBorder="1"/>
    <xf numFmtId="0" fontId="0" fillId="14" borderId="2" xfId="0" applyFill="1" applyBorder="1"/>
    <xf numFmtId="0" fontId="0" fillId="6" borderId="0" xfId="0" applyFont="1" applyFill="1"/>
    <xf numFmtId="0" fontId="0" fillId="10" borderId="2" xfId="0" applyFill="1" applyBorder="1"/>
    <xf numFmtId="0" fontId="0" fillId="15" borderId="2" xfId="0" applyFill="1" applyBorder="1"/>
    <xf numFmtId="0" fontId="0" fillId="5" borderId="0" xfId="0" applyFill="1" applyBorder="1"/>
    <xf numFmtId="0" fontId="0" fillId="16" borderId="1" xfId="0" applyFill="1" applyBorder="1"/>
    <xf numFmtId="0" fontId="0" fillId="8" borderId="2" xfId="0" applyFill="1" applyBorder="1"/>
    <xf numFmtId="0" fontId="0" fillId="7" borderId="2" xfId="0" applyFont="1" applyFill="1" applyBorder="1"/>
    <xf numFmtId="0" fontId="0" fillId="17" borderId="0" xfId="0" applyFill="1"/>
    <xf numFmtId="0" fontId="0" fillId="13" borderId="2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'electrode1 (ANNA)'!$I$4:$I$10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(ANNA)'!$J$4:$J$10</c:f>
              <c:numCache>
                <c:formatCode>General</c:formatCode>
                <c:ptCount val="7"/>
                <c:pt idx="0">
                  <c:v>1</c:v>
                </c:pt>
                <c:pt idx="1">
                  <c:v>0.8991040442088809</c:v>
                </c:pt>
                <c:pt idx="2">
                  <c:v>0.86669555651855057</c:v>
                </c:pt>
                <c:pt idx="3">
                  <c:v>0.82502750091669719</c:v>
                </c:pt>
                <c:pt idx="4">
                  <c:v>0.78891518606175759</c:v>
                </c:pt>
                <c:pt idx="5">
                  <c:v>0.75650669837142714</c:v>
                </c:pt>
                <c:pt idx="6">
                  <c:v>0.71344970758284532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'electrode1 (ANNA)'!$I$4:$I$10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(ANNA)'!$K$4:$K$10</c:f>
              <c:numCache>
                <c:formatCode>General</c:formatCode>
                <c:ptCount val="7"/>
                <c:pt idx="0">
                  <c:v>1</c:v>
                </c:pt>
                <c:pt idx="1">
                  <c:v>0.78798922927060533</c:v>
                </c:pt>
                <c:pt idx="2">
                  <c:v>0.71622757795630221</c:v>
                </c:pt>
                <c:pt idx="3">
                  <c:v>0.65048464578448906</c:v>
                </c:pt>
                <c:pt idx="4">
                  <c:v>0.6208540284676155</c:v>
                </c:pt>
                <c:pt idx="5">
                  <c:v>0.58057490805249057</c:v>
                </c:pt>
                <c:pt idx="6">
                  <c:v>0.54677748517543179</c:v>
                </c:pt>
              </c:numCache>
            </c:numRef>
          </c:yVal>
          <c:smooth val="1"/>
        </c:ser>
        <c:ser>
          <c:idx val="2"/>
          <c:order val="2"/>
          <c:tx>
            <c:v>HB-NZVI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'electrode1 (ANNA)'!$I$4:$I$10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(ANNA)'!$L$4:$L$10</c:f>
              <c:numCache>
                <c:formatCode>General</c:formatCode>
                <c:ptCount val="7"/>
                <c:pt idx="0">
                  <c:v>1</c:v>
                </c:pt>
                <c:pt idx="1">
                  <c:v>0.86901044849643139</c:v>
                </c:pt>
                <c:pt idx="2">
                  <c:v>0.8014156027423136</c:v>
                </c:pt>
                <c:pt idx="3">
                  <c:v>0.74724713045990421</c:v>
                </c:pt>
                <c:pt idx="4">
                  <c:v>0.69956035571556086</c:v>
                </c:pt>
                <c:pt idx="5">
                  <c:v>0.66205910567389281</c:v>
                </c:pt>
                <c:pt idx="6">
                  <c:v>0.6208540284676155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0944"/>
        <c:axId val="462372032"/>
      </c:scatterChart>
      <c:valAx>
        <c:axId val="46237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2032"/>
        <c:crosses val="autoZero"/>
        <c:crossBetween val="midCat"/>
      </c:valAx>
      <c:valAx>
        <c:axId val="46237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0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'EFFECT CURRENT'!$P$4:$P$10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CURRENT'!$Q$4:$Q$10</c:f>
              <c:numCache>
                <c:formatCode>General</c:formatCode>
                <c:ptCount val="7"/>
                <c:pt idx="0">
                  <c:v>0</c:v>
                </c:pt>
                <c:pt idx="1">
                  <c:v>65.355433155277893</c:v>
                </c:pt>
                <c:pt idx="2">
                  <c:v>67.895033547123091</c:v>
                </c:pt>
                <c:pt idx="3">
                  <c:v>70.021070920281687</c:v>
                </c:pt>
                <c:pt idx="4">
                  <c:v>71.558878435576574</c:v>
                </c:pt>
                <c:pt idx="5">
                  <c:v>73.638707650222727</c:v>
                </c:pt>
                <c:pt idx="6">
                  <c:v>75.749034249487096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'EFFECT CURRENT'!$P$4:$P$10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CURRENT'!$R$4:$R$10</c:f>
              <c:numCache>
                <c:formatCode>General</c:formatCode>
                <c:ptCount val="7"/>
                <c:pt idx="0">
                  <c:v>0</c:v>
                </c:pt>
                <c:pt idx="1">
                  <c:v>67.424634493466158</c:v>
                </c:pt>
                <c:pt idx="2">
                  <c:v>69.944365377150987</c:v>
                </c:pt>
                <c:pt idx="3">
                  <c:v>72.022346265456633</c:v>
                </c:pt>
                <c:pt idx="4">
                  <c:v>74.596140694601047</c:v>
                </c:pt>
                <c:pt idx="5">
                  <c:v>77.603829732177516</c:v>
                </c:pt>
                <c:pt idx="6">
                  <c:v>80.033916788348165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'EFFECT CURRENT'!$P$4:$P$10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CURRENT'!$S$4:$S$10</c:f>
              <c:numCache>
                <c:formatCode>General</c:formatCode>
                <c:ptCount val="7"/>
                <c:pt idx="0">
                  <c:v>0</c:v>
                </c:pt>
                <c:pt idx="1">
                  <c:v>70.365321701199562</c:v>
                </c:pt>
                <c:pt idx="2">
                  <c:v>73.396576899617401</c:v>
                </c:pt>
                <c:pt idx="3">
                  <c:v>76.876051235606155</c:v>
                </c:pt>
                <c:pt idx="4">
                  <c:v>80.398961240596634</c:v>
                </c:pt>
                <c:pt idx="5">
                  <c:v>83.281426168604327</c:v>
                </c:pt>
                <c:pt idx="6">
                  <c:v>85.395449420549696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'EFFECT CURRENT'!$P$4:$P$10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CURRENT'!$T$4:$T$10</c:f>
              <c:numCache>
                <c:formatCode>General</c:formatCode>
                <c:ptCount val="7"/>
                <c:pt idx="0">
                  <c:v>0</c:v>
                </c:pt>
                <c:pt idx="1">
                  <c:v>72.776463412380082</c:v>
                </c:pt>
                <c:pt idx="2">
                  <c:v>76.021662384710638</c:v>
                </c:pt>
                <c:pt idx="3">
                  <c:v>80.227991054100499</c:v>
                </c:pt>
                <c:pt idx="4">
                  <c:v>82.854462783949131</c:v>
                </c:pt>
                <c:pt idx="5">
                  <c:v>87.082047206254728</c:v>
                </c:pt>
                <c:pt idx="6">
                  <c:v>89.879027041014353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2192"/>
        <c:axId val="464164576"/>
      </c:scatterChart>
      <c:valAx>
        <c:axId val="46417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4576"/>
        <c:crosses val="autoZero"/>
        <c:crossBetween val="midCat"/>
      </c:valAx>
      <c:valAx>
        <c:axId val="46416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2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EC kwh/g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'EFFECT CURRENT'!$G$14:$J$14</c:f>
              <c:numCache>
                <c:formatCode>General</c:formatCode>
                <c:ptCount val="4"/>
                <c:pt idx="0">
                  <c:v>0.22630078403421244</c:v>
                </c:pt>
                <c:pt idx="1">
                  <c:v>0.25024764974482949</c:v>
                </c:pt>
                <c:pt idx="2">
                  <c:v>0.33065217391304347</c:v>
                </c:pt>
                <c:pt idx="3">
                  <c:v>0.3502653525398029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160224"/>
        <c:axId val="464168384"/>
      </c:barChart>
      <c:catAx>
        <c:axId val="464160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8384"/>
        <c:crosses val="autoZero"/>
        <c:auto val="1"/>
        <c:lblAlgn val="ctr"/>
        <c:lblOffset val="100"/>
        <c:noMultiLvlLbl val="0"/>
      </c:catAx>
      <c:valAx>
        <c:axId val="46416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0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C/C0 ANT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'dosage H2O2'!$G$4:$G$13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'dosage H2O2'!$H$4:$H$13</c:f>
              <c:numCache>
                <c:formatCode>General</c:formatCode>
                <c:ptCount val="10"/>
                <c:pt idx="0">
                  <c:v>1</c:v>
                </c:pt>
                <c:pt idx="1">
                  <c:v>0.85901000000000005</c:v>
                </c:pt>
                <c:pt idx="2">
                  <c:v>0.81049000000000004</c:v>
                </c:pt>
                <c:pt idx="3">
                  <c:v>0.77986999999999995</c:v>
                </c:pt>
                <c:pt idx="4">
                  <c:v>0.75087999999999999</c:v>
                </c:pt>
                <c:pt idx="5">
                  <c:v>0.71438000000000001</c:v>
                </c:pt>
                <c:pt idx="6">
                  <c:v>0.67695000000000005</c:v>
                </c:pt>
                <c:pt idx="7">
                  <c:v>0.64737999999999996</c:v>
                </c:pt>
                <c:pt idx="8">
                  <c:v>0.62390999999999996</c:v>
                </c:pt>
                <c:pt idx="9">
                  <c:v>0.60104000000000002</c:v>
                </c:pt>
              </c:numCache>
            </c:numRef>
          </c:yVal>
          <c:smooth val="1"/>
        </c:ser>
        <c:ser>
          <c:idx val="1"/>
          <c:order val="1"/>
          <c:tx>
            <c:v>FC-AC-NZVI</c:v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xVal>
            <c:numRef>
              <c:f>'dosage H2O2'!$G$4:$G$13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'dosage H2O2'!$I$4:$I$13</c:f>
              <c:numCache>
                <c:formatCode>General</c:formatCode>
                <c:ptCount val="10"/>
                <c:pt idx="0">
                  <c:v>1</c:v>
                </c:pt>
                <c:pt idx="1">
                  <c:v>0.94</c:v>
                </c:pt>
                <c:pt idx="2">
                  <c:v>0.92</c:v>
                </c:pt>
                <c:pt idx="3">
                  <c:v>0.89449999999999996</c:v>
                </c:pt>
                <c:pt idx="4">
                  <c:v>0.87265999999999999</c:v>
                </c:pt>
                <c:pt idx="5">
                  <c:v>0.85209999999999997</c:v>
                </c:pt>
                <c:pt idx="6">
                  <c:v>0.81599999999999995</c:v>
                </c:pt>
                <c:pt idx="7">
                  <c:v>0.78568000000000005</c:v>
                </c:pt>
                <c:pt idx="8">
                  <c:v>0.76236800000000005</c:v>
                </c:pt>
                <c:pt idx="9">
                  <c:v>0.74080000000000001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2400"/>
        <c:axId val="464165120"/>
      </c:scatterChart>
      <c:valAx>
        <c:axId val="46416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5120"/>
        <c:crosses val="autoZero"/>
        <c:crossBetween val="midCat"/>
      </c:valAx>
      <c:valAx>
        <c:axId val="4641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2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H2O2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FC-AC-NZVI</c:v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xVal>
            <c:numRef>
              <c:f>'dosage H2O2'!$O$3:$O$13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45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</c:numCache>
            </c:numRef>
          </c:xVal>
          <c:yVal>
            <c:numRef>
              <c:f>'dosage H2O2'!$P$3:$P$13</c:f>
              <c:numCache>
                <c:formatCode>General</c:formatCode>
                <c:ptCount val="11"/>
                <c:pt idx="0">
                  <c:v>0</c:v>
                </c:pt>
                <c:pt idx="1">
                  <c:v>2.7016955468604439E-2</c:v>
                </c:pt>
                <c:pt idx="2">
                  <c:v>4.5649338550400605E-2</c:v>
                </c:pt>
                <c:pt idx="3">
                  <c:v>6.7076579094466182E-2</c:v>
                </c:pt>
                <c:pt idx="4">
                  <c:v>8.7106390907397066E-2</c:v>
                </c:pt>
                <c:pt idx="5">
                  <c:v>9.8751630333519663E-2</c:v>
                </c:pt>
                <c:pt idx="6">
                  <c:v>0.11319172722191169</c:v>
                </c:pt>
                <c:pt idx="7">
                  <c:v>0.11971306130054035</c:v>
                </c:pt>
                <c:pt idx="8">
                  <c:v>0.13368734861188747</c:v>
                </c:pt>
                <c:pt idx="9">
                  <c:v>0.15045649338550401</c:v>
                </c:pt>
                <c:pt idx="10">
                  <c:v>0.15977268492640212</c:v>
                </c:pt>
              </c:numCache>
            </c:numRef>
          </c:yVal>
          <c:smooth val="1"/>
        </c:ser>
        <c:ser>
          <c:idx val="1"/>
          <c:order val="1"/>
          <c:tx>
            <c:v>FC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'dosage H2O2'!$O$3:$O$13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45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</c:numCache>
            </c:numRef>
          </c:xVal>
          <c:yVal>
            <c:numRef>
              <c:f>'dosage H2O2'!$Q$3:$Q$13</c:f>
              <c:numCache>
                <c:formatCode>General</c:formatCode>
                <c:ptCount val="11"/>
                <c:pt idx="0">
                  <c:v>0</c:v>
                </c:pt>
                <c:pt idx="1">
                  <c:v>7.1268865287870325E-2</c:v>
                </c:pt>
                <c:pt idx="2">
                  <c:v>9.5025153717160429E-2</c:v>
                </c:pt>
                <c:pt idx="3">
                  <c:v>0.11598658468418112</c:v>
                </c:pt>
                <c:pt idx="4">
                  <c:v>0.13275572945779765</c:v>
                </c:pt>
                <c:pt idx="5">
                  <c:v>0.14253773057574065</c:v>
                </c:pt>
                <c:pt idx="6">
                  <c:v>0.15325135084777344</c:v>
                </c:pt>
                <c:pt idx="7">
                  <c:v>0.16908887646730017</c:v>
                </c:pt>
                <c:pt idx="8">
                  <c:v>0.18678964039500653</c:v>
                </c:pt>
                <c:pt idx="9">
                  <c:v>0.19750326066703933</c:v>
                </c:pt>
                <c:pt idx="10">
                  <c:v>0.21147754797838647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1856"/>
        <c:axId val="464165664"/>
      </c:scatterChart>
      <c:valAx>
        <c:axId val="46416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5664"/>
        <c:crosses val="autoZero"/>
        <c:crossBetween val="midCat"/>
      </c:valAx>
      <c:valAx>
        <c:axId val="46416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'dosage H2O2'!$Y$17</c:f>
              <c:strCache>
                <c:ptCount val="1"/>
                <c:pt idx="0">
                  <c:v>FO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129111986001749"/>
                  <c:y val="3.40146544181977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'dosage H2O2'!$V$18:$V$27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'dosage H2O2'!$Y$19:$Y$27</c:f>
              <c:numCache>
                <c:formatCode>General</c:formatCode>
                <c:ptCount val="9"/>
                <c:pt idx="0">
                  <c:v>6.9190000000000002E-2</c:v>
                </c:pt>
                <c:pt idx="1">
                  <c:v>8.3379999999999996E-2</c:v>
                </c:pt>
                <c:pt idx="2">
                  <c:v>0.11149000000000001</c:v>
                </c:pt>
                <c:pt idx="3">
                  <c:v>0.12361999999999999</c:v>
                </c:pt>
                <c:pt idx="4">
                  <c:v>0.16005</c:v>
                </c:pt>
                <c:pt idx="5">
                  <c:v>0.17982999999999999</c:v>
                </c:pt>
                <c:pt idx="6">
                  <c:v>0.22012000000000001</c:v>
                </c:pt>
                <c:pt idx="7">
                  <c:v>0.27133000000000002</c:v>
                </c:pt>
                <c:pt idx="8">
                  <c:v>0.32300000000000001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6208"/>
        <c:axId val="464167296"/>
      </c:scatterChart>
      <c:valAx>
        <c:axId val="464166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7296"/>
        <c:crosses val="autoZero"/>
        <c:crossBetween val="midCat"/>
      </c:valAx>
      <c:valAx>
        <c:axId val="46416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'dosage H2O2'!$Y$2</c:f>
              <c:strCache>
                <c:ptCount val="1"/>
                <c:pt idx="0">
                  <c:v>lnc/c0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73145231846019"/>
                  <c:y val="0.115324074074074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'dosage H2O2'!$V$5:$V$13</c:f>
              <c:numCache>
                <c:formatCode>General</c:formatCode>
                <c:ptCount val="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150</c:v>
                </c:pt>
              </c:numCache>
            </c:numRef>
          </c:xVal>
          <c:yVal>
            <c:numRef>
              <c:f>'dosage H2O2'!$Y$5:$Y$13</c:f>
              <c:numCache>
                <c:formatCode>General</c:formatCode>
                <c:ptCount val="9"/>
                <c:pt idx="0">
                  <c:v>0.18651999999999999</c:v>
                </c:pt>
                <c:pt idx="1">
                  <c:v>0.20100999999999999</c:v>
                </c:pt>
                <c:pt idx="2">
                  <c:v>0.24862999999999999</c:v>
                </c:pt>
                <c:pt idx="3">
                  <c:v>0.26865</c:v>
                </c:pt>
                <c:pt idx="4">
                  <c:v>0.30363000000000001</c:v>
                </c:pt>
                <c:pt idx="5">
                  <c:v>0.33689999999999998</c:v>
                </c:pt>
                <c:pt idx="6">
                  <c:v>0.41348200000000002</c:v>
                </c:pt>
                <c:pt idx="7">
                  <c:v>0.47175</c:v>
                </c:pt>
                <c:pt idx="8">
                  <c:v>0.54908999999999997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4368"/>
        <c:axId val="464169472"/>
      </c:scatterChart>
      <c:valAx>
        <c:axId val="46417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9472"/>
        <c:crosses val="autoZero"/>
        <c:crossBetween val="midCat"/>
      </c:valAx>
      <c:valAx>
        <c:axId val="46416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4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DI-RW1H'!$A$4:$A$10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DI-RW1H'!$F$4:$F$10</c:f>
              <c:numCache>
                <c:formatCode>General</c:formatCode>
                <c:ptCount val="7"/>
                <c:pt idx="0">
                  <c:v>1</c:v>
                </c:pt>
                <c:pt idx="1">
                  <c:v>0.77452988270340706</c:v>
                </c:pt>
                <c:pt idx="2">
                  <c:v>0.69865946751070551</c:v>
                </c:pt>
                <c:pt idx="3">
                  <c:v>0.64420033513312225</c:v>
                </c:pt>
                <c:pt idx="4">
                  <c:v>0.5929994414447961</c:v>
                </c:pt>
                <c:pt idx="5">
                  <c:v>0.54971141314466587</c:v>
                </c:pt>
                <c:pt idx="6">
                  <c:v>0.48221932601005396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DI-RW1H'!$A$4:$A$10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DI-RW1H'!$G$4:$G$10</c:f>
              <c:numCache>
                <c:formatCode>General</c:formatCode>
                <c:ptCount val="7"/>
                <c:pt idx="0">
                  <c:v>1</c:v>
                </c:pt>
                <c:pt idx="1">
                  <c:v>0.89415378886613306</c:v>
                </c:pt>
                <c:pt idx="2">
                  <c:v>0.81130143362502338</c:v>
                </c:pt>
                <c:pt idx="3">
                  <c:v>0.76056600260659091</c:v>
                </c:pt>
                <c:pt idx="4">
                  <c:v>0.71774343697635445</c:v>
                </c:pt>
                <c:pt idx="5">
                  <c:v>0.66328430459877119</c:v>
                </c:pt>
                <c:pt idx="6">
                  <c:v>0.62465090299757953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0016"/>
        <c:axId val="464170560"/>
      </c:scatterChart>
      <c:valAx>
        <c:axId val="46417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0560"/>
        <c:crosses val="autoZero"/>
        <c:crossBetween val="midCat"/>
      </c:valAx>
      <c:valAx>
        <c:axId val="46417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0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RW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'DI-RW150min'!$H$3:$H$12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'DI-RW150min'!$I$3:$I$12</c:f>
              <c:numCache>
                <c:formatCode>General</c:formatCode>
                <c:ptCount val="10"/>
                <c:pt idx="0">
                  <c:v>1</c:v>
                </c:pt>
                <c:pt idx="1">
                  <c:v>0.85901000000000005</c:v>
                </c:pt>
                <c:pt idx="2">
                  <c:v>0.81049000000000004</c:v>
                </c:pt>
                <c:pt idx="3">
                  <c:v>0.77986999999999995</c:v>
                </c:pt>
                <c:pt idx="4">
                  <c:v>0.75087999999999999</c:v>
                </c:pt>
                <c:pt idx="5">
                  <c:v>0.71438000000000001</c:v>
                </c:pt>
                <c:pt idx="6">
                  <c:v>0.67695000000000005</c:v>
                </c:pt>
                <c:pt idx="7">
                  <c:v>0.64737999999999996</c:v>
                </c:pt>
                <c:pt idx="8">
                  <c:v>0.62390999999999996</c:v>
                </c:pt>
                <c:pt idx="9">
                  <c:v>0.60104000000000002</c:v>
                </c:pt>
              </c:numCache>
            </c:numRef>
          </c:yVal>
          <c:smooth val="1"/>
        </c:ser>
        <c:ser>
          <c:idx val="1"/>
          <c:order val="1"/>
          <c:tx>
            <c:v>DI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'DI-RW150min'!$H$3:$H$12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'DI-RW150min'!$J$3:$J$12</c:f>
              <c:numCache>
                <c:formatCode>General</c:formatCode>
                <c:ptCount val="10"/>
                <c:pt idx="0">
                  <c:v>1</c:v>
                </c:pt>
                <c:pt idx="1">
                  <c:v>0.95104</c:v>
                </c:pt>
                <c:pt idx="2">
                  <c:v>0.91766999999999999</c:v>
                </c:pt>
                <c:pt idx="3">
                  <c:v>0.88502999999999998</c:v>
                </c:pt>
                <c:pt idx="4">
                  <c:v>0.86189000000000004</c:v>
                </c:pt>
                <c:pt idx="5">
                  <c:v>0.81966000000000006</c:v>
                </c:pt>
                <c:pt idx="6">
                  <c:v>0.78720999999999997</c:v>
                </c:pt>
                <c:pt idx="7">
                  <c:v>0.74268999999999996</c:v>
                </c:pt>
                <c:pt idx="8">
                  <c:v>0.72167000000000003</c:v>
                </c:pt>
                <c:pt idx="9">
                  <c:v>0.70653999999999995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1104"/>
        <c:axId val="464172736"/>
      </c:scatterChart>
      <c:valAx>
        <c:axId val="464171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2736"/>
        <c:crosses val="autoZero"/>
        <c:crossBetween val="midCat"/>
      </c:valAx>
      <c:valAx>
        <c:axId val="464172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1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'electrode1 (ANNA)'!$A$4:$A$10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(ANNA)'!$M$4:$M$11</c:f>
              <c:numCache>
                <c:formatCode>General</c:formatCode>
                <c:ptCount val="8"/>
                <c:pt idx="0">
                  <c:v>0</c:v>
                </c:pt>
                <c:pt idx="1">
                  <c:v>9.8763507426025345</c:v>
                </c:pt>
                <c:pt idx="2">
                  <c:v>13.04870377655033</c:v>
                </c:pt>
                <c:pt idx="3">
                  <c:v>17.127443391626073</c:v>
                </c:pt>
                <c:pt idx="4">
                  <c:v>20.66235105802506</c:v>
                </c:pt>
                <c:pt idx="5">
                  <c:v>23.834704091972863</c:v>
                </c:pt>
                <c:pt idx="6">
                  <c:v>28.049401694217806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'electrode1 (ANNA)'!$A$4:$A$10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(ANNA)'!$N$4:$N$11</c:f>
              <c:numCache>
                <c:formatCode>General</c:formatCode>
                <c:ptCount val="8"/>
                <c:pt idx="0">
                  <c:v>0</c:v>
                </c:pt>
                <c:pt idx="1">
                  <c:v>20.752989716137847</c:v>
                </c:pt>
                <c:pt idx="2">
                  <c:v>27.777485719879415</c:v>
                </c:pt>
                <c:pt idx="3">
                  <c:v>34.212830445887818</c:v>
                </c:pt>
                <c:pt idx="4">
                  <c:v>37.113267505497241</c:v>
                </c:pt>
                <c:pt idx="5">
                  <c:v>41.056049133403796</c:v>
                </c:pt>
                <c:pt idx="6">
                  <c:v>44.364360154520782</c:v>
                </c:pt>
              </c:numCache>
            </c:numRef>
          </c:yVal>
          <c:smooth val="1"/>
        </c:ser>
        <c:ser>
          <c:idx val="2"/>
          <c:order val="2"/>
          <c:tx>
            <c:v>HB-NZVI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'electrode1 (ANNA)'!$A$4:$A$10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'electrode1 (ANNA)'!$O$4:$O$11</c:f>
              <c:numCache>
                <c:formatCode>General</c:formatCode>
                <c:ptCount val="8"/>
                <c:pt idx="0">
                  <c:v>0</c:v>
                </c:pt>
                <c:pt idx="1">
                  <c:v>12.822107131268343</c:v>
                </c:pt>
                <c:pt idx="2">
                  <c:v>19.438729173502338</c:v>
                </c:pt>
                <c:pt idx="3">
                  <c:v>24.741090673100803</c:v>
                </c:pt>
                <c:pt idx="4">
                  <c:v>29.408981565909713</c:v>
                </c:pt>
                <c:pt idx="5">
                  <c:v>33.079847219477884</c:v>
                </c:pt>
                <c:pt idx="6">
                  <c:v>37.113267505497241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73120"/>
        <c:axId val="462374752"/>
      </c:scatterChart>
      <c:valAx>
        <c:axId val="46237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4752"/>
        <c:crosses val="autoZero"/>
        <c:crossBetween val="midCat"/>
      </c:valAx>
      <c:valAx>
        <c:axId val="46237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373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HB-NZVI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Electrode 2 FC'!$I$4:$I$10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FC'!$J$4:$J$10</c:f>
              <c:numCache>
                <c:formatCode>General</c:formatCode>
                <c:ptCount val="7"/>
                <c:pt idx="0">
                  <c:v>1</c:v>
                </c:pt>
                <c:pt idx="1">
                  <c:v>0.8065083650936512</c:v>
                </c:pt>
                <c:pt idx="2">
                  <c:v>0.76252541751391711</c:v>
                </c:pt>
                <c:pt idx="3">
                  <c:v>0.70743098844035546</c:v>
                </c:pt>
                <c:pt idx="4">
                  <c:v>0.65048464578448906</c:v>
                </c:pt>
                <c:pt idx="5">
                  <c:v>0.60372382783129808</c:v>
                </c:pt>
                <c:pt idx="6">
                  <c:v>0.56112981543829232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Electrode 2 FC'!$I$4:$I$10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FC'!$K$4:$K$10</c:f>
              <c:numCache>
                <c:formatCode>General</c:formatCode>
                <c:ptCount val="7"/>
                <c:pt idx="0">
                  <c:v>1</c:v>
                </c:pt>
                <c:pt idx="1">
                  <c:v>0.7703960502387116</c:v>
                </c:pt>
                <c:pt idx="2">
                  <c:v>0.69493057175979933</c:v>
                </c:pt>
                <c:pt idx="3">
                  <c:v>0.64076209947738993</c:v>
                </c:pt>
                <c:pt idx="4">
                  <c:v>0.59909404387553666</c:v>
                </c:pt>
                <c:pt idx="5">
                  <c:v>0.55140726913119331</c:v>
                </c:pt>
                <c:pt idx="6">
                  <c:v>0.51205410550722064</c:v>
                </c:pt>
              </c:numCache>
            </c:numRef>
          </c:yVal>
          <c:smooth val="1"/>
        </c:ser>
        <c:ser>
          <c:idx val="2"/>
          <c:order val="2"/>
          <c:tx>
            <c:v>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 Electrode 2 FC'!$I$4:$I$10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FC'!$L$4:$L$10</c:f>
              <c:numCache>
                <c:formatCode>General</c:formatCode>
                <c:ptCount val="7"/>
                <c:pt idx="0">
                  <c:v>1</c:v>
                </c:pt>
                <c:pt idx="1">
                  <c:v>0.85234322625568992</c:v>
                </c:pt>
                <c:pt idx="2">
                  <c:v>0.82456452252112089</c:v>
                </c:pt>
                <c:pt idx="3">
                  <c:v>0.79076709964406222</c:v>
                </c:pt>
                <c:pt idx="4">
                  <c:v>0.75095095762451347</c:v>
                </c:pt>
                <c:pt idx="5">
                  <c:v>0.69817142052883241</c:v>
                </c:pt>
                <c:pt idx="6">
                  <c:v>0.66807782481638278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052224"/>
        <c:axId val="464160768"/>
      </c:scatterChart>
      <c:valAx>
        <c:axId val="30105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0768"/>
        <c:crosses val="autoZero"/>
        <c:crossBetween val="midCat"/>
      </c:valAx>
      <c:valAx>
        <c:axId val="464160768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05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HB-NZVI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Electrode 2 FC'!$M$4:$M$10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FC'!$N$4:$N$10</c:f>
              <c:numCache>
                <c:formatCode>General</c:formatCode>
                <c:ptCount val="7"/>
                <c:pt idx="0">
                  <c:v>0</c:v>
                </c:pt>
                <c:pt idx="1">
                  <c:v>18.940216553881971</c:v>
                </c:pt>
                <c:pt idx="2">
                  <c:v>23.245552814239698</c:v>
                </c:pt>
                <c:pt idx="3">
                  <c:v>28.638552971950958</c:v>
                </c:pt>
                <c:pt idx="4">
                  <c:v>34.212830445887818</c:v>
                </c:pt>
                <c:pt idx="5">
                  <c:v>38.790082680583929</c:v>
                </c:pt>
                <c:pt idx="6">
                  <c:v>42.959460953772478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Electrode 2 FC'!$M$4:$M$10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FC'!$O$4:$O$10</c:f>
              <c:numCache>
                <c:formatCode>General</c:formatCode>
                <c:ptCount val="7"/>
                <c:pt idx="0">
                  <c:v>0</c:v>
                </c:pt>
                <c:pt idx="1">
                  <c:v>22.47512422028095</c:v>
                </c:pt>
                <c:pt idx="2">
                  <c:v>29.86217485647369</c:v>
                </c:pt>
                <c:pt idx="3">
                  <c:v>35.164536356072162</c:v>
                </c:pt>
                <c:pt idx="4">
                  <c:v>39.243275971147902</c:v>
                </c:pt>
                <c:pt idx="5">
                  <c:v>43.911166863956808</c:v>
                </c:pt>
                <c:pt idx="6">
                  <c:v>47.763309833750576</c:v>
                </c:pt>
              </c:numCache>
            </c:numRef>
          </c:yVal>
          <c:smooth val="1"/>
        </c:ser>
        <c:ser>
          <c:idx val="2"/>
          <c:order val="2"/>
          <c:tx>
            <c:v>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 Electrode 2 FC'!$M$4:$M$10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 2 FC'!$P$4:$P$10</c:f>
              <c:numCache>
                <c:formatCode>General</c:formatCode>
                <c:ptCount val="7"/>
                <c:pt idx="0">
                  <c:v>0</c:v>
                </c:pt>
                <c:pt idx="1">
                  <c:v>14.453602977298644</c:v>
                </c:pt>
                <c:pt idx="2">
                  <c:v>17.172762720682485</c:v>
                </c:pt>
                <c:pt idx="3">
                  <c:v>20.481073741799463</c:v>
                </c:pt>
                <c:pt idx="4">
                  <c:v>24.378536040649625</c:v>
                </c:pt>
                <c:pt idx="5">
                  <c:v>29.544939553078908</c:v>
                </c:pt>
                <c:pt idx="6">
                  <c:v>32.490695941744718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1312"/>
        <c:axId val="464168928"/>
      </c:scatterChart>
      <c:valAx>
        <c:axId val="46416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8928"/>
        <c:crosses val="autoZero"/>
        <c:crossBetween val="midCat"/>
      </c:valAx>
      <c:valAx>
        <c:axId val="46416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1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NZVI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electrode3 (vero)'!$I$4:$I$10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(vero)'!$J$4:$J$10</c:f>
              <c:numCache>
                <c:formatCode>General</c:formatCode>
                <c:ptCount val="7"/>
                <c:pt idx="0">
                  <c:v>1</c:v>
                </c:pt>
                <c:pt idx="1">
                  <c:v>0.94632784055764818</c:v>
                </c:pt>
                <c:pt idx="2">
                  <c:v>0.91993807200980771</c:v>
                </c:pt>
                <c:pt idx="3">
                  <c:v>0.85280620465126622</c:v>
                </c:pt>
                <c:pt idx="4">
                  <c:v>0.81669388979632651</c:v>
                </c:pt>
                <c:pt idx="5">
                  <c:v>0.78891518606175759</c:v>
                </c:pt>
                <c:pt idx="6">
                  <c:v>0.76437733109622175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electrode3 (vero)'!$I$4:$I$10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(vero)'!$K$4:$K$10</c:f>
              <c:numCache>
                <c:formatCode>General</c:formatCode>
                <c:ptCount val="7"/>
                <c:pt idx="0">
                  <c:v>1</c:v>
                </c:pt>
                <c:pt idx="1">
                  <c:v>0.83845387438840546</c:v>
                </c:pt>
                <c:pt idx="2">
                  <c:v>0.79817475397328064</c:v>
                </c:pt>
                <c:pt idx="3">
                  <c:v>0.7551177631846987</c:v>
                </c:pt>
                <c:pt idx="4">
                  <c:v>0.70465311806689856</c:v>
                </c:pt>
                <c:pt idx="5">
                  <c:v>0.66854080321195897</c:v>
                </c:pt>
                <c:pt idx="6">
                  <c:v>0.6393731642906616</c:v>
                </c:pt>
              </c:numCache>
            </c:numRef>
          </c:yVal>
          <c:smooth val="1"/>
        </c:ser>
        <c:ser>
          <c:idx val="2"/>
          <c:order val="2"/>
          <c:tx>
            <c:v>HB-NZVI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 electrode3 (vero)'!$I$4:$I$10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(vero)'!$L$4:$L$10</c:f>
              <c:numCache>
                <c:formatCode>General</c:formatCode>
                <c:ptCount val="7"/>
                <c:pt idx="0">
                  <c:v>1</c:v>
                </c:pt>
                <c:pt idx="1">
                  <c:v>0.889381497901782</c:v>
                </c:pt>
                <c:pt idx="2">
                  <c:v>0.85373216144241848</c:v>
                </c:pt>
                <c:pt idx="3">
                  <c:v>0.81067517065383665</c:v>
                </c:pt>
                <c:pt idx="4">
                  <c:v>0.7602105255360363</c:v>
                </c:pt>
                <c:pt idx="5">
                  <c:v>0.71946842672533529</c:v>
                </c:pt>
                <c:pt idx="6">
                  <c:v>0.68567100384827639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1648"/>
        <c:axId val="464162944"/>
      </c:scatterChart>
      <c:valAx>
        <c:axId val="46417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2944"/>
        <c:crosses val="autoZero"/>
        <c:crossBetween val="midCat"/>
      </c:valAx>
      <c:valAx>
        <c:axId val="464162944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NZVI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electrode3 (vero)'!$A$4:$A$10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(vero)'!$M$4:$M$10</c:f>
              <c:numCache>
                <c:formatCode>General</c:formatCode>
                <c:ptCount val="7"/>
                <c:pt idx="0">
                  <c:v>0</c:v>
                </c:pt>
                <c:pt idx="1">
                  <c:v>5.253779178850011</c:v>
                </c:pt>
                <c:pt idx="2">
                  <c:v>7.8369809350646538</c:v>
                </c:pt>
                <c:pt idx="3">
                  <c:v>14.408283648242234</c:v>
                </c:pt>
                <c:pt idx="4">
                  <c:v>17.943191314641233</c:v>
                </c:pt>
                <c:pt idx="5">
                  <c:v>20.66235105802506</c:v>
                </c:pt>
                <c:pt idx="6">
                  <c:v>23.064275498014105</c:v>
                </c:pt>
              </c:numCache>
            </c:numRef>
          </c:yVal>
          <c:smooth val="1"/>
        </c:ser>
        <c:ser>
          <c:idx val="1"/>
          <c:order val="1"/>
          <c:tx>
            <c:v>AC-NZVI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 electrode3 (vero)'!$A$4:$A$10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(vero)'!$N$4:$N$10</c:f>
              <c:numCache>
                <c:formatCode>General</c:formatCode>
                <c:ptCount val="7"/>
                <c:pt idx="0">
                  <c:v>0</c:v>
                </c:pt>
                <c:pt idx="1">
                  <c:v>15.813182848990564</c:v>
                </c:pt>
                <c:pt idx="2">
                  <c:v>19.755964476897109</c:v>
                </c:pt>
                <c:pt idx="3">
                  <c:v>23.970662079142052</c:v>
                </c:pt>
                <c:pt idx="4">
                  <c:v>28.910468946289342</c:v>
                </c:pt>
                <c:pt idx="5">
                  <c:v>32.445376612688328</c:v>
                </c:pt>
                <c:pt idx="6">
                  <c:v>35.300494343241347</c:v>
                </c:pt>
              </c:numCache>
            </c:numRef>
          </c:yVal>
          <c:smooth val="1"/>
        </c:ser>
        <c:ser>
          <c:idx val="2"/>
          <c:order val="2"/>
          <c:tx>
            <c:v>HB-NZVI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 electrode3 (vero)'!$A$4:$A$10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 electrode3 (vero)'!$O$4:$O$10</c:f>
              <c:numCache>
                <c:formatCode>General</c:formatCode>
                <c:ptCount val="7"/>
                <c:pt idx="0">
                  <c:v>0</c:v>
                </c:pt>
                <c:pt idx="1">
                  <c:v>10.828056652786858</c:v>
                </c:pt>
                <c:pt idx="2">
                  <c:v>14.317644990129446</c:v>
                </c:pt>
                <c:pt idx="3">
                  <c:v>18.532342592374388</c:v>
                </c:pt>
                <c:pt idx="4">
                  <c:v>23.472149459521685</c:v>
                </c:pt>
                <c:pt idx="5">
                  <c:v>27.460250416484634</c:v>
                </c:pt>
                <c:pt idx="6">
                  <c:v>30.768561437601626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4032"/>
        <c:axId val="464173824"/>
      </c:scatterChart>
      <c:valAx>
        <c:axId val="46416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3824"/>
        <c:crosses val="autoZero"/>
        <c:crossBetween val="midCat"/>
      </c:valAx>
      <c:valAx>
        <c:axId val="46417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4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'effect pH'!$I$4:$I$10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pH'!$J$4:$J$10</c:f>
              <c:numCache>
                <c:formatCode>General</c:formatCode>
                <c:ptCount val="7"/>
                <c:pt idx="0">
                  <c:v>1</c:v>
                </c:pt>
                <c:pt idx="1">
                  <c:v>0.77452988270340706</c:v>
                </c:pt>
                <c:pt idx="2">
                  <c:v>0.69865946751070551</c:v>
                </c:pt>
                <c:pt idx="3">
                  <c:v>0.64420033513312225</c:v>
                </c:pt>
                <c:pt idx="4">
                  <c:v>0.60230869484267358</c:v>
                </c:pt>
                <c:pt idx="5">
                  <c:v>0.55436603984360455</c:v>
                </c:pt>
                <c:pt idx="6">
                  <c:v>0.51480171290262522</c:v>
                </c:pt>
              </c:numCache>
            </c:numRef>
          </c:yVal>
          <c:smooth val="1"/>
        </c:ser>
        <c:ser>
          <c:idx val="2"/>
          <c:order val="1"/>
          <c:tx>
            <c:v>pH 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'effect pH'!$I$4:$I$10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pH'!$L$4:$L$10</c:f>
              <c:numCache>
                <c:formatCode>General</c:formatCode>
                <c:ptCount val="7"/>
                <c:pt idx="0">
                  <c:v>1</c:v>
                </c:pt>
                <c:pt idx="1">
                  <c:v>0.69754228850124034</c:v>
                </c:pt>
                <c:pt idx="2">
                  <c:v>0.64785177601392074</c:v>
                </c:pt>
                <c:pt idx="3">
                  <c:v>0.587848138293384</c:v>
                </c:pt>
                <c:pt idx="4">
                  <c:v>0.55503364891496543</c:v>
                </c:pt>
                <c:pt idx="5">
                  <c:v>0.50487435800795422</c:v>
                </c:pt>
                <c:pt idx="6">
                  <c:v>0.44815216922525919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3280"/>
        <c:axId val="464174912"/>
      </c:scatterChart>
      <c:valAx>
        <c:axId val="46417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4912"/>
        <c:crosses val="autoZero"/>
        <c:crossBetween val="midCat"/>
      </c:valAx>
      <c:valAx>
        <c:axId val="46417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3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651093613298338"/>
          <c:y val="0.90798556430446198"/>
          <c:w val="0.35360736495411077"/>
          <c:h val="8.7074912849516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pH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'effect pH'!$I$4:$I$10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pH'!$J$4:$J$10</c:f>
              <c:numCache>
                <c:formatCode>General</c:formatCode>
                <c:ptCount val="7"/>
                <c:pt idx="0">
                  <c:v>1</c:v>
                </c:pt>
                <c:pt idx="1">
                  <c:v>0.77452988270340706</c:v>
                </c:pt>
                <c:pt idx="2">
                  <c:v>0.69865946751070551</c:v>
                </c:pt>
                <c:pt idx="3">
                  <c:v>0.64420033513312225</c:v>
                </c:pt>
                <c:pt idx="4">
                  <c:v>0.60230869484267358</c:v>
                </c:pt>
                <c:pt idx="5">
                  <c:v>0.55436603984360455</c:v>
                </c:pt>
                <c:pt idx="6">
                  <c:v>0.51480171290262522</c:v>
                </c:pt>
              </c:numCache>
            </c:numRef>
          </c:yVal>
          <c:smooth val="1"/>
        </c:ser>
        <c:ser>
          <c:idx val="1"/>
          <c:order val="1"/>
          <c:tx>
            <c:v>Ph 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'effect pH'!$I$4:$I$10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pH'!$K$4:$K$10</c:f>
              <c:numCache>
                <c:formatCode>General</c:formatCode>
                <c:ptCount val="7"/>
                <c:pt idx="0">
                  <c:v>1</c:v>
                </c:pt>
                <c:pt idx="1">
                  <c:v>0.72520021526305023</c:v>
                </c:pt>
                <c:pt idx="2">
                  <c:v>0.67129069699850552</c:v>
                </c:pt>
                <c:pt idx="3">
                  <c:v>0.61222461611735202</c:v>
                </c:pt>
                <c:pt idx="4">
                  <c:v>0.57706623464047513</c:v>
                </c:pt>
                <c:pt idx="5">
                  <c:v>0.5306571710909973</c:v>
                </c:pt>
                <c:pt idx="6">
                  <c:v>0.48002910176429447</c:v>
                </c:pt>
              </c:numCache>
            </c:numRef>
          </c:yVal>
          <c:smooth val="1"/>
        </c:ser>
        <c:ser>
          <c:idx val="2"/>
          <c:order val="2"/>
          <c:tx>
            <c:v>pH 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'effect pH'!$I$4:$I$10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'effect pH'!$L$4:$L$10</c:f>
              <c:numCache>
                <c:formatCode>General</c:formatCode>
                <c:ptCount val="7"/>
                <c:pt idx="0">
                  <c:v>1</c:v>
                </c:pt>
                <c:pt idx="1">
                  <c:v>0.69754228850124034</c:v>
                </c:pt>
                <c:pt idx="2">
                  <c:v>0.64785177601392074</c:v>
                </c:pt>
                <c:pt idx="3">
                  <c:v>0.587848138293384</c:v>
                </c:pt>
                <c:pt idx="4">
                  <c:v>0.55503364891496543</c:v>
                </c:pt>
                <c:pt idx="5">
                  <c:v>0.50487435800795422</c:v>
                </c:pt>
                <c:pt idx="6">
                  <c:v>0.44815216922525919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75456"/>
        <c:axId val="464163488"/>
      </c:scatterChart>
      <c:valAx>
        <c:axId val="46417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3488"/>
        <c:crosses val="autoZero"/>
        <c:crossBetween val="midCat"/>
      </c:valAx>
      <c:valAx>
        <c:axId val="46416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7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50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'EFFECT CURRENT'!$K$4:$K$12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'EFFECT CURRENT'!$L$4:$L$12</c:f>
              <c:numCache>
                <c:formatCode>General</c:formatCode>
                <c:ptCount val="9"/>
                <c:pt idx="0">
                  <c:v>1</c:v>
                </c:pt>
                <c:pt idx="1">
                  <c:v>0.34644566844722108</c:v>
                </c:pt>
                <c:pt idx="2">
                  <c:v>0.32104966452876921</c:v>
                </c:pt>
                <c:pt idx="3">
                  <c:v>0.29978929079718319</c:v>
                </c:pt>
                <c:pt idx="4">
                  <c:v>0.28441121564423416</c:v>
                </c:pt>
                <c:pt idx="5">
                  <c:v>0.26361292349777282</c:v>
                </c:pt>
                <c:pt idx="6">
                  <c:v>0.24250965750512907</c:v>
                </c:pt>
                <c:pt idx="7">
                  <c:v>0.21740938580115707</c:v>
                </c:pt>
                <c:pt idx="8">
                  <c:v>0.1998364231188659</c:v>
                </c:pt>
              </c:numCache>
            </c:numRef>
          </c:yVal>
          <c:smooth val="1"/>
        </c:ser>
        <c:ser>
          <c:idx val="1"/>
          <c:order val="1"/>
          <c:tx>
            <c:v>70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'EFFECT CURRENT'!$K$4:$K$12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'EFFECT CURRENT'!$M$4:$M$12</c:f>
              <c:numCache>
                <c:formatCode>General</c:formatCode>
                <c:ptCount val="9"/>
                <c:pt idx="0">
                  <c:v>1</c:v>
                </c:pt>
                <c:pt idx="1">
                  <c:v>0.32575365506533832</c:v>
                </c:pt>
                <c:pt idx="2">
                  <c:v>0.30055634622849015</c:v>
                </c:pt>
                <c:pt idx="3">
                  <c:v>0.27977653734543367</c:v>
                </c:pt>
                <c:pt idx="4">
                  <c:v>0.25403859305398963</c:v>
                </c:pt>
                <c:pt idx="5">
                  <c:v>0.22396170267822488</c:v>
                </c:pt>
                <c:pt idx="6">
                  <c:v>0.1996608321165185</c:v>
                </c:pt>
                <c:pt idx="7">
                  <c:v>0.17341921889728851</c:v>
                </c:pt>
                <c:pt idx="8">
                  <c:v>0.15346191523575403</c:v>
                </c:pt>
              </c:numCache>
            </c:numRef>
          </c:yVal>
          <c:smooth val="1"/>
        </c:ser>
        <c:ser>
          <c:idx val="2"/>
          <c:order val="2"/>
          <c:tx>
            <c:v>90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'EFFECT CURRENT'!$K$4:$K$12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'EFFECT CURRENT'!$N$4:$N$12</c:f>
              <c:numCache>
                <c:formatCode>General</c:formatCode>
                <c:ptCount val="9"/>
                <c:pt idx="0">
                  <c:v>1</c:v>
                </c:pt>
                <c:pt idx="1">
                  <c:v>0.29634678298800432</c:v>
                </c:pt>
                <c:pt idx="2">
                  <c:v>0.266034231003826</c:v>
                </c:pt>
                <c:pt idx="3">
                  <c:v>0.23123948764393845</c:v>
                </c:pt>
                <c:pt idx="4">
                  <c:v>0.19601038759403361</c:v>
                </c:pt>
                <c:pt idx="5">
                  <c:v>0.16718573831395672</c:v>
                </c:pt>
                <c:pt idx="6">
                  <c:v>0.14604550579450309</c:v>
                </c:pt>
                <c:pt idx="7">
                  <c:v>0.11828826497606418</c:v>
                </c:pt>
                <c:pt idx="8">
                  <c:v>9.5655508936657863E-2</c:v>
                </c:pt>
              </c:numCache>
            </c:numRef>
          </c:yVal>
          <c:smooth val="1"/>
        </c:ser>
        <c:ser>
          <c:idx val="3"/>
          <c:order val="3"/>
          <c:tx>
            <c:v>110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'EFFECT CURRENT'!$K$4:$K$12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'EFFECT CURRENT'!$O$4:$O$12</c:f>
              <c:numCache>
                <c:formatCode>General</c:formatCode>
                <c:ptCount val="9"/>
                <c:pt idx="0">
                  <c:v>1</c:v>
                </c:pt>
                <c:pt idx="1">
                  <c:v>0.27223536587619906</c:v>
                </c:pt>
                <c:pt idx="2">
                  <c:v>0.23978337615289358</c:v>
                </c:pt>
                <c:pt idx="3">
                  <c:v>0.19772008945899491</c:v>
                </c:pt>
                <c:pt idx="4">
                  <c:v>0.17145537216050866</c:v>
                </c:pt>
                <c:pt idx="5">
                  <c:v>0.12917952793745263</c:v>
                </c:pt>
                <c:pt idx="6">
                  <c:v>0.10120972958985638</c:v>
                </c:pt>
                <c:pt idx="7">
                  <c:v>6.6405744598266273E-2</c:v>
                </c:pt>
                <c:pt idx="8">
                  <c:v>4.718777147293126E-2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67840"/>
        <c:axId val="464166752"/>
      </c:scatterChart>
      <c:valAx>
        <c:axId val="46416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6752"/>
        <c:crosses val="autoZero"/>
        <c:crossBetween val="midCat"/>
      </c:valAx>
      <c:valAx>
        <c:axId val="46416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1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9</xdr:row>
      <xdr:rowOff>173181</xdr:rowOff>
    </xdr:from>
    <xdr:to>
      <xdr:col>8</xdr:col>
      <xdr:colOff>457199</xdr:colOff>
      <xdr:row>25</xdr:row>
      <xdr:rowOff>34636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152399</xdr:colOff>
      <xdr:row>13</xdr:row>
      <xdr:rowOff>41564</xdr:rowOff>
    </xdr:from>
    <xdr:to>
      <xdr:col>16</xdr:col>
      <xdr:colOff>457199</xdr:colOff>
      <xdr:row>28</xdr:row>
      <xdr:rowOff>83127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487680</xdr:colOff>
      <xdr:row>14</xdr:row>
      <xdr:rowOff>144780</xdr:rowOff>
    </xdr:from>
    <xdr:to>
      <xdr:col>10</xdr:col>
      <xdr:colOff>182880</xdr:colOff>
      <xdr:row>29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213360</xdr:colOff>
      <xdr:row>14</xdr:row>
      <xdr:rowOff>45720</xdr:rowOff>
    </xdr:from>
    <xdr:to>
      <xdr:col>16</xdr:col>
      <xdr:colOff>289560</xdr:colOff>
      <xdr:row>27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236220</xdr:colOff>
      <xdr:row>12</xdr:row>
      <xdr:rowOff>38100</xdr:rowOff>
    </xdr:from>
    <xdr:to>
      <xdr:col>12</xdr:col>
      <xdr:colOff>304800</xdr:colOff>
      <xdr:row>27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175260</xdr:colOff>
      <xdr:row>9</xdr:row>
      <xdr:rowOff>121920</xdr:rowOff>
    </xdr:from>
    <xdr:to>
      <xdr:col>20</xdr:col>
      <xdr:colOff>144780</xdr:colOff>
      <xdr:row>25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13</xdr:row>
      <xdr:rowOff>15240</xdr:rowOff>
    </xdr:from>
    <xdr:to>
      <xdr:col>18</xdr:col>
      <xdr:colOff>525780</xdr:colOff>
      <xdr:row>26</xdr:row>
      <xdr:rowOff>99060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14</xdr:row>
      <xdr:rowOff>91440</xdr:rowOff>
    </xdr:from>
    <xdr:to>
      <xdr:col>6</xdr:col>
      <xdr:colOff>228600</xdr:colOff>
      <xdr:row>28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15</xdr:row>
      <xdr:rowOff>102870</xdr:rowOff>
    </xdr:from>
    <xdr:to>
      <xdr:col>8</xdr:col>
      <xdr:colOff>403860</xdr:colOff>
      <xdr:row>30</xdr:row>
      <xdr:rowOff>102870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18</xdr:row>
      <xdr:rowOff>76200</xdr:rowOff>
    </xdr:from>
    <xdr:to>
      <xdr:col>13</xdr:col>
      <xdr:colOff>7620</xdr:colOff>
      <xdr:row>29</xdr:row>
      <xdr:rowOff>121920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274320</xdr:colOff>
      <xdr:row>15</xdr:row>
      <xdr:rowOff>121920</xdr:rowOff>
    </xdr:from>
    <xdr:to>
      <xdr:col>23</xdr:col>
      <xdr:colOff>22860</xdr:colOff>
      <xdr:row>29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175260</xdr:colOff>
      <xdr:row>14</xdr:row>
      <xdr:rowOff>30480</xdr:rowOff>
    </xdr:from>
    <xdr:to>
      <xdr:col>10</xdr:col>
      <xdr:colOff>480060</xdr:colOff>
      <xdr:row>29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502920</xdr:colOff>
      <xdr:row>14</xdr:row>
      <xdr:rowOff>22860</xdr:rowOff>
    </xdr:from>
    <xdr:to>
      <xdr:col>20</xdr:col>
      <xdr:colOff>198120</xdr:colOff>
      <xdr:row>29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251460</xdr:colOff>
      <xdr:row>13</xdr:row>
      <xdr:rowOff>15240</xdr:rowOff>
    </xdr:from>
    <xdr:to>
      <xdr:col>29</xdr:col>
      <xdr:colOff>556260</xdr:colOff>
      <xdr:row>28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114300</xdr:colOff>
      <xdr:row>18</xdr:row>
      <xdr:rowOff>7620</xdr:rowOff>
    </xdr:from>
    <xdr:to>
      <xdr:col>29</xdr:col>
      <xdr:colOff>419100</xdr:colOff>
      <xdr:row>33</xdr:row>
      <xdr:rowOff>7620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7</xdr:row>
      <xdr:rowOff>175260</xdr:rowOff>
    </xdr:from>
    <xdr:to>
      <xdr:col>15</xdr:col>
      <xdr:colOff>358140</xdr:colOff>
      <xdr:row>22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464820</xdr:colOff>
      <xdr:row>16</xdr:row>
      <xdr:rowOff>53340</xdr:rowOff>
    </xdr:from>
    <xdr:to>
      <xdr:col>25</xdr:col>
      <xdr:colOff>160020</xdr:colOff>
      <xdr:row>31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R14" sqref="R14"/>
    </sheetView>
  </sheetViews>
  <sheetFormatPr defaultRowHeight="14.4" x14ac:dyDescent="0.3"/>
  <sheetData>
    <row r="1" spans="1:21" x14ac:dyDescent="0.3">
      <c r="A1" s="2" t="s">
        <v>0</v>
      </c>
      <c r="B1" s="2" t="s">
        <v>5</v>
      </c>
      <c r="C1" s="2">
        <v>20</v>
      </c>
      <c r="D1" s="2">
        <v>30</v>
      </c>
      <c r="E1" s="5">
        <v>40</v>
      </c>
      <c r="F1" s="5">
        <v>50</v>
      </c>
      <c r="G1" s="5">
        <v>60</v>
      </c>
      <c r="H1" s="4" t="s">
        <v>0</v>
      </c>
      <c r="I1" s="4" t="s">
        <v>5</v>
      </c>
      <c r="J1" s="4">
        <v>20</v>
      </c>
      <c r="K1" s="4">
        <v>30</v>
      </c>
      <c r="L1" s="4">
        <v>40</v>
      </c>
      <c r="M1" s="4">
        <v>50</v>
      </c>
      <c r="N1" s="6">
        <v>60</v>
      </c>
      <c r="O1" s="4" t="s">
        <v>0</v>
      </c>
      <c r="P1" s="4" t="s">
        <v>5</v>
      </c>
      <c r="Q1" s="4">
        <v>20</v>
      </c>
      <c r="R1" s="4">
        <v>30</v>
      </c>
      <c r="S1" s="4">
        <v>40</v>
      </c>
      <c r="T1" s="4">
        <v>50</v>
      </c>
      <c r="U1" s="6">
        <v>60</v>
      </c>
    </row>
    <row r="2" spans="1:21" x14ac:dyDescent="0.3">
      <c r="A2" s="3" t="s">
        <v>4</v>
      </c>
      <c r="B2" s="3">
        <v>2.9</v>
      </c>
      <c r="C2" s="3">
        <v>3.29</v>
      </c>
      <c r="D2" s="3">
        <v>3.4</v>
      </c>
      <c r="E2" s="5">
        <v>3.42</v>
      </c>
      <c r="F2" s="5">
        <v>5</v>
      </c>
      <c r="G2" s="5">
        <v>5.8</v>
      </c>
      <c r="H2" s="4" t="s">
        <v>4</v>
      </c>
      <c r="I2" s="4">
        <v>3.49</v>
      </c>
      <c r="J2" s="4">
        <v>3.69</v>
      </c>
      <c r="K2" s="4">
        <v>4.2</v>
      </c>
      <c r="L2" s="4">
        <v>4.42</v>
      </c>
      <c r="M2" s="8">
        <v>5.0199999999999996</v>
      </c>
      <c r="N2" s="6">
        <v>5.8</v>
      </c>
      <c r="O2" s="4" t="s">
        <v>4</v>
      </c>
      <c r="P2" s="4">
        <v>3.49</v>
      </c>
      <c r="Q2" s="4">
        <v>3.69</v>
      </c>
      <c r="R2" s="4">
        <v>4.2</v>
      </c>
      <c r="S2" s="4">
        <v>4.42</v>
      </c>
      <c r="T2" s="8">
        <v>5.0199999999999996</v>
      </c>
      <c r="U2" s="6">
        <v>5.8</v>
      </c>
    </row>
    <row r="3" spans="1:21" x14ac:dyDescent="0.3">
      <c r="A3" s="2">
        <v>0</v>
      </c>
      <c r="B3" s="2">
        <v>0</v>
      </c>
      <c r="C3" s="2">
        <v>0</v>
      </c>
      <c r="D3" s="2">
        <v>0</v>
      </c>
      <c r="E3" s="5">
        <v>0</v>
      </c>
      <c r="F3" s="5">
        <v>0</v>
      </c>
      <c r="G3" s="5">
        <v>0</v>
      </c>
      <c r="H3" s="4">
        <v>0</v>
      </c>
      <c r="I3" s="4">
        <v>0</v>
      </c>
      <c r="J3" s="4">
        <v>0</v>
      </c>
      <c r="K3" s="4">
        <v>0</v>
      </c>
      <c r="L3" s="7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7">
        <v>0</v>
      </c>
      <c r="T3" s="4">
        <v>0</v>
      </c>
      <c r="U3" s="4">
        <v>0</v>
      </c>
    </row>
    <row r="4" spans="1:21" x14ac:dyDescent="0.3">
      <c r="A4" s="2">
        <v>5</v>
      </c>
      <c r="B4" s="2">
        <v>2.21</v>
      </c>
      <c r="C4" s="2">
        <v>2.2090000000000001</v>
      </c>
      <c r="D4" s="2">
        <v>2.206</v>
      </c>
      <c r="E4" s="5">
        <v>2.1480000000000001</v>
      </c>
      <c r="F4" s="5">
        <v>2.1440000000000001</v>
      </c>
      <c r="G4" s="5">
        <v>2.1779999999999999</v>
      </c>
      <c r="H4" s="4">
        <v>5</v>
      </c>
      <c r="I4" s="4">
        <f t="shared" ref="I4:N4" si="0">B4/0.0524</f>
        <v>42.175572519083964</v>
      </c>
      <c r="J4" s="4">
        <f t="shared" si="0"/>
        <v>42.156488549618324</v>
      </c>
      <c r="K4" s="4">
        <f t="shared" si="0"/>
        <v>42.099236641221374</v>
      </c>
      <c r="L4" s="7">
        <f t="shared" si="0"/>
        <v>40.992366412213741</v>
      </c>
      <c r="M4" s="4">
        <f t="shared" si="0"/>
        <v>40.916030534351144</v>
      </c>
      <c r="N4" s="4">
        <f t="shared" si="0"/>
        <v>41.564885496183201</v>
      </c>
      <c r="O4" s="4">
        <v>5</v>
      </c>
      <c r="P4" s="4">
        <f t="shared" ref="P4:U4" si="1">((42.36-I4)/42.36)*100</f>
        <v>0.4353812108499418</v>
      </c>
      <c r="Q4" s="4">
        <f t="shared" si="1"/>
        <v>0.48043307455541956</v>
      </c>
      <c r="R4" s="4">
        <f t="shared" si="1"/>
        <v>0.61558866567192005</v>
      </c>
      <c r="S4" s="7">
        <f t="shared" si="1"/>
        <v>3.228596760590789</v>
      </c>
      <c r="T4" s="4">
        <f t="shared" si="1"/>
        <v>3.4088042154127849</v>
      </c>
      <c r="U4" s="4">
        <f t="shared" si="1"/>
        <v>1.8770408494258686</v>
      </c>
    </row>
    <row r="5" spans="1:21" x14ac:dyDescent="0.3">
      <c r="A5" s="2">
        <v>10</v>
      </c>
      <c r="B5" s="2">
        <v>2.2000000000000002</v>
      </c>
      <c r="C5" s="2">
        <v>2.1720000000000002</v>
      </c>
      <c r="D5" s="2">
        <v>2.1909999999999998</v>
      </c>
      <c r="E5" s="5">
        <v>2.1070000000000002</v>
      </c>
      <c r="F5" s="5">
        <v>2.0840000000000001</v>
      </c>
      <c r="G5" s="5">
        <v>2.109</v>
      </c>
      <c r="H5" s="4">
        <v>10</v>
      </c>
      <c r="I5" s="4">
        <f t="shared" ref="I5:L9" si="2">B5/0.0524</f>
        <v>41.984732824427482</v>
      </c>
      <c r="J5" s="4">
        <f t="shared" si="2"/>
        <v>41.450381679389317</v>
      </c>
      <c r="K5" s="4">
        <f t="shared" si="2"/>
        <v>41.812977099236633</v>
      </c>
      <c r="L5" s="7">
        <f t="shared" si="2"/>
        <v>40.209923664122137</v>
      </c>
      <c r="M5" s="4">
        <f t="shared" ref="M5:M9" si="3">F5/0.0524</f>
        <v>39.770992366412216</v>
      </c>
      <c r="N5" s="4">
        <f t="shared" ref="N5:N9" si="4">G5/0.0524</f>
        <v>40.248091603053432</v>
      </c>
      <c r="O5" s="4">
        <v>10</v>
      </c>
      <c r="P5" s="4">
        <f t="shared" ref="P5:P9" si="5">((42.36-I5)/42.36)*100</f>
        <v>0.88589984790490417</v>
      </c>
      <c r="Q5" s="4">
        <f t="shared" ref="Q5:Q9" si="6">((42.36-J5)/42.36)*100</f>
        <v>2.1473520316588357</v>
      </c>
      <c r="R5" s="4">
        <f t="shared" ref="R5:R9" si="7">((42.36-K5)/42.36)*100</f>
        <v>1.2913666212544057</v>
      </c>
      <c r="S5" s="7">
        <f t="shared" ref="S5:S9" si="8">((42.36-L5)/42.36)*100</f>
        <v>5.0757231725162013</v>
      </c>
      <c r="T5" s="4">
        <f t="shared" ref="T5:T9" si="9">((42.36-M5)/42.36)*100</f>
        <v>6.1119160377426427</v>
      </c>
      <c r="U5" s="4">
        <f t="shared" ref="U5:U9" si="10">((42.36-N5)/42.36)*100</f>
        <v>4.985619445105212</v>
      </c>
    </row>
    <row r="6" spans="1:21" x14ac:dyDescent="0.3">
      <c r="A6" s="2">
        <v>20</v>
      </c>
      <c r="B6" s="2">
        <v>2.1869999999999998</v>
      </c>
      <c r="C6" s="2">
        <v>2.145</v>
      </c>
      <c r="D6" s="2">
        <v>2.1139999999999999</v>
      </c>
      <c r="E6" s="5">
        <v>1.984</v>
      </c>
      <c r="F6" s="5">
        <v>1.9019999999999999</v>
      </c>
      <c r="G6" s="5">
        <v>2.0019999999999998</v>
      </c>
      <c r="H6" s="4">
        <v>20</v>
      </c>
      <c r="I6" s="4">
        <f t="shared" si="2"/>
        <v>41.736641221374043</v>
      </c>
      <c r="J6" s="4">
        <f t="shared" si="2"/>
        <v>40.935114503816791</v>
      </c>
      <c r="K6" s="4">
        <f t="shared" si="2"/>
        <v>40.343511450381676</v>
      </c>
      <c r="L6" s="7">
        <f t="shared" si="2"/>
        <v>37.862595419847324</v>
      </c>
      <c r="M6" s="4">
        <f t="shared" si="3"/>
        <v>36.297709923664122</v>
      </c>
      <c r="N6" s="4">
        <f t="shared" si="4"/>
        <v>38.206106870229</v>
      </c>
      <c r="O6" s="4">
        <v>20</v>
      </c>
      <c r="P6" s="4">
        <f t="shared" si="5"/>
        <v>1.4715740760763838</v>
      </c>
      <c r="Q6" s="4">
        <f t="shared" si="6"/>
        <v>3.3637523517072903</v>
      </c>
      <c r="R6" s="4">
        <f t="shared" si="7"/>
        <v>4.760360126577722</v>
      </c>
      <c r="S6" s="7">
        <f t="shared" si="8"/>
        <v>10.617102408292435</v>
      </c>
      <c r="T6" s="4">
        <f t="shared" si="9"/>
        <v>14.311355232143242</v>
      </c>
      <c r="U6" s="4">
        <f t="shared" si="10"/>
        <v>9.8061688615934823</v>
      </c>
    </row>
    <row r="7" spans="1:21" x14ac:dyDescent="0.3">
      <c r="A7" s="2">
        <v>30</v>
      </c>
      <c r="B7" s="2">
        <v>2.145</v>
      </c>
      <c r="C7" s="2">
        <v>2.1150000000000002</v>
      </c>
      <c r="D7" s="2">
        <v>2.04</v>
      </c>
      <c r="E7" s="5">
        <v>1.9279999999999999</v>
      </c>
      <c r="F7" s="5">
        <v>1.748</v>
      </c>
      <c r="G7" s="5">
        <v>1.9930000000000001</v>
      </c>
      <c r="H7" s="4">
        <v>30</v>
      </c>
      <c r="I7" s="4">
        <f t="shared" si="2"/>
        <v>40.935114503816791</v>
      </c>
      <c r="J7" s="4">
        <f t="shared" si="2"/>
        <v>40.362595419847331</v>
      </c>
      <c r="K7" s="4">
        <f t="shared" si="2"/>
        <v>38.931297709923662</v>
      </c>
      <c r="L7" s="7">
        <f t="shared" si="2"/>
        <v>36.793893129770993</v>
      </c>
      <c r="M7" s="4">
        <f t="shared" si="3"/>
        <v>33.358778625954194</v>
      </c>
      <c r="N7" s="4">
        <f t="shared" si="4"/>
        <v>38.034351145038165</v>
      </c>
      <c r="O7" s="4">
        <v>30</v>
      </c>
      <c r="P7" s="4">
        <f t="shared" si="5"/>
        <v>3.3637523517072903</v>
      </c>
      <c r="Q7" s="4">
        <f t="shared" si="6"/>
        <v>4.7153082628722105</v>
      </c>
      <c r="R7" s="4">
        <f t="shared" si="7"/>
        <v>8.0941980407845548</v>
      </c>
      <c r="S7" s="7">
        <f t="shared" si="8"/>
        <v>13.1400067758003</v>
      </c>
      <c r="T7" s="4">
        <f t="shared" si="9"/>
        <v>21.249342242789908</v>
      </c>
      <c r="U7" s="4">
        <f t="shared" si="10"/>
        <v>10.211635634942951</v>
      </c>
    </row>
    <row r="8" spans="1:21" x14ac:dyDescent="0.3">
      <c r="A8" s="2">
        <v>45</v>
      </c>
      <c r="B8" s="2">
        <v>2.105</v>
      </c>
      <c r="C8" s="2">
        <v>2.0150000000000001</v>
      </c>
      <c r="D8" s="2">
        <v>1.875</v>
      </c>
      <c r="E8" s="5">
        <v>1.6519999999999999</v>
      </c>
      <c r="F8" s="5">
        <v>1.5509999999999999</v>
      </c>
      <c r="G8" s="5">
        <v>1.8480000000000001</v>
      </c>
      <c r="H8" s="4">
        <v>45</v>
      </c>
      <c r="I8" s="4">
        <f t="shared" si="2"/>
        <v>40.171755725190835</v>
      </c>
      <c r="J8" s="4">
        <f t="shared" si="2"/>
        <v>38.454198473282446</v>
      </c>
      <c r="K8" s="4">
        <f t="shared" si="2"/>
        <v>35.782442748091604</v>
      </c>
      <c r="L8" s="7">
        <f t="shared" si="2"/>
        <v>31.526717557251906</v>
      </c>
      <c r="M8" s="4">
        <f t="shared" si="3"/>
        <v>29.599236641221371</v>
      </c>
      <c r="N8" s="4">
        <f t="shared" si="4"/>
        <v>35.267175572519086</v>
      </c>
      <c r="O8" s="4">
        <v>45</v>
      </c>
      <c r="P8" s="4">
        <f t="shared" si="5"/>
        <v>5.1658268999272066</v>
      </c>
      <c r="Q8" s="4">
        <f t="shared" si="6"/>
        <v>9.2204946334219873</v>
      </c>
      <c r="R8" s="4">
        <f t="shared" si="7"/>
        <v>15.52775555219168</v>
      </c>
      <c r="S8" s="7">
        <f t="shared" si="8"/>
        <v>25.574321158517687</v>
      </c>
      <c r="T8" s="4">
        <f t="shared" si="9"/>
        <v>30.124559392772966</v>
      </c>
      <c r="U8" s="4">
        <f t="shared" si="10"/>
        <v>16.744155872240114</v>
      </c>
    </row>
    <row r="9" spans="1:21" x14ac:dyDescent="0.3">
      <c r="A9" s="2">
        <v>60</v>
      </c>
      <c r="B9" s="2">
        <v>1.984</v>
      </c>
      <c r="C9" s="2">
        <v>1.8520000000000001</v>
      </c>
      <c r="D9" s="2">
        <v>1.649</v>
      </c>
      <c r="E9" s="5">
        <v>1.526</v>
      </c>
      <c r="F9" s="5">
        <v>1.454</v>
      </c>
      <c r="G9" s="5">
        <v>1.752</v>
      </c>
      <c r="H9" s="4">
        <v>60</v>
      </c>
      <c r="I9" s="4">
        <f t="shared" si="2"/>
        <v>37.862595419847324</v>
      </c>
      <c r="J9" s="4">
        <f t="shared" si="2"/>
        <v>35.343511450381676</v>
      </c>
      <c r="K9" s="4">
        <f t="shared" si="2"/>
        <v>31.46946564885496</v>
      </c>
      <c r="L9" s="7">
        <f t="shared" si="2"/>
        <v>29.122137404580151</v>
      </c>
      <c r="M9" s="4">
        <f t="shared" si="3"/>
        <v>27.748091603053432</v>
      </c>
      <c r="N9" s="4">
        <f t="shared" si="4"/>
        <v>33.435114503816791</v>
      </c>
      <c r="O9" s="4">
        <v>60</v>
      </c>
      <c r="P9" s="4">
        <f t="shared" si="5"/>
        <v>10.617102408292435</v>
      </c>
      <c r="Q9" s="4">
        <f t="shared" si="6"/>
        <v>16.563948417418136</v>
      </c>
      <c r="R9" s="4">
        <f t="shared" si="7"/>
        <v>25.709476749634181</v>
      </c>
      <c r="S9" s="7">
        <f t="shared" si="8"/>
        <v>31.250855985410407</v>
      </c>
      <c r="T9" s="4">
        <f t="shared" si="9"/>
        <v>34.494590172206252</v>
      </c>
      <c r="U9" s="4">
        <f t="shared" si="10"/>
        <v>21.069134787967915</v>
      </c>
    </row>
    <row r="11" spans="1:21" x14ac:dyDescent="0.3">
      <c r="H11" s="4">
        <v>0</v>
      </c>
      <c r="I11" s="4">
        <v>1</v>
      </c>
      <c r="J11" s="4">
        <v>1</v>
      </c>
      <c r="K11" s="4">
        <v>1</v>
      </c>
      <c r="L11" s="7">
        <v>1</v>
      </c>
      <c r="M11" s="4">
        <v>1</v>
      </c>
    </row>
    <row r="12" spans="1:21" x14ac:dyDescent="0.3">
      <c r="H12" s="4">
        <v>5</v>
      </c>
      <c r="I12" s="4">
        <f>I4/42.36</f>
        <v>0.99564618789150061</v>
      </c>
      <c r="J12" s="4">
        <f>J4/42.36</f>
        <v>0.9951956692544458</v>
      </c>
      <c r="K12" s="4">
        <f>K4/42.36</f>
        <v>0.99384411334328082</v>
      </c>
      <c r="L12" s="7">
        <f>L4/42.36</f>
        <v>0.96771403239409215</v>
      </c>
      <c r="M12" s="4">
        <f>M4/42.36</f>
        <v>0.96591195784587214</v>
      </c>
    </row>
    <row r="13" spans="1:21" x14ac:dyDescent="0.3">
      <c r="H13" s="4">
        <v>10</v>
      </c>
      <c r="I13" s="4">
        <f t="shared" ref="I13:M17" si="11">I5/42.36</f>
        <v>0.99114100152095097</v>
      </c>
      <c r="J13" s="4">
        <f t="shared" si="11"/>
        <v>0.97852647968341167</v>
      </c>
      <c r="K13" s="4">
        <f t="shared" si="11"/>
        <v>0.98708633378745592</v>
      </c>
      <c r="L13" s="7">
        <f t="shared" si="11"/>
        <v>0.949242768274838</v>
      </c>
      <c r="M13" s="4">
        <f t="shared" si="11"/>
        <v>0.93888083962257352</v>
      </c>
    </row>
    <row r="14" spans="1:21" x14ac:dyDescent="0.3">
      <c r="C14" s="1" t="s">
        <v>1</v>
      </c>
      <c r="H14" s="4">
        <v>20</v>
      </c>
      <c r="I14" s="4">
        <f t="shared" si="11"/>
        <v>0.98528425923923613</v>
      </c>
      <c r="J14" s="4">
        <f t="shared" si="11"/>
        <v>0.96636247648292706</v>
      </c>
      <c r="K14" s="4">
        <f t="shared" si="11"/>
        <v>0.95239639873422277</v>
      </c>
      <c r="L14" s="7">
        <f t="shared" si="11"/>
        <v>0.89382897591707566</v>
      </c>
      <c r="M14" s="4">
        <f t="shared" si="11"/>
        <v>0.85688644767856759</v>
      </c>
    </row>
    <row r="15" spans="1:21" x14ac:dyDescent="0.3">
      <c r="C15" s="1" t="s">
        <v>2</v>
      </c>
      <c r="H15" s="4">
        <v>30</v>
      </c>
      <c r="I15" s="4">
        <f t="shared" si="11"/>
        <v>0.96636247648292706</v>
      </c>
      <c r="J15" s="4">
        <f t="shared" si="11"/>
        <v>0.95284691737127791</v>
      </c>
      <c r="K15" s="4">
        <f t="shared" si="11"/>
        <v>0.9190580195921545</v>
      </c>
      <c r="L15" s="7">
        <f t="shared" si="11"/>
        <v>0.86859993224199705</v>
      </c>
      <c r="M15" s="4">
        <f t="shared" si="11"/>
        <v>0.78750657757210096</v>
      </c>
    </row>
    <row r="16" spans="1:21" x14ac:dyDescent="0.3">
      <c r="C16" s="1" t="s">
        <v>3</v>
      </c>
      <c r="H16" s="4">
        <v>45</v>
      </c>
      <c r="I16" s="4">
        <f t="shared" si="11"/>
        <v>0.94834173100072794</v>
      </c>
      <c r="J16" s="4">
        <f t="shared" si="11"/>
        <v>0.90779505366578017</v>
      </c>
      <c r="K16" s="4">
        <f t="shared" si="11"/>
        <v>0.8447224444780832</v>
      </c>
      <c r="L16" s="7">
        <f t="shared" si="11"/>
        <v>0.74425678841482312</v>
      </c>
      <c r="M16" s="4">
        <f t="shared" si="11"/>
        <v>0.69875440607227035</v>
      </c>
    </row>
    <row r="17" spans="3:13" x14ac:dyDescent="0.3">
      <c r="C17" s="1" t="s">
        <v>6</v>
      </c>
      <c r="H17" s="4">
        <v>60</v>
      </c>
      <c r="I17" s="4">
        <f t="shared" si="11"/>
        <v>0.89382897591707566</v>
      </c>
      <c r="J17" s="4">
        <f t="shared" si="11"/>
        <v>0.8343605158258186</v>
      </c>
      <c r="K17" s="4">
        <f t="shared" si="11"/>
        <v>0.74290523250365814</v>
      </c>
      <c r="L17" s="7">
        <f t="shared" si="11"/>
        <v>0.68749144014589592</v>
      </c>
      <c r="M17" s="4">
        <f t="shared" si="11"/>
        <v>0.65505409827793748</v>
      </c>
    </row>
    <row r="18" spans="3:13" x14ac:dyDescent="0.3">
      <c r="C18" s="1" t="s">
        <v>10</v>
      </c>
      <c r="D18">
        <f>2.22/0.0524</f>
        <v>42.36641221374046</v>
      </c>
    </row>
    <row r="19" spans="3:13" x14ac:dyDescent="0.3">
      <c r="C19" s="1" t="s">
        <v>7</v>
      </c>
    </row>
    <row r="20" spans="3:13" x14ac:dyDescent="0.3">
      <c r="C20" s="1" t="s">
        <v>8</v>
      </c>
    </row>
    <row r="21" spans="3:13" x14ac:dyDescent="0.3">
      <c r="C21" s="1" t="s">
        <v>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P3" sqref="P3:R8"/>
    </sheetView>
  </sheetViews>
  <sheetFormatPr defaultRowHeight="14.4" x14ac:dyDescent="0.3"/>
  <sheetData>
    <row r="1" spans="1:18" x14ac:dyDescent="0.3">
      <c r="A1" s="24"/>
      <c r="B1" s="10" t="s">
        <v>43</v>
      </c>
      <c r="C1" s="24" t="s">
        <v>42</v>
      </c>
    </row>
    <row r="2" spans="1:18" x14ac:dyDescent="0.3">
      <c r="A2" s="26">
        <v>0</v>
      </c>
      <c r="B2" s="26">
        <v>7.48</v>
      </c>
      <c r="C2" s="26">
        <v>7.28</v>
      </c>
    </row>
    <row r="3" spans="1:18" x14ac:dyDescent="0.3">
      <c r="A3" s="26">
        <v>0</v>
      </c>
      <c r="B3" s="26">
        <v>0</v>
      </c>
      <c r="C3" s="26">
        <v>0</v>
      </c>
      <c r="E3" s="26">
        <v>0</v>
      </c>
      <c r="F3" s="26">
        <v>0</v>
      </c>
      <c r="G3" s="26">
        <v>0</v>
      </c>
      <c r="H3" s="10">
        <v>0</v>
      </c>
      <c r="I3" s="10">
        <v>1</v>
      </c>
      <c r="J3" s="10">
        <v>1</v>
      </c>
      <c r="P3">
        <v>0</v>
      </c>
      <c r="Q3">
        <v>0</v>
      </c>
      <c r="R3">
        <v>0</v>
      </c>
    </row>
    <row r="4" spans="1:18" x14ac:dyDescent="0.3">
      <c r="A4" s="26">
        <v>5</v>
      </c>
      <c r="B4" s="26">
        <v>1.3029999999999999</v>
      </c>
      <c r="C4" s="26">
        <v>1.2749999999999999</v>
      </c>
      <c r="E4" s="26">
        <v>5</v>
      </c>
      <c r="F4" s="26">
        <f>B4/0.0524</f>
        <v>24.866412213740457</v>
      </c>
      <c r="G4" s="26">
        <f>C4/0.0524</f>
        <v>24.332061068702288</v>
      </c>
      <c r="H4" s="10">
        <v>5</v>
      </c>
      <c r="I4" s="10">
        <v>0.85901000000000005</v>
      </c>
      <c r="J4" s="10">
        <v>0.95104</v>
      </c>
      <c r="K4">
        <f>(40.29-F4)/40.29*100</f>
        <v>38.28142910464021</v>
      </c>
      <c r="L4">
        <f>(40.1-G4)/41.3*100</f>
        <v>38.179028889340714</v>
      </c>
      <c r="P4">
        <v>30</v>
      </c>
      <c r="Q4">
        <v>32.399760000000001</v>
      </c>
      <c r="R4">
        <v>27.213909999999998</v>
      </c>
    </row>
    <row r="5" spans="1:18" x14ac:dyDescent="0.3">
      <c r="A5" s="26">
        <v>10</v>
      </c>
      <c r="B5" s="26">
        <v>1.1950000000000001</v>
      </c>
      <c r="C5" s="26">
        <v>1.123</v>
      </c>
      <c r="E5" s="26">
        <v>10</v>
      </c>
      <c r="F5" s="26">
        <f t="shared" ref="F5:F12" si="0">B5/0.0524</f>
        <v>22.805343511450381</v>
      </c>
      <c r="G5" s="26">
        <f t="shared" ref="G5:G12" si="1">C5/0.0524</f>
        <v>21.431297709923662</v>
      </c>
      <c r="H5" s="10">
        <v>10</v>
      </c>
      <c r="I5" s="10">
        <v>0.81049000000000004</v>
      </c>
      <c r="J5" s="10">
        <v>0.91766999999999999</v>
      </c>
      <c r="K5">
        <f t="shared" ref="K5:K12" si="2">(40.29-F5)/40.29*100</f>
        <v>43.397012878008482</v>
      </c>
      <c r="L5">
        <f t="shared" ref="L5:L11" si="3">(40.1-G5)/41.3*100</f>
        <v>45.202668983235696</v>
      </c>
      <c r="P5">
        <v>60</v>
      </c>
      <c r="Q5">
        <v>50.005159999999997</v>
      </c>
      <c r="R5">
        <v>45.238639999999997</v>
      </c>
    </row>
    <row r="6" spans="1:18" x14ac:dyDescent="0.3">
      <c r="A6" s="26">
        <v>20</v>
      </c>
      <c r="B6" s="26">
        <v>0.98499999999999999</v>
      </c>
      <c r="C6" s="26">
        <v>0.92600000000000005</v>
      </c>
      <c r="E6" s="26">
        <v>20</v>
      </c>
      <c r="F6" s="26">
        <f t="shared" si="0"/>
        <v>18.797709923664122</v>
      </c>
      <c r="G6" s="26">
        <f t="shared" si="1"/>
        <v>17.671755725190838</v>
      </c>
      <c r="H6" s="10">
        <v>20</v>
      </c>
      <c r="I6" s="10">
        <v>0.77986999999999995</v>
      </c>
      <c r="J6" s="10">
        <v>0.88502999999999998</v>
      </c>
      <c r="K6">
        <f t="shared" si="2"/>
        <v>53.343981326224565</v>
      </c>
      <c r="L6">
        <f t="shared" si="3"/>
        <v>54.305676210191677</v>
      </c>
      <c r="P6">
        <v>90</v>
      </c>
      <c r="Q6">
        <v>61.269170000000003</v>
      </c>
      <c r="R6">
        <v>55.98301</v>
      </c>
    </row>
    <row r="7" spans="1:18" x14ac:dyDescent="0.3">
      <c r="A7" s="26">
        <v>30</v>
      </c>
      <c r="B7" s="26">
        <v>0.86099999999999999</v>
      </c>
      <c r="C7" s="26">
        <v>0.80300000000000005</v>
      </c>
      <c r="E7" s="26">
        <v>30</v>
      </c>
      <c r="F7" s="26">
        <f t="shared" si="0"/>
        <v>16.431297709923662</v>
      </c>
      <c r="G7" s="26">
        <f t="shared" si="1"/>
        <v>15.324427480916031</v>
      </c>
      <c r="H7" s="10">
        <v>30</v>
      </c>
      <c r="I7" s="10">
        <v>0.75087999999999999</v>
      </c>
      <c r="J7" s="10">
        <v>0.86189000000000004</v>
      </c>
      <c r="K7">
        <f t="shared" si="2"/>
        <v>59.217429362314064</v>
      </c>
      <c r="L7">
        <f t="shared" si="3"/>
        <v>59.989279707225116</v>
      </c>
      <c r="P7">
        <v>120</v>
      </c>
      <c r="Q7">
        <v>72.504670000000004</v>
      </c>
      <c r="R7">
        <v>67.125500000000002</v>
      </c>
    </row>
    <row r="8" spans="1:18" x14ac:dyDescent="0.3">
      <c r="A8" s="26">
        <v>45</v>
      </c>
      <c r="B8" s="26">
        <v>0.67300000000000004</v>
      </c>
      <c r="C8" s="26">
        <v>0.60499999999999998</v>
      </c>
      <c r="E8" s="26">
        <v>45</v>
      </c>
      <c r="F8" s="26">
        <f t="shared" si="0"/>
        <v>12.84351145038168</v>
      </c>
      <c r="G8" s="26">
        <f t="shared" si="1"/>
        <v>11.545801526717556</v>
      </c>
      <c r="H8" s="10">
        <v>45</v>
      </c>
      <c r="I8" s="10">
        <v>0.71438000000000001</v>
      </c>
      <c r="J8" s="10">
        <v>0.81966000000000006</v>
      </c>
      <c r="K8">
        <f t="shared" si="2"/>
        <v>68.122334449288459</v>
      </c>
      <c r="L8">
        <f t="shared" si="3"/>
        <v>69.138495092693589</v>
      </c>
      <c r="P8">
        <v>150</v>
      </c>
      <c r="Q8">
        <v>80.141300000000001</v>
      </c>
      <c r="R8">
        <v>74.270709999999994</v>
      </c>
    </row>
    <row r="9" spans="1:18" x14ac:dyDescent="0.3">
      <c r="A9" s="26">
        <v>60</v>
      </c>
      <c r="B9" s="26">
        <v>0.51900000000000002</v>
      </c>
      <c r="C9" s="26">
        <v>0.47399999999999998</v>
      </c>
      <c r="E9" s="26">
        <v>60</v>
      </c>
      <c r="F9" s="26">
        <f t="shared" si="0"/>
        <v>9.9045801526717554</v>
      </c>
      <c r="G9" s="26">
        <f t="shared" si="1"/>
        <v>9.0458015267175558</v>
      </c>
      <c r="H9" s="10">
        <v>60</v>
      </c>
      <c r="I9" s="10">
        <v>0.67695000000000005</v>
      </c>
      <c r="J9" s="10">
        <v>0.78720999999999997</v>
      </c>
      <c r="K9">
        <f t="shared" si="2"/>
        <v>75.41677797798026</v>
      </c>
      <c r="L9">
        <f t="shared" si="3"/>
        <v>75.191763857826757</v>
      </c>
    </row>
    <row r="10" spans="1:18" x14ac:dyDescent="0.3">
      <c r="A10" s="26">
        <v>90</v>
      </c>
      <c r="B10" s="26">
        <v>0.35399999999999998</v>
      </c>
      <c r="C10" s="26">
        <v>0.311</v>
      </c>
      <c r="E10" s="26">
        <v>90</v>
      </c>
      <c r="F10" s="26">
        <f t="shared" si="0"/>
        <v>6.7557251908396942</v>
      </c>
      <c r="G10" s="26">
        <f t="shared" si="1"/>
        <v>5.9351145038167941</v>
      </c>
      <c r="H10" s="10">
        <v>90</v>
      </c>
      <c r="I10" s="10">
        <v>0.64737999999999996</v>
      </c>
      <c r="J10" s="10">
        <v>0.74268999999999996</v>
      </c>
      <c r="K10">
        <f t="shared" si="2"/>
        <v>83.232253187292898</v>
      </c>
      <c r="L10">
        <f t="shared" si="3"/>
        <v>82.723693695358875</v>
      </c>
    </row>
    <row r="11" spans="1:18" x14ac:dyDescent="0.3">
      <c r="A11" s="26">
        <v>120</v>
      </c>
      <c r="B11" s="26">
        <v>0.27600000000000002</v>
      </c>
      <c r="C11" s="26">
        <v>0.221</v>
      </c>
      <c r="E11" s="26">
        <v>120</v>
      </c>
      <c r="F11" s="26">
        <f t="shared" si="0"/>
        <v>5.2671755725190845</v>
      </c>
      <c r="G11" s="26">
        <f t="shared" si="1"/>
        <v>4.2175572519083966</v>
      </c>
      <c r="H11" s="10">
        <v>120</v>
      </c>
      <c r="I11" s="10">
        <v>0.62390999999999996</v>
      </c>
      <c r="J11" s="10">
        <v>0.72167000000000003</v>
      </c>
      <c r="K11">
        <f t="shared" si="2"/>
        <v>86.926841468058853</v>
      </c>
      <c r="L11">
        <f t="shared" si="3"/>
        <v>86.882427961480886</v>
      </c>
    </row>
    <row r="12" spans="1:18" x14ac:dyDescent="0.3">
      <c r="A12" s="26">
        <v>150</v>
      </c>
      <c r="B12" s="26">
        <v>0.11799999999999999</v>
      </c>
      <c r="C12" s="30">
        <v>9.0999999999999998E-2</v>
      </c>
      <c r="E12" s="26">
        <v>150</v>
      </c>
      <c r="F12" s="26">
        <f t="shared" si="0"/>
        <v>2.2519083969465647</v>
      </c>
      <c r="G12" s="26">
        <f t="shared" si="1"/>
        <v>1.7366412213740456</v>
      </c>
      <c r="H12" s="10">
        <v>150</v>
      </c>
      <c r="I12" s="10">
        <v>0.60104000000000002</v>
      </c>
      <c r="J12" s="10">
        <v>0.70653999999999995</v>
      </c>
      <c r="K12">
        <f t="shared" si="2"/>
        <v>94.410751062430947</v>
      </c>
      <c r="L12">
        <f>(40.1-G12)/40.1*100</f>
        <v>95.669223886847774</v>
      </c>
    </row>
    <row r="13" spans="1:18" x14ac:dyDescent="0.3">
      <c r="I13" t="s">
        <v>44</v>
      </c>
    </row>
    <row r="14" spans="1:18" x14ac:dyDescent="0.3">
      <c r="E14">
        <v>0</v>
      </c>
      <c r="F14" s="35" t="s">
        <v>46</v>
      </c>
      <c r="G14" s="35">
        <v>1</v>
      </c>
      <c r="H14" s="25" t="s">
        <v>45</v>
      </c>
      <c r="I14" s="25" t="s">
        <v>44</v>
      </c>
      <c r="J14" t="s">
        <v>47</v>
      </c>
    </row>
    <row r="15" spans="1:18" x14ac:dyDescent="0.3">
      <c r="E15">
        <v>5</v>
      </c>
      <c r="F15" s="35">
        <v>0.85901000000000005</v>
      </c>
      <c r="G15" s="35">
        <v>0.95104</v>
      </c>
      <c r="H15" s="25">
        <f>40*F15</f>
        <v>34.360399999999998</v>
      </c>
      <c r="I15" s="25">
        <f>40*G15</f>
        <v>38.041600000000003</v>
      </c>
      <c r="J15">
        <f>(40.29-H15)/40.29*100</f>
        <v>14.717299578059073</v>
      </c>
      <c r="K15">
        <f>(40.29-I15)/40.29*100</f>
        <v>5.5805410771903619</v>
      </c>
    </row>
    <row r="16" spans="1:18" x14ac:dyDescent="0.3">
      <c r="E16">
        <v>10</v>
      </c>
      <c r="F16" s="35">
        <v>0.81049000000000004</v>
      </c>
      <c r="G16" s="35">
        <v>0.91766999999999999</v>
      </c>
      <c r="H16" s="25">
        <f t="shared" ref="H16:H23" si="4">40*F16</f>
        <v>32.419600000000003</v>
      </c>
      <c r="I16" s="25">
        <f t="shared" ref="I16:I23" si="5">40*G16</f>
        <v>36.706800000000001</v>
      </c>
      <c r="J16">
        <f t="shared" ref="J16:J23" si="6">(40.29-H16)/40.29*100</f>
        <v>19.534375775626696</v>
      </c>
      <c r="K16">
        <f t="shared" ref="K16:K23" si="7">(40.29-I16)/40.29*100</f>
        <v>8.8935219657483202</v>
      </c>
    </row>
    <row r="17" spans="2:11" x14ac:dyDescent="0.3">
      <c r="E17">
        <v>20</v>
      </c>
      <c r="F17" s="35">
        <v>0.77986999999999995</v>
      </c>
      <c r="G17" s="35">
        <v>0.88502999999999998</v>
      </c>
      <c r="H17" s="25">
        <f t="shared" si="4"/>
        <v>31.194799999999997</v>
      </c>
      <c r="I17" s="25">
        <f t="shared" si="5"/>
        <v>35.401200000000003</v>
      </c>
      <c r="J17">
        <f t="shared" si="6"/>
        <v>22.574336063539345</v>
      </c>
      <c r="K17">
        <f t="shared" si="7"/>
        <v>12.13402829486224</v>
      </c>
    </row>
    <row r="18" spans="2:11" x14ac:dyDescent="0.3">
      <c r="E18">
        <v>30</v>
      </c>
      <c r="F18" s="35">
        <v>0.75087999999999999</v>
      </c>
      <c r="G18" s="35">
        <v>0.86189000000000004</v>
      </c>
      <c r="H18" s="25">
        <f t="shared" si="4"/>
        <v>30.0352</v>
      </c>
      <c r="I18" s="25">
        <f t="shared" si="5"/>
        <v>34.4756</v>
      </c>
      <c r="J18">
        <f t="shared" si="6"/>
        <v>25.452469595433108</v>
      </c>
      <c r="K18">
        <f t="shared" si="7"/>
        <v>14.431372549019606</v>
      </c>
    </row>
    <row r="19" spans="2:11" x14ac:dyDescent="0.3">
      <c r="E19">
        <v>45</v>
      </c>
      <c r="F19" s="35">
        <v>0.71438000000000001</v>
      </c>
      <c r="G19" s="35">
        <v>0.81966000000000006</v>
      </c>
      <c r="H19" s="25">
        <f t="shared" si="4"/>
        <v>28.575200000000002</v>
      </c>
      <c r="I19" s="25">
        <f t="shared" si="5"/>
        <v>32.7864</v>
      </c>
      <c r="J19">
        <f t="shared" si="6"/>
        <v>29.076197567634644</v>
      </c>
      <c r="K19">
        <f t="shared" si="7"/>
        <v>18.623976172747579</v>
      </c>
    </row>
    <row r="20" spans="2:11" x14ac:dyDescent="0.3">
      <c r="E20">
        <v>60</v>
      </c>
      <c r="F20" s="35">
        <v>0.67695000000000005</v>
      </c>
      <c r="G20" s="35">
        <v>0.78720999999999997</v>
      </c>
      <c r="H20" s="25">
        <f t="shared" si="4"/>
        <v>27.078000000000003</v>
      </c>
      <c r="I20" s="25">
        <f t="shared" si="5"/>
        <v>31.488399999999999</v>
      </c>
      <c r="J20">
        <f t="shared" si="6"/>
        <v>32.792256142963502</v>
      </c>
      <c r="K20">
        <f t="shared" si="7"/>
        <v>21.845619260362376</v>
      </c>
    </row>
    <row r="21" spans="2:11" x14ac:dyDescent="0.3">
      <c r="E21">
        <v>90</v>
      </c>
      <c r="F21" s="35">
        <v>0.64737999999999996</v>
      </c>
      <c r="G21" s="35">
        <v>0.74268999999999996</v>
      </c>
      <c r="H21" s="25">
        <f t="shared" si="4"/>
        <v>25.895199999999999</v>
      </c>
      <c r="I21" s="25">
        <f t="shared" si="5"/>
        <v>29.707599999999999</v>
      </c>
      <c r="J21">
        <f t="shared" si="6"/>
        <v>35.72797220153884</v>
      </c>
      <c r="K21">
        <f t="shared" si="7"/>
        <v>26.265574584264083</v>
      </c>
    </row>
    <row r="22" spans="2:11" x14ac:dyDescent="0.3">
      <c r="B22">
        <f>2.111/0.0524</f>
        <v>40.286259541984734</v>
      </c>
      <c r="E22">
        <v>120</v>
      </c>
      <c r="F22" s="35">
        <v>0.62390999999999996</v>
      </c>
      <c r="G22" s="35">
        <v>0.72167000000000003</v>
      </c>
      <c r="H22" s="25">
        <f t="shared" si="4"/>
        <v>24.956399999999999</v>
      </c>
      <c r="I22" s="25">
        <f t="shared" si="5"/>
        <v>28.866800000000001</v>
      </c>
      <c r="J22">
        <f t="shared" si="6"/>
        <v>38.058078927773643</v>
      </c>
      <c r="K22">
        <f t="shared" si="7"/>
        <v>28.352444775378498</v>
      </c>
    </row>
    <row r="23" spans="2:11" x14ac:dyDescent="0.3">
      <c r="B23">
        <f>2.102/0.0524</f>
        <v>40.114503816793892</v>
      </c>
      <c r="E23">
        <v>150</v>
      </c>
      <c r="F23" s="35">
        <v>0.60104000000000002</v>
      </c>
      <c r="G23" s="35">
        <v>0.70653999999999995</v>
      </c>
      <c r="H23" s="25">
        <f t="shared" si="4"/>
        <v>24.041600000000003</v>
      </c>
      <c r="I23" s="25">
        <f t="shared" si="5"/>
        <v>28.261599999999998</v>
      </c>
      <c r="J23">
        <f t="shared" si="6"/>
        <v>40.328617522958545</v>
      </c>
      <c r="K23">
        <f t="shared" si="7"/>
        <v>29.854554480019864</v>
      </c>
    </row>
    <row r="24" spans="2:11" x14ac:dyDescent="0.3">
      <c r="F24" t="s">
        <v>44</v>
      </c>
      <c r="I24" t="s">
        <v>44</v>
      </c>
    </row>
    <row r="25" spans="2:11" x14ac:dyDescent="0.3">
      <c r="F25" t="s">
        <v>44</v>
      </c>
      <c r="I25" t="s">
        <v>44</v>
      </c>
    </row>
    <row r="26" spans="2:11" x14ac:dyDescent="0.3">
      <c r="F26" t="s">
        <v>44</v>
      </c>
      <c r="I26" t="s">
        <v>44</v>
      </c>
    </row>
    <row r="27" spans="2:11" x14ac:dyDescent="0.3">
      <c r="F27" t="s">
        <v>44</v>
      </c>
      <c r="I27" t="s">
        <v>44</v>
      </c>
    </row>
    <row r="28" spans="2:11" x14ac:dyDescent="0.3">
      <c r="F28" t="s">
        <v>44</v>
      </c>
      <c r="I28" t="s">
        <v>44</v>
      </c>
    </row>
    <row r="29" spans="2:11" x14ac:dyDescent="0.3">
      <c r="F29" t="s">
        <v>44</v>
      </c>
      <c r="I29" t="s">
        <v>44</v>
      </c>
    </row>
    <row r="30" spans="2:11" x14ac:dyDescent="0.3">
      <c r="F30" t="s">
        <v>44</v>
      </c>
      <c r="I30" t="s">
        <v>44</v>
      </c>
    </row>
    <row r="31" spans="2:11" x14ac:dyDescent="0.3">
      <c r="F31" t="s">
        <v>44</v>
      </c>
      <c r="I31" t="s">
        <v>44</v>
      </c>
    </row>
    <row r="32" spans="2:11" x14ac:dyDescent="0.3">
      <c r="F32" t="s">
        <v>44</v>
      </c>
      <c r="I32" t="s">
        <v>44</v>
      </c>
    </row>
    <row r="33" spans="6:9" x14ac:dyDescent="0.3">
      <c r="F33" t="s">
        <v>44</v>
      </c>
      <c r="I33" t="s">
        <v>44</v>
      </c>
    </row>
    <row r="34" spans="6:9" x14ac:dyDescent="0.3">
      <c r="F34" t="s">
        <v>44</v>
      </c>
      <c r="I34" t="s">
        <v>44</v>
      </c>
    </row>
    <row r="35" spans="6:9" x14ac:dyDescent="0.3">
      <c r="F35" t="s">
        <v>44</v>
      </c>
    </row>
    <row r="36" spans="6:9" x14ac:dyDescent="0.3">
      <c r="F36" t="s">
        <v>44</v>
      </c>
    </row>
    <row r="37" spans="6:9" x14ac:dyDescent="0.3">
      <c r="F37" t="s">
        <v>44</v>
      </c>
    </row>
    <row r="38" spans="6:9" x14ac:dyDescent="0.3">
      <c r="F38" t="s">
        <v>44</v>
      </c>
    </row>
    <row r="39" spans="6:9" x14ac:dyDescent="0.3">
      <c r="F39" t="s">
        <v>44</v>
      </c>
    </row>
    <row r="40" spans="6:9" x14ac:dyDescent="0.3">
      <c r="F40" t="s">
        <v>44</v>
      </c>
    </row>
    <row r="41" spans="6:9" x14ac:dyDescent="0.3">
      <c r="F41" t="s">
        <v>44</v>
      </c>
    </row>
    <row r="42" spans="6:9" x14ac:dyDescent="0.3">
      <c r="F42" t="s">
        <v>44</v>
      </c>
    </row>
    <row r="43" spans="6:9" x14ac:dyDescent="0.3">
      <c r="F43" t="s">
        <v>44</v>
      </c>
    </row>
    <row r="44" spans="6:9" x14ac:dyDescent="0.3">
      <c r="F44" t="s">
        <v>44</v>
      </c>
    </row>
    <row r="45" spans="6:9" x14ac:dyDescent="0.3">
      <c r="F45" t="s">
        <v>44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J2" sqref="J2:L11"/>
    </sheetView>
  </sheetViews>
  <sheetFormatPr defaultRowHeight="14.4" x14ac:dyDescent="0.3"/>
  <sheetData>
    <row r="1" spans="1:17" x14ac:dyDescent="0.3">
      <c r="A1" s="25"/>
      <c r="B1" s="25" t="s">
        <v>59</v>
      </c>
      <c r="C1" s="25" t="s">
        <v>60</v>
      </c>
      <c r="E1" t="s">
        <v>56</v>
      </c>
      <c r="F1" s="25" t="s">
        <v>61</v>
      </c>
      <c r="G1" s="25" t="s">
        <v>60</v>
      </c>
      <c r="J1" t="s">
        <v>58</v>
      </c>
      <c r="O1" t="s">
        <v>57</v>
      </c>
      <c r="P1" t="s">
        <v>62</v>
      </c>
      <c r="Q1" t="s">
        <v>60</v>
      </c>
    </row>
    <row r="2" spans="1:17" x14ac:dyDescent="0.3">
      <c r="A2" s="25">
        <v>0</v>
      </c>
      <c r="B2" s="25">
        <v>1</v>
      </c>
      <c r="C2" s="25">
        <v>1</v>
      </c>
      <c r="E2" s="25">
        <v>0</v>
      </c>
      <c r="F2">
        <f>41.3*B2</f>
        <v>41.3</v>
      </c>
      <c r="G2">
        <f>41.3*C2</f>
        <v>41.3</v>
      </c>
      <c r="J2" s="25">
        <v>0</v>
      </c>
      <c r="K2">
        <f>1/F2</f>
        <v>2.4213075060532691E-2</v>
      </c>
      <c r="L2">
        <f>1/G2</f>
        <v>2.4213075060532691E-2</v>
      </c>
      <c r="O2" s="25">
        <v>0</v>
      </c>
      <c r="P2">
        <f>-LN(B2)</f>
        <v>0</v>
      </c>
      <c r="Q2">
        <f>-LN(C2)</f>
        <v>0</v>
      </c>
    </row>
    <row r="3" spans="1:17" x14ac:dyDescent="0.3">
      <c r="A3" s="25">
        <v>5</v>
      </c>
      <c r="B3" s="25">
        <v>0.85901000000000005</v>
      </c>
      <c r="C3" s="25">
        <v>0.94</v>
      </c>
      <c r="E3" s="25">
        <v>5</v>
      </c>
      <c r="F3">
        <f t="shared" ref="F3:F11" si="0">41.3*B3</f>
        <v>35.477113000000003</v>
      </c>
      <c r="G3">
        <f t="shared" ref="G3:G11" si="1">41.3*C3</f>
        <v>38.821999999999996</v>
      </c>
      <c r="J3" s="25">
        <v>5</v>
      </c>
      <c r="K3">
        <f t="shared" ref="K3:K11" si="2">1/F3</f>
        <v>2.8187186482733245E-2</v>
      </c>
      <c r="L3">
        <f t="shared" ref="L3:L11" si="3">1/G3</f>
        <v>2.5758590489928394E-2</v>
      </c>
      <c r="O3" s="25">
        <v>5</v>
      </c>
      <c r="P3">
        <f t="shared" ref="P3:P11" si="4">-LN(B3)</f>
        <v>0.15197471562210371</v>
      </c>
      <c r="Q3">
        <f t="shared" ref="Q3:Q11" si="5">-LN(C3)</f>
        <v>6.1875403718087529E-2</v>
      </c>
    </row>
    <row r="4" spans="1:17" x14ac:dyDescent="0.3">
      <c r="A4" s="25">
        <v>10</v>
      </c>
      <c r="B4" s="25">
        <v>0.81049000000000004</v>
      </c>
      <c r="C4" s="25">
        <v>0.92</v>
      </c>
      <c r="E4" s="25">
        <v>10</v>
      </c>
      <c r="F4">
        <f t="shared" si="0"/>
        <v>33.473236999999997</v>
      </c>
      <c r="G4">
        <f t="shared" si="1"/>
        <v>37.996000000000002</v>
      </c>
      <c r="J4" s="25">
        <v>10</v>
      </c>
      <c r="K4">
        <f t="shared" si="2"/>
        <v>2.9874612963186085E-2</v>
      </c>
      <c r="L4">
        <f t="shared" si="3"/>
        <v>2.6318559848405094E-2</v>
      </c>
      <c r="O4" s="25">
        <v>10</v>
      </c>
      <c r="P4">
        <f t="shared" si="4"/>
        <v>0.21011627594544485</v>
      </c>
      <c r="Q4">
        <f t="shared" si="5"/>
        <v>8.3381608939051013E-2</v>
      </c>
    </row>
    <row r="5" spans="1:17" x14ac:dyDescent="0.3">
      <c r="A5" s="25">
        <v>20</v>
      </c>
      <c r="B5" s="25">
        <v>0.77986999999999995</v>
      </c>
      <c r="C5" s="25">
        <v>0.89449999999999996</v>
      </c>
      <c r="E5" s="25">
        <v>20</v>
      </c>
      <c r="F5">
        <f t="shared" si="0"/>
        <v>32.208630999999997</v>
      </c>
      <c r="G5">
        <f t="shared" si="1"/>
        <v>36.942849999999993</v>
      </c>
      <c r="J5" s="25">
        <v>20</v>
      </c>
      <c r="K5">
        <f t="shared" si="2"/>
        <v>3.1047578520179888E-2</v>
      </c>
      <c r="L5">
        <f t="shared" si="3"/>
        <v>2.7068837406967795E-2</v>
      </c>
      <c r="O5" s="25">
        <v>20</v>
      </c>
      <c r="P5">
        <f t="shared" si="4"/>
        <v>0.24862803985559864</v>
      </c>
      <c r="Q5">
        <f t="shared" si="5"/>
        <v>0.11149037603336324</v>
      </c>
    </row>
    <row r="6" spans="1:17" x14ac:dyDescent="0.3">
      <c r="A6" s="25">
        <v>30</v>
      </c>
      <c r="B6" s="25">
        <v>0.75087999999999999</v>
      </c>
      <c r="C6" s="25">
        <v>0.87265999999999999</v>
      </c>
      <c r="E6" s="25">
        <v>30</v>
      </c>
      <c r="F6">
        <f t="shared" si="0"/>
        <v>31.011343999999998</v>
      </c>
      <c r="G6">
        <f t="shared" si="1"/>
        <v>36.040858</v>
      </c>
      <c r="J6" s="25">
        <v>30</v>
      </c>
      <c r="K6">
        <f t="shared" si="2"/>
        <v>3.2246264463739467E-2</v>
      </c>
      <c r="L6">
        <f t="shared" si="3"/>
        <v>2.7746287283171783E-2</v>
      </c>
      <c r="O6" s="25">
        <v>30</v>
      </c>
      <c r="P6">
        <f t="shared" si="4"/>
        <v>0.28650942693602954</v>
      </c>
      <c r="Q6">
        <f t="shared" si="5"/>
        <v>0.13620926062898614</v>
      </c>
    </row>
    <row r="7" spans="1:17" x14ac:dyDescent="0.3">
      <c r="A7" s="25">
        <v>45</v>
      </c>
      <c r="B7" s="25">
        <v>0.71438000000000001</v>
      </c>
      <c r="C7" s="25">
        <v>0.83521000000000001</v>
      </c>
      <c r="E7" s="25">
        <v>45</v>
      </c>
      <c r="F7">
        <f t="shared" si="0"/>
        <v>29.503893999999999</v>
      </c>
      <c r="G7">
        <f t="shared" si="1"/>
        <v>34.494172999999996</v>
      </c>
      <c r="J7" s="25">
        <v>45</v>
      </c>
      <c r="K7">
        <f t="shared" si="2"/>
        <v>3.3893831099040692E-2</v>
      </c>
      <c r="L7">
        <f t="shared" si="3"/>
        <v>2.8990403683543886E-2</v>
      </c>
      <c r="O7" s="25">
        <v>45</v>
      </c>
      <c r="P7">
        <f t="shared" si="4"/>
        <v>0.33634024533244633</v>
      </c>
      <c r="Q7">
        <f t="shared" si="5"/>
        <v>0.1800720887453641</v>
      </c>
    </row>
    <row r="8" spans="1:17" x14ac:dyDescent="0.3">
      <c r="A8" s="25">
        <v>60</v>
      </c>
      <c r="B8" s="25">
        <v>0.67695000000000005</v>
      </c>
      <c r="C8" s="25">
        <v>0.81599999999999995</v>
      </c>
      <c r="E8" s="25">
        <v>60</v>
      </c>
      <c r="F8">
        <f t="shared" si="0"/>
        <v>27.958034999999999</v>
      </c>
      <c r="G8">
        <f t="shared" si="1"/>
        <v>33.700799999999994</v>
      </c>
      <c r="J8" s="25">
        <v>60</v>
      </c>
      <c r="K8">
        <f t="shared" si="2"/>
        <v>3.5767892843685187E-2</v>
      </c>
      <c r="L8">
        <f t="shared" si="3"/>
        <v>2.9672886103593987E-2</v>
      </c>
      <c r="O8" s="25">
        <v>60</v>
      </c>
      <c r="P8">
        <f t="shared" si="4"/>
        <v>0.3901578640410171</v>
      </c>
      <c r="Q8">
        <f t="shared" si="5"/>
        <v>0.20334092401803011</v>
      </c>
    </row>
    <row r="9" spans="1:17" x14ac:dyDescent="0.3">
      <c r="A9" s="25">
        <v>90</v>
      </c>
      <c r="B9" s="25">
        <v>0.64737999999999996</v>
      </c>
      <c r="C9" s="25">
        <v>0.78568000000000005</v>
      </c>
      <c r="E9" s="25">
        <v>90</v>
      </c>
      <c r="F9">
        <f t="shared" si="0"/>
        <v>26.736793999999996</v>
      </c>
      <c r="G9">
        <f t="shared" si="1"/>
        <v>32.448583999999997</v>
      </c>
      <c r="J9" s="25">
        <v>90</v>
      </c>
      <c r="K9">
        <f t="shared" si="2"/>
        <v>3.7401642096655273E-2</v>
      </c>
      <c r="L9">
        <f t="shared" si="3"/>
        <v>3.0817985770966158E-2</v>
      </c>
      <c r="O9" s="25">
        <v>90</v>
      </c>
      <c r="P9">
        <f t="shared" si="4"/>
        <v>0.4348218307691627</v>
      </c>
      <c r="Q9">
        <f t="shared" si="5"/>
        <v>0.24120569413261819</v>
      </c>
    </row>
    <row r="10" spans="1:17" x14ac:dyDescent="0.3">
      <c r="A10" s="25">
        <v>120</v>
      </c>
      <c r="B10" s="25">
        <v>0.62390999999999996</v>
      </c>
      <c r="C10" s="25">
        <v>0.76236999999999999</v>
      </c>
      <c r="E10" s="25">
        <v>120</v>
      </c>
      <c r="F10">
        <f t="shared" si="0"/>
        <v>25.767482999999995</v>
      </c>
      <c r="G10">
        <f t="shared" si="1"/>
        <v>31.485880999999999</v>
      </c>
      <c r="J10" s="25">
        <v>120</v>
      </c>
      <c r="K10">
        <f t="shared" si="2"/>
        <v>3.8808602299262224E-2</v>
      </c>
      <c r="L10">
        <f t="shared" si="3"/>
        <v>3.176026740366579E-2</v>
      </c>
      <c r="O10" s="25">
        <v>120</v>
      </c>
      <c r="P10">
        <f t="shared" si="4"/>
        <v>0.47174915178419785</v>
      </c>
      <c r="Q10">
        <f t="shared" si="5"/>
        <v>0.27132327683922869</v>
      </c>
    </row>
    <row r="11" spans="1:17" x14ac:dyDescent="0.3">
      <c r="A11" s="25">
        <v>150</v>
      </c>
      <c r="B11" s="25">
        <v>0.57913104000000004</v>
      </c>
      <c r="C11" s="25">
        <v>0.72407999999999995</v>
      </c>
      <c r="E11" s="25">
        <v>150</v>
      </c>
      <c r="F11">
        <f t="shared" si="0"/>
        <v>23.918111952</v>
      </c>
      <c r="G11">
        <f t="shared" si="1"/>
        <v>29.904503999999996</v>
      </c>
      <c r="J11" s="25">
        <v>150</v>
      </c>
      <c r="K11">
        <f t="shared" si="2"/>
        <v>4.180932015063929E-2</v>
      </c>
      <c r="L11">
        <f t="shared" si="3"/>
        <v>3.3439778837328321E-2</v>
      </c>
      <c r="O11" s="25">
        <v>150</v>
      </c>
      <c r="P11">
        <f t="shared" si="4"/>
        <v>0.5462265057724075</v>
      </c>
      <c r="Q11">
        <f t="shared" si="5"/>
        <v>0.32285339546322178</v>
      </c>
    </row>
    <row r="12" spans="1:17" x14ac:dyDescent="0.3">
      <c r="A12" s="25"/>
      <c r="B12" s="25"/>
      <c r="C12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10" zoomScaleNormal="110" workbookViewId="0">
      <selection activeCell="I3" sqref="I3:L10"/>
    </sheetView>
  </sheetViews>
  <sheetFormatPr defaultRowHeight="14.4" x14ac:dyDescent="0.3"/>
  <sheetData>
    <row r="1" spans="1:15" x14ac:dyDescent="0.3">
      <c r="A1" s="2" t="s">
        <v>0</v>
      </c>
      <c r="B1" s="9" t="s">
        <v>11</v>
      </c>
      <c r="C1" s="9" t="s">
        <v>12</v>
      </c>
      <c r="D1" s="9" t="s">
        <v>13</v>
      </c>
      <c r="E1" s="13" t="s">
        <v>0</v>
      </c>
      <c r="F1" s="13" t="s">
        <v>11</v>
      </c>
      <c r="G1" s="13" t="s">
        <v>12</v>
      </c>
      <c r="H1" s="13" t="s">
        <v>13</v>
      </c>
      <c r="I1" s="15" t="s">
        <v>0</v>
      </c>
      <c r="J1" s="15" t="s">
        <v>11</v>
      </c>
      <c r="K1" s="15" t="s">
        <v>12</v>
      </c>
      <c r="L1" s="15" t="s">
        <v>13</v>
      </c>
    </row>
    <row r="2" spans="1:15" x14ac:dyDescent="0.3">
      <c r="A2" s="3" t="s">
        <v>4</v>
      </c>
      <c r="B2" s="9">
        <v>6.99</v>
      </c>
      <c r="C2" s="9">
        <v>6.89</v>
      </c>
      <c r="D2" s="9">
        <v>6.98</v>
      </c>
      <c r="E2" s="13"/>
      <c r="F2" s="13"/>
      <c r="G2" s="13"/>
      <c r="H2" s="13"/>
      <c r="I2" s="15"/>
      <c r="J2" s="15"/>
      <c r="K2" s="15"/>
      <c r="L2" s="15"/>
    </row>
    <row r="3" spans="1:15" x14ac:dyDescent="0.3">
      <c r="A3">
        <v>-30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1</v>
      </c>
      <c r="K3">
        <v>1</v>
      </c>
      <c r="L3">
        <v>1</v>
      </c>
    </row>
    <row r="4" spans="1:15" x14ac:dyDescent="0.3">
      <c r="A4" s="2">
        <v>0</v>
      </c>
      <c r="B4" s="9">
        <v>0</v>
      </c>
      <c r="C4" s="9">
        <v>0</v>
      </c>
      <c r="D4" s="9">
        <v>0</v>
      </c>
      <c r="E4" s="13">
        <v>0</v>
      </c>
      <c r="F4" s="10">
        <v>0</v>
      </c>
      <c r="G4" s="10">
        <v>0</v>
      </c>
      <c r="H4" s="10">
        <v>0</v>
      </c>
      <c r="I4" s="11">
        <v>0</v>
      </c>
      <c r="J4" s="11">
        <v>1</v>
      </c>
      <c r="K4" s="11">
        <v>1</v>
      </c>
      <c r="L4" s="11">
        <v>1</v>
      </c>
      <c r="M4" s="19">
        <v>0</v>
      </c>
      <c r="N4" s="19">
        <v>0</v>
      </c>
      <c r="O4" s="19">
        <v>0</v>
      </c>
    </row>
    <row r="5" spans="1:15" x14ac:dyDescent="0.3">
      <c r="A5" s="2">
        <v>5</v>
      </c>
      <c r="B5" s="9">
        <v>1.9419999999999999</v>
      </c>
      <c r="C5" s="9">
        <v>1.702</v>
      </c>
      <c r="D5" s="9">
        <v>1.877</v>
      </c>
      <c r="E5" s="13">
        <v>5</v>
      </c>
      <c r="F5" s="10">
        <f>B5/0.0524</f>
        <v>37.061068702290072</v>
      </c>
      <c r="G5" s="10">
        <f>C5/0.0524</f>
        <v>32.480916030534353</v>
      </c>
      <c r="H5" s="10">
        <f>D5/0.0524</f>
        <v>35.820610687022899</v>
      </c>
      <c r="I5" s="11">
        <v>5</v>
      </c>
      <c r="J5" s="11">
        <f>F5/41.22</f>
        <v>0.8991040442088809</v>
      </c>
      <c r="K5" s="11">
        <f>G5/41.22</f>
        <v>0.78798922927060533</v>
      </c>
      <c r="L5" s="11">
        <f>H5/41.22</f>
        <v>0.86901044849643139</v>
      </c>
      <c r="M5" s="18">
        <f>((41.22-F5)/42.11)*100</f>
        <v>9.8763507426025345</v>
      </c>
      <c r="N5" s="18">
        <f>((41.22-G5)/42.11)*100</f>
        <v>20.752989716137847</v>
      </c>
      <c r="O5" s="18">
        <f>((41.22-H5)/42.11)*100</f>
        <v>12.822107131268343</v>
      </c>
    </row>
    <row r="6" spans="1:15" x14ac:dyDescent="0.3">
      <c r="A6" s="2">
        <v>10</v>
      </c>
      <c r="B6" s="9">
        <v>1.8720000000000001</v>
      </c>
      <c r="C6" s="9">
        <v>1.5469999999999999</v>
      </c>
      <c r="D6" s="9">
        <v>1.7310000000000001</v>
      </c>
      <c r="E6" s="13">
        <v>10</v>
      </c>
      <c r="F6" s="10">
        <f t="shared" ref="F6:H10" si="0">B6/0.0524</f>
        <v>35.725190839694655</v>
      </c>
      <c r="G6" s="10">
        <f t="shared" si="0"/>
        <v>29.522900763358777</v>
      </c>
      <c r="H6" s="10">
        <f t="shared" si="0"/>
        <v>33.034351145038165</v>
      </c>
      <c r="I6" s="11">
        <v>10</v>
      </c>
      <c r="J6" s="11">
        <f t="shared" ref="J6:L10" si="1">F6/41.22</f>
        <v>0.86669555651855057</v>
      </c>
      <c r="K6" s="11">
        <f t="shared" si="1"/>
        <v>0.71622757795630221</v>
      </c>
      <c r="L6" s="11">
        <f t="shared" si="1"/>
        <v>0.8014156027423136</v>
      </c>
      <c r="M6" s="18">
        <f t="shared" ref="M6:O10" si="2">((41.22-F6)/42.11)*100</f>
        <v>13.04870377655033</v>
      </c>
      <c r="N6" s="18">
        <f t="shared" si="2"/>
        <v>27.777485719879415</v>
      </c>
      <c r="O6" s="18">
        <f t="shared" si="2"/>
        <v>19.438729173502338</v>
      </c>
    </row>
    <row r="7" spans="1:15" x14ac:dyDescent="0.3">
      <c r="A7" s="2">
        <v>20</v>
      </c>
      <c r="B7" s="9">
        <v>1.782</v>
      </c>
      <c r="C7" s="9">
        <v>1.405</v>
      </c>
      <c r="D7" s="9">
        <v>1.6140000000000001</v>
      </c>
      <c r="E7" s="13">
        <v>20</v>
      </c>
      <c r="F7" s="10">
        <f t="shared" si="0"/>
        <v>34.007633587786259</v>
      </c>
      <c r="G7" s="10">
        <f t="shared" si="0"/>
        <v>26.81297709923664</v>
      </c>
      <c r="H7" s="10">
        <f t="shared" si="0"/>
        <v>30.801526717557252</v>
      </c>
      <c r="I7" s="11">
        <v>20</v>
      </c>
      <c r="J7" s="11">
        <f t="shared" si="1"/>
        <v>0.82502750091669719</v>
      </c>
      <c r="K7" s="11">
        <f t="shared" si="1"/>
        <v>0.65048464578448906</v>
      </c>
      <c r="L7" s="11">
        <f t="shared" si="1"/>
        <v>0.74724713045990421</v>
      </c>
      <c r="M7" s="18">
        <f t="shared" si="2"/>
        <v>17.127443391626073</v>
      </c>
      <c r="N7" s="18">
        <f t="shared" si="2"/>
        <v>34.212830445887818</v>
      </c>
      <c r="O7" s="18">
        <f t="shared" si="2"/>
        <v>24.741090673100803</v>
      </c>
    </row>
    <row r="8" spans="1:15" x14ac:dyDescent="0.3">
      <c r="A8" s="2">
        <v>30</v>
      </c>
      <c r="B8" s="9">
        <v>1.704</v>
      </c>
      <c r="C8" s="9">
        <v>1.341</v>
      </c>
      <c r="D8" s="9">
        <v>1.5109999999999999</v>
      </c>
      <c r="E8" s="13">
        <v>30</v>
      </c>
      <c r="F8" s="10">
        <f t="shared" si="0"/>
        <v>32.519083969465647</v>
      </c>
      <c r="G8" s="10">
        <f t="shared" si="0"/>
        <v>25.591603053435112</v>
      </c>
      <c r="H8" s="10">
        <f t="shared" si="0"/>
        <v>28.835877862595417</v>
      </c>
      <c r="I8" s="11">
        <v>30</v>
      </c>
      <c r="J8" s="11">
        <f t="shared" si="1"/>
        <v>0.78891518606175759</v>
      </c>
      <c r="K8" s="11">
        <f t="shared" si="1"/>
        <v>0.6208540284676155</v>
      </c>
      <c r="L8" s="11">
        <f t="shared" si="1"/>
        <v>0.69956035571556086</v>
      </c>
      <c r="M8" s="18">
        <f t="shared" si="2"/>
        <v>20.66235105802506</v>
      </c>
      <c r="N8" s="18">
        <f t="shared" si="2"/>
        <v>37.113267505497241</v>
      </c>
      <c r="O8" s="18">
        <f t="shared" si="2"/>
        <v>29.408981565909713</v>
      </c>
    </row>
    <row r="9" spans="1:15" x14ac:dyDescent="0.3">
      <c r="A9" s="2">
        <v>45</v>
      </c>
      <c r="B9" s="9">
        <v>1.6339999999999999</v>
      </c>
      <c r="C9" s="9">
        <v>1.254</v>
      </c>
      <c r="D9" s="9">
        <v>1.43</v>
      </c>
      <c r="E9" s="13">
        <v>45</v>
      </c>
      <c r="F9" s="10">
        <f t="shared" si="0"/>
        <v>31.183206106870227</v>
      </c>
      <c r="G9" s="10">
        <f t="shared" si="0"/>
        <v>23.931297709923662</v>
      </c>
      <c r="H9" s="10">
        <f t="shared" si="0"/>
        <v>27.29007633587786</v>
      </c>
      <c r="I9" s="11">
        <v>45</v>
      </c>
      <c r="J9" s="11">
        <f t="shared" si="1"/>
        <v>0.75650669837142714</v>
      </c>
      <c r="K9" s="11">
        <f t="shared" si="1"/>
        <v>0.58057490805249057</v>
      </c>
      <c r="L9" s="11">
        <f t="shared" si="1"/>
        <v>0.66205910567389281</v>
      </c>
      <c r="M9" s="18">
        <f t="shared" si="2"/>
        <v>23.834704091972863</v>
      </c>
      <c r="N9" s="18">
        <f t="shared" si="2"/>
        <v>41.056049133403796</v>
      </c>
      <c r="O9" s="18">
        <f t="shared" si="2"/>
        <v>33.079847219477884</v>
      </c>
    </row>
    <row r="10" spans="1:15" x14ac:dyDescent="0.3">
      <c r="A10" s="2">
        <v>60</v>
      </c>
      <c r="B10" s="9">
        <v>1.5409999999999999</v>
      </c>
      <c r="C10" s="9">
        <v>1.181</v>
      </c>
      <c r="D10" s="9">
        <v>1.341</v>
      </c>
      <c r="E10" s="13">
        <v>60</v>
      </c>
      <c r="F10" s="10">
        <f t="shared" si="0"/>
        <v>29.408396946564881</v>
      </c>
      <c r="G10" s="10">
        <f t="shared" si="0"/>
        <v>22.538167938931299</v>
      </c>
      <c r="H10" s="10">
        <f t="shared" si="0"/>
        <v>25.591603053435112</v>
      </c>
      <c r="I10" s="11">
        <v>60</v>
      </c>
      <c r="J10" s="11">
        <f t="shared" si="1"/>
        <v>0.71344970758284532</v>
      </c>
      <c r="K10" s="11">
        <f t="shared" si="1"/>
        <v>0.54677748517543179</v>
      </c>
      <c r="L10" s="11">
        <f t="shared" si="1"/>
        <v>0.6208540284676155</v>
      </c>
      <c r="M10" s="20">
        <f t="shared" si="2"/>
        <v>28.049401694217806</v>
      </c>
      <c r="N10" s="20">
        <f t="shared" si="2"/>
        <v>44.364360154520782</v>
      </c>
      <c r="O10" s="20">
        <f t="shared" si="2"/>
        <v>37.113267505497241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E13" sqref="E13"/>
    </sheetView>
  </sheetViews>
  <sheetFormatPr defaultRowHeight="14.4" x14ac:dyDescent="0.3"/>
  <sheetData>
    <row r="1" spans="1:16" x14ac:dyDescent="0.3">
      <c r="A1" s="2" t="s">
        <v>0</v>
      </c>
      <c r="B1" s="9" t="s">
        <v>13</v>
      </c>
      <c r="C1" s="9" t="s">
        <v>12</v>
      </c>
      <c r="D1" s="9" t="s">
        <v>11</v>
      </c>
      <c r="E1" s="10" t="s">
        <v>0</v>
      </c>
      <c r="F1" s="10" t="s">
        <v>13</v>
      </c>
      <c r="G1" s="10" t="s">
        <v>12</v>
      </c>
      <c r="H1" s="10" t="s">
        <v>11</v>
      </c>
      <c r="I1" s="11" t="s">
        <v>0</v>
      </c>
      <c r="J1" s="11" t="s">
        <v>13</v>
      </c>
      <c r="K1" s="11" t="s">
        <v>12</v>
      </c>
      <c r="L1" s="11" t="s">
        <v>11</v>
      </c>
      <c r="M1" s="17" t="s">
        <v>0</v>
      </c>
      <c r="N1" s="17" t="s">
        <v>13</v>
      </c>
      <c r="O1" s="17" t="s">
        <v>12</v>
      </c>
      <c r="P1" s="17" t="s">
        <v>11</v>
      </c>
    </row>
    <row r="2" spans="1:16" x14ac:dyDescent="0.3">
      <c r="A2" s="3" t="s">
        <v>4</v>
      </c>
      <c r="B2" s="9">
        <v>7.08</v>
      </c>
      <c r="C2" s="9">
        <v>7.04</v>
      </c>
      <c r="D2" s="9">
        <v>7.01</v>
      </c>
      <c r="E2" s="10" t="s">
        <v>4</v>
      </c>
      <c r="F2" s="10"/>
      <c r="G2" s="10"/>
      <c r="H2" s="10"/>
      <c r="I2" s="11" t="s">
        <v>4</v>
      </c>
      <c r="J2" s="11"/>
      <c r="K2" s="11"/>
      <c r="L2" s="11"/>
      <c r="M2" s="17" t="s">
        <v>4</v>
      </c>
      <c r="N2" s="17"/>
      <c r="O2" s="17"/>
      <c r="P2" s="17"/>
    </row>
    <row r="3" spans="1:16" x14ac:dyDescent="0.3">
      <c r="A3" s="21">
        <v>-30</v>
      </c>
      <c r="B3" s="21">
        <v>0</v>
      </c>
      <c r="C3" s="21">
        <v>0</v>
      </c>
      <c r="D3" s="21">
        <v>0</v>
      </c>
      <c r="E3" s="21">
        <v>-30</v>
      </c>
      <c r="F3" s="21">
        <v>0</v>
      </c>
      <c r="G3" s="21">
        <v>0</v>
      </c>
      <c r="H3" s="21">
        <v>0</v>
      </c>
      <c r="I3" s="21">
        <v>-30</v>
      </c>
      <c r="J3" s="21">
        <v>1</v>
      </c>
      <c r="K3" s="21">
        <v>1</v>
      </c>
      <c r="L3" s="21">
        <v>1</v>
      </c>
      <c r="M3" s="21">
        <v>-30</v>
      </c>
      <c r="N3" s="21">
        <v>0</v>
      </c>
      <c r="O3" s="21">
        <v>0</v>
      </c>
      <c r="P3" s="21">
        <v>0</v>
      </c>
    </row>
    <row r="4" spans="1:16" x14ac:dyDescent="0.3">
      <c r="A4" s="2">
        <v>0</v>
      </c>
      <c r="B4" s="9">
        <v>0</v>
      </c>
      <c r="C4" s="9">
        <v>0</v>
      </c>
      <c r="D4" s="9">
        <v>0</v>
      </c>
      <c r="E4" s="10">
        <v>0</v>
      </c>
      <c r="F4" s="10">
        <v>0</v>
      </c>
      <c r="G4" s="10">
        <v>0</v>
      </c>
      <c r="H4" s="10">
        <v>0</v>
      </c>
      <c r="I4" s="11">
        <v>0</v>
      </c>
      <c r="J4" s="11">
        <v>1</v>
      </c>
      <c r="K4" s="11">
        <v>1</v>
      </c>
      <c r="L4" s="11">
        <v>1</v>
      </c>
      <c r="M4" s="17">
        <v>0</v>
      </c>
      <c r="N4" s="17">
        <v>0</v>
      </c>
      <c r="O4" s="17">
        <v>0</v>
      </c>
      <c r="P4" s="17">
        <v>0</v>
      </c>
    </row>
    <row r="5" spans="1:16" x14ac:dyDescent="0.3">
      <c r="A5" s="2">
        <v>5</v>
      </c>
      <c r="B5" s="9">
        <v>1.742</v>
      </c>
      <c r="C5" s="9">
        <v>1.6639999999999999</v>
      </c>
      <c r="D5" s="9">
        <v>1.841</v>
      </c>
      <c r="E5" s="10">
        <v>5</v>
      </c>
      <c r="F5" s="10">
        <f>B5/0.0524</f>
        <v>33.244274809160302</v>
      </c>
      <c r="G5" s="10">
        <f>C5/0.0524</f>
        <v>31.755725190839691</v>
      </c>
      <c r="H5" s="10">
        <f>D5/0.0524</f>
        <v>35.13358778625954</v>
      </c>
      <c r="I5" s="11">
        <v>5</v>
      </c>
      <c r="J5" s="11">
        <f>F5/41.22</f>
        <v>0.8065083650936512</v>
      </c>
      <c r="K5" s="11">
        <f>G5/41.22</f>
        <v>0.7703960502387116</v>
      </c>
      <c r="L5" s="11">
        <f>H5/41.22</f>
        <v>0.85234322625568992</v>
      </c>
      <c r="M5" s="17">
        <v>5</v>
      </c>
      <c r="N5" s="17">
        <f>((41.22-F5)/42.11)*100</f>
        <v>18.940216553881971</v>
      </c>
      <c r="O5" s="17">
        <f>((41.22-G5)/42.11)*100</f>
        <v>22.47512422028095</v>
      </c>
      <c r="P5" s="17">
        <f>((41.22-H5)/42.11)*100</f>
        <v>14.453602977298644</v>
      </c>
    </row>
    <row r="6" spans="1:16" x14ac:dyDescent="0.3">
      <c r="A6" s="2">
        <v>10</v>
      </c>
      <c r="B6" s="9">
        <v>1.647</v>
      </c>
      <c r="C6" s="9">
        <v>1.5009999999999999</v>
      </c>
      <c r="D6" s="9">
        <v>1.7809999999999999</v>
      </c>
      <c r="E6" s="10">
        <v>10</v>
      </c>
      <c r="F6" s="10">
        <f t="shared" ref="F6:F10" si="0">B6/0.0524</f>
        <v>31.431297709923662</v>
      </c>
      <c r="G6" s="10">
        <f t="shared" ref="G6:G10" si="1">C6/0.0524</f>
        <v>28.645038167938928</v>
      </c>
      <c r="H6" s="10">
        <f t="shared" ref="H6:H10" si="2">D6/0.0524</f>
        <v>33.988549618320604</v>
      </c>
      <c r="I6" s="11">
        <v>10</v>
      </c>
      <c r="J6" s="11">
        <f t="shared" ref="J6:J10" si="3">F6/41.22</f>
        <v>0.76252541751391711</v>
      </c>
      <c r="K6" s="11">
        <f t="shared" ref="K6:K10" si="4">G6/41.22</f>
        <v>0.69493057175979933</v>
      </c>
      <c r="L6" s="11">
        <f t="shared" ref="L6:L10" si="5">H6/41.22</f>
        <v>0.82456452252112089</v>
      </c>
      <c r="M6" s="17">
        <v>10</v>
      </c>
      <c r="N6" s="17">
        <f t="shared" ref="N6:N10" si="6">((41.22-F6)/42.11)*100</f>
        <v>23.245552814239698</v>
      </c>
      <c r="O6" s="17">
        <f t="shared" ref="O6:O10" si="7">((41.22-G6)/42.11)*100</f>
        <v>29.86217485647369</v>
      </c>
      <c r="P6" s="17">
        <f t="shared" ref="P6:P10" si="8">((41.22-H6)/42.11)*100</f>
        <v>17.172762720682485</v>
      </c>
    </row>
    <row r="7" spans="1:16" x14ac:dyDescent="0.3">
      <c r="A7" s="2">
        <v>20</v>
      </c>
      <c r="B7" s="9">
        <v>1.528</v>
      </c>
      <c r="C7" s="9">
        <v>1.3839999999999999</v>
      </c>
      <c r="D7" s="9">
        <v>1.708</v>
      </c>
      <c r="E7" s="10">
        <v>20</v>
      </c>
      <c r="F7" s="10">
        <f t="shared" si="0"/>
        <v>29.16030534351145</v>
      </c>
      <c r="G7" s="10">
        <f t="shared" si="1"/>
        <v>26.412213740458011</v>
      </c>
      <c r="H7" s="10">
        <f t="shared" si="2"/>
        <v>32.595419847328245</v>
      </c>
      <c r="I7" s="11">
        <v>20</v>
      </c>
      <c r="J7" s="11">
        <f t="shared" si="3"/>
        <v>0.70743098844035546</v>
      </c>
      <c r="K7" s="11">
        <f t="shared" si="4"/>
        <v>0.64076209947738993</v>
      </c>
      <c r="L7" s="11">
        <f t="shared" si="5"/>
        <v>0.79076709964406222</v>
      </c>
      <c r="M7" s="17">
        <v>20</v>
      </c>
      <c r="N7" s="17">
        <f t="shared" si="6"/>
        <v>28.638552971950958</v>
      </c>
      <c r="O7" s="17">
        <f t="shared" si="7"/>
        <v>35.164536356072162</v>
      </c>
      <c r="P7" s="17">
        <f t="shared" si="8"/>
        <v>20.481073741799463</v>
      </c>
    </row>
    <row r="8" spans="1:16" x14ac:dyDescent="0.3">
      <c r="A8" s="2">
        <v>30</v>
      </c>
      <c r="B8" s="9">
        <v>1.405</v>
      </c>
      <c r="C8" s="9">
        <v>1.294</v>
      </c>
      <c r="D8" s="9">
        <v>1.6220000000000001</v>
      </c>
      <c r="E8" s="10">
        <v>30</v>
      </c>
      <c r="F8" s="10">
        <f t="shared" si="0"/>
        <v>26.81297709923664</v>
      </c>
      <c r="G8" s="10">
        <f t="shared" si="1"/>
        <v>24.694656488549619</v>
      </c>
      <c r="H8" s="10">
        <f t="shared" si="2"/>
        <v>30.954198473282442</v>
      </c>
      <c r="I8" s="11">
        <v>30</v>
      </c>
      <c r="J8" s="11">
        <f t="shared" si="3"/>
        <v>0.65048464578448906</v>
      </c>
      <c r="K8" s="11">
        <f t="shared" si="4"/>
        <v>0.59909404387553666</v>
      </c>
      <c r="L8" s="11">
        <f t="shared" si="5"/>
        <v>0.75095095762451347</v>
      </c>
      <c r="M8" s="17">
        <v>30</v>
      </c>
      <c r="N8" s="17">
        <f t="shared" si="6"/>
        <v>34.212830445887818</v>
      </c>
      <c r="O8" s="17">
        <f t="shared" si="7"/>
        <v>39.243275971147902</v>
      </c>
      <c r="P8" s="17">
        <f t="shared" si="8"/>
        <v>24.378536040649625</v>
      </c>
    </row>
    <row r="9" spans="1:16" x14ac:dyDescent="0.3">
      <c r="A9" s="2">
        <v>45</v>
      </c>
      <c r="B9" s="9">
        <v>1.304</v>
      </c>
      <c r="C9" s="9">
        <v>1.1910000000000001</v>
      </c>
      <c r="D9" s="9">
        <v>1.508</v>
      </c>
      <c r="E9" s="10">
        <v>45</v>
      </c>
      <c r="F9" s="10">
        <f t="shared" si="0"/>
        <v>24.885496183206108</v>
      </c>
      <c r="G9" s="10">
        <f t="shared" si="1"/>
        <v>22.729007633587788</v>
      </c>
      <c r="H9" s="10">
        <f t="shared" si="2"/>
        <v>28.778625954198471</v>
      </c>
      <c r="I9" s="11">
        <v>45</v>
      </c>
      <c r="J9" s="11">
        <f t="shared" si="3"/>
        <v>0.60372382783129808</v>
      </c>
      <c r="K9" s="11">
        <f t="shared" si="4"/>
        <v>0.55140726913119331</v>
      </c>
      <c r="L9" s="11">
        <f t="shared" si="5"/>
        <v>0.69817142052883241</v>
      </c>
      <c r="M9" s="17">
        <v>45</v>
      </c>
      <c r="N9" s="17">
        <f t="shared" si="6"/>
        <v>38.790082680583929</v>
      </c>
      <c r="O9" s="17">
        <f t="shared" si="7"/>
        <v>43.911166863956808</v>
      </c>
      <c r="P9" s="17">
        <f t="shared" si="8"/>
        <v>29.544939553078908</v>
      </c>
    </row>
    <row r="10" spans="1:16" x14ac:dyDescent="0.3">
      <c r="A10" s="2">
        <v>60</v>
      </c>
      <c r="B10" s="9">
        <v>1.212</v>
      </c>
      <c r="C10" s="9">
        <v>1.1060000000000001</v>
      </c>
      <c r="D10" s="9">
        <v>1.4430000000000001</v>
      </c>
      <c r="E10" s="10">
        <v>60</v>
      </c>
      <c r="F10" s="10">
        <f t="shared" si="0"/>
        <v>23.12977099236641</v>
      </c>
      <c r="G10" s="10">
        <f t="shared" si="1"/>
        <v>21.106870229007633</v>
      </c>
      <c r="H10" s="10">
        <f t="shared" si="2"/>
        <v>27.538167938931299</v>
      </c>
      <c r="I10" s="11">
        <v>60</v>
      </c>
      <c r="J10" s="11">
        <f t="shared" si="3"/>
        <v>0.56112981543829232</v>
      </c>
      <c r="K10" s="11">
        <f t="shared" si="4"/>
        <v>0.51205410550722064</v>
      </c>
      <c r="L10" s="11">
        <f t="shared" si="5"/>
        <v>0.66807782481638278</v>
      </c>
      <c r="M10" s="21">
        <v>60</v>
      </c>
      <c r="N10" s="21">
        <f t="shared" si="6"/>
        <v>42.959460953772478</v>
      </c>
      <c r="O10" s="21">
        <f t="shared" si="7"/>
        <v>47.763309833750576</v>
      </c>
      <c r="P10" s="21">
        <f t="shared" si="8"/>
        <v>32.490695941744718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4" sqref="I4:L10"/>
    </sheetView>
  </sheetViews>
  <sheetFormatPr defaultRowHeight="14.4" x14ac:dyDescent="0.3"/>
  <sheetData>
    <row r="1" spans="1:15" x14ac:dyDescent="0.3">
      <c r="A1" s="2" t="s">
        <v>0</v>
      </c>
      <c r="B1" s="9" t="s">
        <v>11</v>
      </c>
      <c r="C1" s="9" t="s">
        <v>12</v>
      </c>
      <c r="D1" s="9" t="s">
        <v>13</v>
      </c>
      <c r="E1" s="10" t="s">
        <v>0</v>
      </c>
      <c r="F1" s="10" t="s">
        <v>11</v>
      </c>
      <c r="G1" s="10" t="s">
        <v>12</v>
      </c>
      <c r="H1" s="10" t="s">
        <v>13</v>
      </c>
      <c r="I1" s="11" t="s">
        <v>0</v>
      </c>
      <c r="J1" s="11" t="s">
        <v>11</v>
      </c>
      <c r="K1" s="11" t="s">
        <v>12</v>
      </c>
      <c r="L1" s="11" t="s">
        <v>13</v>
      </c>
    </row>
    <row r="2" spans="1:15" x14ac:dyDescent="0.3">
      <c r="A2" s="3" t="s">
        <v>4</v>
      </c>
      <c r="B2" s="9">
        <v>6.98</v>
      </c>
      <c r="C2" s="9">
        <v>6.91</v>
      </c>
      <c r="D2" s="9">
        <v>6.89</v>
      </c>
      <c r="E2" s="10" t="s">
        <v>4</v>
      </c>
      <c r="F2" s="10"/>
      <c r="G2" s="10"/>
      <c r="H2" s="10"/>
      <c r="I2" s="11" t="s">
        <v>4</v>
      </c>
      <c r="J2" s="11"/>
      <c r="K2" s="11"/>
      <c r="L2" s="11"/>
      <c r="N2" t="s">
        <v>22</v>
      </c>
    </row>
    <row r="3" spans="1:15" x14ac:dyDescent="0.3">
      <c r="A3" s="20">
        <v>-30</v>
      </c>
      <c r="B3" s="20">
        <v>0</v>
      </c>
      <c r="C3" s="20">
        <v>0</v>
      </c>
      <c r="D3" s="20">
        <v>0</v>
      </c>
      <c r="E3" s="20">
        <v>-30</v>
      </c>
      <c r="F3" s="20">
        <v>0</v>
      </c>
      <c r="G3" s="20">
        <v>0</v>
      </c>
      <c r="H3" s="20">
        <v>0</v>
      </c>
      <c r="I3" s="20">
        <v>-30</v>
      </c>
      <c r="J3" s="20">
        <v>1</v>
      </c>
      <c r="K3" s="20">
        <v>1</v>
      </c>
      <c r="L3" s="20">
        <v>1</v>
      </c>
      <c r="M3" s="20">
        <v>0</v>
      </c>
      <c r="N3" s="20">
        <v>0</v>
      </c>
      <c r="O3" s="20">
        <v>0</v>
      </c>
    </row>
    <row r="4" spans="1:15" x14ac:dyDescent="0.3">
      <c r="A4" s="2">
        <v>0</v>
      </c>
      <c r="B4" s="9">
        <v>0</v>
      </c>
      <c r="C4" s="9">
        <v>0</v>
      </c>
      <c r="D4" s="9">
        <v>0</v>
      </c>
      <c r="E4" s="10">
        <v>0</v>
      </c>
      <c r="F4" s="10">
        <v>0</v>
      </c>
      <c r="G4" s="10">
        <v>0</v>
      </c>
      <c r="H4" s="10">
        <v>0</v>
      </c>
      <c r="I4" s="11">
        <v>0</v>
      </c>
      <c r="J4" s="11">
        <v>1</v>
      </c>
      <c r="K4" s="11">
        <v>1</v>
      </c>
      <c r="L4" s="11">
        <v>1</v>
      </c>
      <c r="M4" s="19">
        <v>0</v>
      </c>
      <c r="N4" s="19">
        <v>0</v>
      </c>
      <c r="O4" s="19">
        <v>0</v>
      </c>
    </row>
    <row r="5" spans="1:15" x14ac:dyDescent="0.3">
      <c r="A5" s="2">
        <v>5</v>
      </c>
      <c r="B5" s="9">
        <v>2.044</v>
      </c>
      <c r="C5" s="9">
        <v>1.8109999999999999</v>
      </c>
      <c r="D5" s="9">
        <v>1.921</v>
      </c>
      <c r="E5" s="10">
        <v>5</v>
      </c>
      <c r="F5" s="10">
        <f>B5/0.0524</f>
        <v>39.007633587786259</v>
      </c>
      <c r="G5" s="10">
        <f>C5/0.0524</f>
        <v>34.561068702290072</v>
      </c>
      <c r="H5" s="10">
        <f>D5/0.0524</f>
        <v>36.660305343511453</v>
      </c>
      <c r="I5" s="11">
        <v>5</v>
      </c>
      <c r="J5" s="11">
        <f>F5/41.22</f>
        <v>0.94632784055764818</v>
      </c>
      <c r="K5" s="11">
        <f>G5/41.22</f>
        <v>0.83845387438840546</v>
      </c>
      <c r="L5" s="11">
        <f>H5/41.22</f>
        <v>0.889381497901782</v>
      </c>
      <c r="M5" s="18">
        <f>((41.22-F5)/42.11)*100</f>
        <v>5.253779178850011</v>
      </c>
      <c r="N5" s="18">
        <f>((41.22-G5)/42.11)*100</f>
        <v>15.813182848990564</v>
      </c>
      <c r="O5" s="18">
        <f>((41.22-H5)/42.11)*100</f>
        <v>10.828056652786858</v>
      </c>
    </row>
    <row r="6" spans="1:15" x14ac:dyDescent="0.3">
      <c r="A6" s="2">
        <v>10</v>
      </c>
      <c r="B6" s="9">
        <v>1.9870000000000001</v>
      </c>
      <c r="C6" s="9">
        <v>1.724</v>
      </c>
      <c r="D6" s="9">
        <v>1.8440000000000001</v>
      </c>
      <c r="E6" s="10">
        <v>10</v>
      </c>
      <c r="F6" s="10">
        <f t="shared" ref="F6:F10" si="0">B6/0.0524</f>
        <v>37.919847328244273</v>
      </c>
      <c r="G6" s="10">
        <f t="shared" ref="G6:G10" si="1">C6/0.0524</f>
        <v>32.900763358778626</v>
      </c>
      <c r="H6" s="10">
        <f t="shared" ref="H6:H10" si="2">D6/0.0524</f>
        <v>35.190839694656489</v>
      </c>
      <c r="I6" s="11">
        <v>10</v>
      </c>
      <c r="J6" s="11">
        <f t="shared" ref="J6:J10" si="3">F6/41.22</f>
        <v>0.91993807200980771</v>
      </c>
      <c r="K6" s="11">
        <f t="shared" ref="K6:K10" si="4">G6/41.22</f>
        <v>0.79817475397328064</v>
      </c>
      <c r="L6" s="11">
        <f t="shared" ref="L6:L10" si="5">H6/41.22</f>
        <v>0.85373216144241848</v>
      </c>
      <c r="M6" s="18">
        <f t="shared" ref="M6:M10" si="6">((41.22-F6)/42.11)*100</f>
        <v>7.8369809350646538</v>
      </c>
      <c r="N6" s="18">
        <f t="shared" ref="N6:N10" si="7">((41.22-G6)/42.11)*100</f>
        <v>19.755964476897109</v>
      </c>
      <c r="O6" s="18">
        <f t="shared" ref="O6:O10" si="8">((41.22-H6)/42.11)*100</f>
        <v>14.317644990129446</v>
      </c>
    </row>
    <row r="7" spans="1:15" x14ac:dyDescent="0.3">
      <c r="A7" s="2">
        <v>20</v>
      </c>
      <c r="B7" s="9">
        <v>1.8420000000000001</v>
      </c>
      <c r="C7" s="9">
        <v>1.631</v>
      </c>
      <c r="D7" s="9">
        <v>1.7509999999999999</v>
      </c>
      <c r="E7" s="10">
        <v>20</v>
      </c>
      <c r="F7" s="10">
        <f t="shared" si="0"/>
        <v>35.152671755725194</v>
      </c>
      <c r="G7" s="10">
        <f t="shared" si="1"/>
        <v>31.125954198473281</v>
      </c>
      <c r="H7" s="10">
        <f t="shared" si="2"/>
        <v>33.416030534351144</v>
      </c>
      <c r="I7" s="11">
        <v>20</v>
      </c>
      <c r="J7" s="11">
        <f t="shared" si="3"/>
        <v>0.85280620465126622</v>
      </c>
      <c r="K7" s="11">
        <f t="shared" si="4"/>
        <v>0.7551177631846987</v>
      </c>
      <c r="L7" s="11">
        <f t="shared" si="5"/>
        <v>0.81067517065383665</v>
      </c>
      <c r="M7" s="18">
        <f t="shared" si="6"/>
        <v>14.408283648242234</v>
      </c>
      <c r="N7" s="18">
        <f t="shared" si="7"/>
        <v>23.970662079142052</v>
      </c>
      <c r="O7" s="18">
        <f t="shared" si="8"/>
        <v>18.532342592374388</v>
      </c>
    </row>
    <row r="8" spans="1:15" x14ac:dyDescent="0.3">
      <c r="A8" s="2">
        <v>30</v>
      </c>
      <c r="B8" s="9">
        <v>1.764</v>
      </c>
      <c r="C8" s="9">
        <v>1.522</v>
      </c>
      <c r="D8" s="9">
        <v>1.6419999999999999</v>
      </c>
      <c r="E8" s="10">
        <v>30</v>
      </c>
      <c r="F8" s="10">
        <f t="shared" si="0"/>
        <v>33.664122137404576</v>
      </c>
      <c r="G8" s="10">
        <f t="shared" si="1"/>
        <v>29.045801526717558</v>
      </c>
      <c r="H8" s="10">
        <f t="shared" si="2"/>
        <v>31.335877862595417</v>
      </c>
      <c r="I8" s="11">
        <v>30</v>
      </c>
      <c r="J8" s="11">
        <f t="shared" si="3"/>
        <v>0.81669388979632651</v>
      </c>
      <c r="K8" s="11">
        <f t="shared" si="4"/>
        <v>0.70465311806689856</v>
      </c>
      <c r="L8" s="11">
        <f t="shared" si="5"/>
        <v>0.7602105255360363</v>
      </c>
      <c r="M8" s="18">
        <f t="shared" si="6"/>
        <v>17.943191314641233</v>
      </c>
      <c r="N8" s="18">
        <f t="shared" si="7"/>
        <v>28.910468946289342</v>
      </c>
      <c r="O8" s="18">
        <f t="shared" si="8"/>
        <v>23.472149459521685</v>
      </c>
    </row>
    <row r="9" spans="1:15" x14ac:dyDescent="0.3">
      <c r="A9" s="2">
        <v>45</v>
      </c>
      <c r="B9" s="9">
        <v>1.704</v>
      </c>
      <c r="C9" s="9">
        <v>1.444</v>
      </c>
      <c r="D9" s="9">
        <v>1.554</v>
      </c>
      <c r="E9" s="10">
        <v>45</v>
      </c>
      <c r="F9" s="10">
        <f t="shared" si="0"/>
        <v>32.519083969465647</v>
      </c>
      <c r="G9" s="10">
        <f t="shared" si="1"/>
        <v>27.557251908396946</v>
      </c>
      <c r="H9" s="10">
        <f t="shared" si="2"/>
        <v>29.65648854961832</v>
      </c>
      <c r="I9" s="11">
        <v>45</v>
      </c>
      <c r="J9" s="11">
        <f t="shared" si="3"/>
        <v>0.78891518606175759</v>
      </c>
      <c r="K9" s="11">
        <f t="shared" si="4"/>
        <v>0.66854080321195897</v>
      </c>
      <c r="L9" s="11">
        <f t="shared" si="5"/>
        <v>0.71946842672533529</v>
      </c>
      <c r="M9" s="18">
        <f t="shared" si="6"/>
        <v>20.66235105802506</v>
      </c>
      <c r="N9" s="18">
        <f t="shared" si="7"/>
        <v>32.445376612688328</v>
      </c>
      <c r="O9" s="18">
        <f t="shared" si="8"/>
        <v>27.460250416484634</v>
      </c>
    </row>
    <row r="10" spans="1:15" x14ac:dyDescent="0.3">
      <c r="A10" s="2">
        <v>60</v>
      </c>
      <c r="B10" s="9">
        <v>1.651</v>
      </c>
      <c r="C10" s="9">
        <v>1.381</v>
      </c>
      <c r="D10" s="9">
        <v>1.4810000000000001</v>
      </c>
      <c r="E10" s="10">
        <v>60</v>
      </c>
      <c r="F10" s="10">
        <f t="shared" si="0"/>
        <v>31.507633587786259</v>
      </c>
      <c r="G10" s="10">
        <f t="shared" si="1"/>
        <v>26.354961832061068</v>
      </c>
      <c r="H10" s="10">
        <f t="shared" si="2"/>
        <v>28.263358778625953</v>
      </c>
      <c r="I10" s="11">
        <v>60</v>
      </c>
      <c r="J10" s="11">
        <f t="shared" si="3"/>
        <v>0.76437733109622175</v>
      </c>
      <c r="K10" s="11">
        <f t="shared" si="4"/>
        <v>0.6393731642906616</v>
      </c>
      <c r="L10" s="11">
        <f t="shared" si="5"/>
        <v>0.68567100384827639</v>
      </c>
      <c r="M10" s="20">
        <f t="shared" si="6"/>
        <v>23.064275498014105</v>
      </c>
      <c r="N10" s="20">
        <f t="shared" si="7"/>
        <v>35.300494343241347</v>
      </c>
      <c r="O10" s="20">
        <f t="shared" si="8"/>
        <v>30.768561437601626</v>
      </c>
    </row>
    <row r="12" spans="1:15" x14ac:dyDescent="0.3">
      <c r="A12" s="12" t="s">
        <v>15</v>
      </c>
      <c r="B12" s="12" t="s">
        <v>14</v>
      </c>
      <c r="C12" s="12">
        <f>2.16/0.0524</f>
        <v>41.221374045801525</v>
      </c>
    </row>
    <row r="13" spans="1:15" x14ac:dyDescent="0.3">
      <c r="A13" s="12"/>
      <c r="B13" s="12" t="s">
        <v>6</v>
      </c>
      <c r="C13" s="12"/>
    </row>
    <row r="14" spans="1:15" x14ac:dyDescent="0.3">
      <c r="A14" s="12"/>
      <c r="B14" s="12" t="s">
        <v>16</v>
      </c>
      <c r="C14" s="12"/>
    </row>
    <row r="15" spans="1:15" x14ac:dyDescent="0.3">
      <c r="A15" s="12"/>
      <c r="B15" s="12" t="s">
        <v>17</v>
      </c>
      <c r="C15" s="12"/>
    </row>
    <row r="16" spans="1:15" x14ac:dyDescent="0.3">
      <c r="B16" s="12" t="s">
        <v>18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activeCell="L6" sqref="L6"/>
    </sheetView>
  </sheetViews>
  <sheetFormatPr defaultRowHeight="14.4" x14ac:dyDescent="0.3"/>
  <sheetData>
    <row r="1" spans="1:19" x14ac:dyDescent="0.3">
      <c r="A1" s="15" t="s">
        <v>0</v>
      </c>
      <c r="B1" s="15" t="s">
        <v>21</v>
      </c>
      <c r="C1" s="15" t="s">
        <v>19</v>
      </c>
      <c r="D1" s="10" t="s">
        <v>20</v>
      </c>
      <c r="E1" s="15" t="s">
        <v>0</v>
      </c>
      <c r="F1" s="16" t="s">
        <v>21</v>
      </c>
      <c r="G1" s="16" t="s">
        <v>19</v>
      </c>
      <c r="H1" s="16" t="s">
        <v>20</v>
      </c>
      <c r="I1" s="14" t="s">
        <v>0</v>
      </c>
      <c r="J1" s="14" t="s">
        <v>21</v>
      </c>
      <c r="K1" s="14" t="s">
        <v>19</v>
      </c>
      <c r="L1" s="10" t="s">
        <v>20</v>
      </c>
    </row>
    <row r="2" spans="1:19" x14ac:dyDescent="0.3">
      <c r="A2" s="15" t="s">
        <v>4</v>
      </c>
      <c r="B2" s="15"/>
      <c r="C2" s="15"/>
      <c r="D2" s="10"/>
      <c r="E2" s="15" t="s">
        <v>4</v>
      </c>
      <c r="F2" s="16"/>
      <c r="G2" s="16"/>
      <c r="H2" s="16"/>
      <c r="I2" s="14" t="s">
        <v>4</v>
      </c>
      <c r="J2" s="14"/>
      <c r="K2" s="14"/>
      <c r="L2" s="10"/>
    </row>
    <row r="3" spans="1:19" x14ac:dyDescent="0.3">
      <c r="A3">
        <v>-30</v>
      </c>
      <c r="B3" s="21">
        <v>7.08</v>
      </c>
      <c r="C3">
        <v>6.98</v>
      </c>
      <c r="D3" s="25">
        <v>7.07</v>
      </c>
      <c r="L3" s="25"/>
    </row>
    <row r="4" spans="1:19" x14ac:dyDescent="0.3">
      <c r="A4" s="15">
        <v>0</v>
      </c>
      <c r="B4" s="10">
        <v>0</v>
      </c>
      <c r="C4" s="10">
        <v>0</v>
      </c>
      <c r="D4" s="10">
        <v>0</v>
      </c>
      <c r="E4" s="15">
        <v>0</v>
      </c>
      <c r="F4" s="16">
        <v>0</v>
      </c>
      <c r="G4" s="16">
        <v>0</v>
      </c>
      <c r="H4" s="16">
        <v>0</v>
      </c>
      <c r="I4" s="14">
        <v>0</v>
      </c>
      <c r="J4" s="14">
        <v>1</v>
      </c>
      <c r="K4" s="14">
        <v>1</v>
      </c>
      <c r="L4" s="10">
        <v>1</v>
      </c>
    </row>
    <row r="5" spans="1:19" x14ac:dyDescent="0.3">
      <c r="A5" s="15">
        <v>5</v>
      </c>
      <c r="B5" s="10">
        <v>1.6639999999999999</v>
      </c>
      <c r="C5" s="10">
        <v>1.5469999999999999</v>
      </c>
      <c r="D5" s="10">
        <v>1.488</v>
      </c>
      <c r="E5" s="15">
        <v>5</v>
      </c>
      <c r="F5" s="16">
        <f>B5/0.0524</f>
        <v>31.755725190839691</v>
      </c>
      <c r="G5" s="16">
        <f>C5/0.0524</f>
        <v>29.522900763358777</v>
      </c>
      <c r="H5" s="16">
        <f>D5/0.0524</f>
        <v>28.396946564885496</v>
      </c>
      <c r="I5" s="14">
        <v>5</v>
      </c>
      <c r="J5" s="14">
        <f>F5/41</f>
        <v>0.77452988270340706</v>
      </c>
      <c r="K5" s="14">
        <f>G5/40.71</f>
        <v>0.72520021526305023</v>
      </c>
      <c r="L5" s="10">
        <f>H5/40.71</f>
        <v>0.69754228850124034</v>
      </c>
    </row>
    <row r="6" spans="1:19" x14ac:dyDescent="0.3">
      <c r="A6" s="15">
        <v>10</v>
      </c>
      <c r="B6" s="10">
        <v>1.5009999999999999</v>
      </c>
      <c r="C6" s="10">
        <v>1.4319999999999999</v>
      </c>
      <c r="D6" s="10">
        <v>1.3819999999999999</v>
      </c>
      <c r="E6" s="15">
        <v>10</v>
      </c>
      <c r="F6" s="16">
        <f t="shared" ref="F6:F9" si="0">B6/0.0524</f>
        <v>28.645038167938928</v>
      </c>
      <c r="G6" s="16">
        <f t="shared" ref="G6:G13" si="1">C6/0.0524</f>
        <v>27.328244274809158</v>
      </c>
      <c r="H6" s="16">
        <f t="shared" ref="H6:H13" si="2">D6/0.0524</f>
        <v>26.374045801526716</v>
      </c>
      <c r="I6" s="14">
        <v>10</v>
      </c>
      <c r="J6" s="14">
        <f t="shared" ref="J6:J13" si="3">F6/41</f>
        <v>0.69865946751070551</v>
      </c>
      <c r="K6" s="14">
        <f t="shared" ref="K6:K13" si="4">G6/40.71</f>
        <v>0.67129069699850552</v>
      </c>
      <c r="L6" s="10">
        <f t="shared" ref="L6:L13" si="5">H6/40.71</f>
        <v>0.64785177601392074</v>
      </c>
    </row>
    <row r="7" spans="1:19" x14ac:dyDescent="0.3">
      <c r="A7" s="15">
        <v>20</v>
      </c>
      <c r="B7" s="10">
        <v>1.3839999999999999</v>
      </c>
      <c r="C7" s="10">
        <v>1.306</v>
      </c>
      <c r="D7" s="10">
        <v>1.254</v>
      </c>
      <c r="E7" s="15">
        <v>20</v>
      </c>
      <c r="F7" s="16">
        <f t="shared" si="0"/>
        <v>26.412213740458011</v>
      </c>
      <c r="G7" s="16">
        <f t="shared" si="1"/>
        <v>24.923664122137403</v>
      </c>
      <c r="H7" s="16">
        <f t="shared" si="2"/>
        <v>23.931297709923662</v>
      </c>
      <c r="I7" s="14">
        <v>20</v>
      </c>
      <c r="J7" s="14">
        <f t="shared" si="3"/>
        <v>0.64420033513312225</v>
      </c>
      <c r="K7" s="14">
        <f t="shared" si="4"/>
        <v>0.61222461611735202</v>
      </c>
      <c r="L7" s="10">
        <f t="shared" si="5"/>
        <v>0.587848138293384</v>
      </c>
    </row>
    <row r="8" spans="1:19" x14ac:dyDescent="0.3">
      <c r="A8" s="15">
        <v>30</v>
      </c>
      <c r="B8" s="10">
        <v>1.294</v>
      </c>
      <c r="C8" s="10">
        <v>1.2310000000000001</v>
      </c>
      <c r="D8" s="10">
        <v>1.1839999999999999</v>
      </c>
      <c r="E8" s="15">
        <v>30</v>
      </c>
      <c r="F8" s="16">
        <f t="shared" si="0"/>
        <v>24.694656488549619</v>
      </c>
      <c r="G8" s="16">
        <f t="shared" si="1"/>
        <v>23.492366412213741</v>
      </c>
      <c r="H8" s="16">
        <f t="shared" si="2"/>
        <v>22.595419847328241</v>
      </c>
      <c r="I8" s="14">
        <v>30</v>
      </c>
      <c r="J8" s="14">
        <f t="shared" si="3"/>
        <v>0.60230869484267358</v>
      </c>
      <c r="K8" s="14">
        <f t="shared" si="4"/>
        <v>0.57706623464047513</v>
      </c>
      <c r="L8" s="10">
        <f t="shared" si="5"/>
        <v>0.55503364891496543</v>
      </c>
      <c r="S8" t="s">
        <v>32</v>
      </c>
    </row>
    <row r="9" spans="1:19" x14ac:dyDescent="0.3">
      <c r="A9" s="15">
        <v>45</v>
      </c>
      <c r="B9" s="10">
        <v>1.1910000000000001</v>
      </c>
      <c r="C9" s="10">
        <v>1.1319999999999999</v>
      </c>
      <c r="D9" s="10">
        <v>1.077</v>
      </c>
      <c r="E9" s="15">
        <v>45</v>
      </c>
      <c r="F9" s="16">
        <f t="shared" si="0"/>
        <v>22.729007633587788</v>
      </c>
      <c r="G9" s="16">
        <f t="shared" si="1"/>
        <v>21.6030534351145</v>
      </c>
      <c r="H9" s="16">
        <f t="shared" si="2"/>
        <v>20.553435114503817</v>
      </c>
      <c r="I9" s="14">
        <v>45</v>
      </c>
      <c r="J9" s="14">
        <f t="shared" si="3"/>
        <v>0.55436603984360455</v>
      </c>
      <c r="K9" s="14">
        <f t="shared" si="4"/>
        <v>0.5306571710909973</v>
      </c>
      <c r="L9" s="10">
        <f t="shared" si="5"/>
        <v>0.50487435800795422</v>
      </c>
    </row>
    <row r="10" spans="1:19" x14ac:dyDescent="0.3">
      <c r="A10" s="15">
        <v>60</v>
      </c>
      <c r="B10" s="10">
        <v>1.1060000000000001</v>
      </c>
      <c r="C10" s="10">
        <v>1.024</v>
      </c>
      <c r="D10" s="10">
        <v>0.95599999999999996</v>
      </c>
      <c r="E10" s="15">
        <v>60</v>
      </c>
      <c r="F10" s="16">
        <f>B10/0.0524</f>
        <v>21.106870229007633</v>
      </c>
      <c r="G10" s="16">
        <f t="shared" si="1"/>
        <v>19.541984732824428</v>
      </c>
      <c r="H10" s="16">
        <f t="shared" si="2"/>
        <v>18.244274809160302</v>
      </c>
      <c r="I10" s="14">
        <v>60</v>
      </c>
      <c r="J10" s="14">
        <f t="shared" si="3"/>
        <v>0.51480171290262522</v>
      </c>
      <c r="K10" s="14">
        <f t="shared" si="4"/>
        <v>0.48002910176429447</v>
      </c>
      <c r="L10" s="10">
        <f t="shared" si="5"/>
        <v>0.44815216922525919</v>
      </c>
    </row>
    <row r="11" spans="1:19" x14ac:dyDescent="0.3">
      <c r="A11" s="15">
        <v>90</v>
      </c>
      <c r="B11" s="10">
        <v>1.054</v>
      </c>
      <c r="C11" s="10">
        <v>0.98699999999999999</v>
      </c>
      <c r="D11" s="10">
        <v>0.86399999999999999</v>
      </c>
      <c r="E11" s="29">
        <v>90</v>
      </c>
      <c r="F11" s="34">
        <f>B11/0.0524</f>
        <v>20.114503816793892</v>
      </c>
      <c r="G11" s="34">
        <f t="shared" si="1"/>
        <v>18.835877862595417</v>
      </c>
      <c r="H11" s="16">
        <f t="shared" si="2"/>
        <v>16.488549618320612</v>
      </c>
      <c r="I11" s="33">
        <v>90</v>
      </c>
      <c r="J11" s="33">
        <f t="shared" si="3"/>
        <v>0.49059765406814371</v>
      </c>
      <c r="K11" s="33">
        <f t="shared" si="4"/>
        <v>0.46268430023570173</v>
      </c>
      <c r="L11" s="10">
        <f t="shared" si="5"/>
        <v>0.40502455461362347</v>
      </c>
    </row>
    <row r="12" spans="1:19" x14ac:dyDescent="0.3">
      <c r="A12" s="15">
        <v>120</v>
      </c>
      <c r="B12" s="10">
        <v>0.99099999999999999</v>
      </c>
      <c r="C12" s="10">
        <v>0.91200000000000003</v>
      </c>
      <c r="D12" s="10">
        <v>0.78400000000000003</v>
      </c>
      <c r="E12" s="29">
        <v>120</v>
      </c>
      <c r="F12" s="34">
        <f>B12/0.0524</f>
        <v>18.912213740458014</v>
      </c>
      <c r="G12" s="34">
        <f t="shared" si="1"/>
        <v>17.404580152671755</v>
      </c>
      <c r="H12" s="16">
        <f t="shared" si="2"/>
        <v>14.961832061068701</v>
      </c>
      <c r="I12" s="33">
        <v>120</v>
      </c>
      <c r="J12" s="33">
        <f t="shared" si="3"/>
        <v>0.46127350586482962</v>
      </c>
      <c r="K12" s="33">
        <f t="shared" si="4"/>
        <v>0.42752591875882473</v>
      </c>
      <c r="L12" s="10">
        <f t="shared" si="5"/>
        <v>0.36752228103828793</v>
      </c>
    </row>
    <row r="13" spans="1:19" x14ac:dyDescent="0.3">
      <c r="A13" s="15">
        <v>150</v>
      </c>
      <c r="B13" s="10">
        <v>0.94099999999999995</v>
      </c>
      <c r="C13" s="10">
        <v>0.89700000000000002</v>
      </c>
      <c r="D13" s="10">
        <v>0.69399999999999995</v>
      </c>
      <c r="E13" s="29">
        <v>150</v>
      </c>
      <c r="F13" s="34">
        <f>B13/0.0524</f>
        <v>17.958015267175572</v>
      </c>
      <c r="G13" s="34">
        <f t="shared" si="1"/>
        <v>17.118320610687022</v>
      </c>
      <c r="H13" s="16">
        <f t="shared" si="2"/>
        <v>13.244274809160304</v>
      </c>
      <c r="I13" s="33">
        <v>150</v>
      </c>
      <c r="J13" s="33">
        <f t="shared" si="3"/>
        <v>0.43800037237013589</v>
      </c>
      <c r="K13" s="33">
        <f t="shared" si="4"/>
        <v>0.4204942424634493</v>
      </c>
      <c r="L13" s="10">
        <f t="shared" si="5"/>
        <v>0.32533222326603545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Q22" sqref="Q22"/>
    </sheetView>
  </sheetViews>
  <sheetFormatPr defaultRowHeight="14.4" x14ac:dyDescent="0.3"/>
  <sheetData>
    <row r="1" spans="1:20" x14ac:dyDescent="0.3">
      <c r="A1" s="10" t="s">
        <v>0</v>
      </c>
      <c r="B1" s="10">
        <v>50</v>
      </c>
      <c r="C1" s="10">
        <v>70</v>
      </c>
      <c r="D1" s="10">
        <v>90</v>
      </c>
      <c r="E1" s="10">
        <v>110</v>
      </c>
      <c r="F1" s="10" t="s">
        <v>0</v>
      </c>
      <c r="G1" s="10">
        <v>50</v>
      </c>
      <c r="H1" s="10">
        <v>70</v>
      </c>
      <c r="I1" s="10">
        <v>90</v>
      </c>
      <c r="J1" s="10">
        <v>110</v>
      </c>
      <c r="K1" s="10" t="s">
        <v>0</v>
      </c>
      <c r="L1" s="10">
        <v>50</v>
      </c>
      <c r="M1" s="10">
        <v>70</v>
      </c>
      <c r="N1" s="10">
        <v>90</v>
      </c>
      <c r="O1" s="10">
        <v>110</v>
      </c>
    </row>
    <row r="2" spans="1:20" x14ac:dyDescent="0.3">
      <c r="A2" s="10" t="s">
        <v>4</v>
      </c>
      <c r="B2" s="10">
        <v>7.08</v>
      </c>
      <c r="C2" s="10">
        <v>7.08</v>
      </c>
      <c r="D2" s="10">
        <v>7.07</v>
      </c>
      <c r="E2" s="10">
        <v>7.04</v>
      </c>
      <c r="F2" s="10" t="s">
        <v>4</v>
      </c>
      <c r="G2" s="10">
        <v>7.08</v>
      </c>
      <c r="H2" s="10">
        <v>7.08</v>
      </c>
      <c r="I2" s="10">
        <v>7.07</v>
      </c>
      <c r="J2" s="10">
        <v>7.04</v>
      </c>
      <c r="K2" s="10" t="s">
        <v>4</v>
      </c>
      <c r="L2" s="10">
        <v>7.08</v>
      </c>
      <c r="M2" s="10">
        <v>7.08</v>
      </c>
      <c r="N2" s="10">
        <v>7.07</v>
      </c>
      <c r="O2" s="10">
        <v>7.04</v>
      </c>
    </row>
    <row r="3" spans="1:20" x14ac:dyDescent="0.3">
      <c r="A3" s="26">
        <v>-30</v>
      </c>
      <c r="B3" s="26">
        <v>0</v>
      </c>
      <c r="C3" s="26">
        <v>0</v>
      </c>
      <c r="D3" s="26">
        <v>0</v>
      </c>
      <c r="E3" s="26">
        <v>0</v>
      </c>
      <c r="F3" s="17">
        <v>-30</v>
      </c>
      <c r="G3" s="17"/>
      <c r="H3" s="17"/>
      <c r="I3" s="17"/>
      <c r="J3" s="17"/>
      <c r="K3" s="24">
        <v>-30</v>
      </c>
      <c r="L3" s="24">
        <v>1</v>
      </c>
      <c r="M3" s="24">
        <v>1</v>
      </c>
      <c r="N3" s="24">
        <v>1</v>
      </c>
      <c r="O3" s="24">
        <v>1</v>
      </c>
    </row>
    <row r="4" spans="1:20" x14ac:dyDescent="0.3">
      <c r="A4" s="26">
        <v>0</v>
      </c>
      <c r="B4" s="26">
        <v>1</v>
      </c>
      <c r="C4" s="26">
        <v>1</v>
      </c>
      <c r="D4" s="26">
        <v>1</v>
      </c>
      <c r="E4" s="26">
        <v>1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24">
        <v>0</v>
      </c>
      <c r="L4" s="24">
        <v>1</v>
      </c>
      <c r="M4" s="24">
        <v>1</v>
      </c>
      <c r="N4" s="24">
        <v>1</v>
      </c>
      <c r="O4" s="24">
        <v>1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</row>
    <row r="5" spans="1:20" x14ac:dyDescent="0.3">
      <c r="A5" s="26">
        <v>5</v>
      </c>
      <c r="B5" s="26">
        <v>0.74975000000000003</v>
      </c>
      <c r="C5" s="26">
        <v>0.70496999999999999</v>
      </c>
      <c r="D5" s="26">
        <v>0.64132999999999996</v>
      </c>
      <c r="E5" s="26">
        <v>0.58914999999999995</v>
      </c>
      <c r="F5" s="17">
        <v>5</v>
      </c>
      <c r="G5" s="17">
        <f>B5/0.0524</f>
        <v>14.308206106870228</v>
      </c>
      <c r="H5" s="17">
        <f>C5/0.0524</f>
        <v>13.453625954198472</v>
      </c>
      <c r="I5" s="17">
        <f>D5/0.0524</f>
        <v>12.239122137404578</v>
      </c>
      <c r="J5" s="17">
        <f>E5/0.0524</f>
        <v>11.243320610687022</v>
      </c>
      <c r="K5" s="24">
        <v>5</v>
      </c>
      <c r="L5" s="24">
        <f>G5/41.3</f>
        <v>0.34644566844722108</v>
      </c>
      <c r="M5" s="24">
        <f>H5/41.3</f>
        <v>0.32575365506533832</v>
      </c>
      <c r="N5" s="24">
        <f>I5/41.3</f>
        <v>0.29634678298800432</v>
      </c>
      <c r="O5" s="24">
        <f>J5/41.3</f>
        <v>0.27223536587619906</v>
      </c>
      <c r="P5" s="24">
        <v>5</v>
      </c>
      <c r="Q5" s="24">
        <f>(41.3-G5)/41.3*100</f>
        <v>65.355433155277893</v>
      </c>
      <c r="R5" s="24">
        <f>(41.3-H5)/41.3*100</f>
        <v>67.424634493466158</v>
      </c>
      <c r="S5" s="24">
        <f>(41.3-I5)/41.3*100</f>
        <v>70.365321701199562</v>
      </c>
      <c r="T5" s="24">
        <f>(41.3-J5)/41.3*100</f>
        <v>72.776463412380082</v>
      </c>
    </row>
    <row r="6" spans="1:20" x14ac:dyDescent="0.3">
      <c r="A6" s="26">
        <v>10</v>
      </c>
      <c r="B6" s="26">
        <v>0.69479000000000002</v>
      </c>
      <c r="C6" s="26">
        <v>0.65044000000000002</v>
      </c>
      <c r="D6" s="26">
        <v>0.57572999999999996</v>
      </c>
      <c r="E6" s="26">
        <v>0.51892000000000005</v>
      </c>
      <c r="F6" s="17">
        <v>10</v>
      </c>
      <c r="G6" s="17">
        <f t="shared" ref="G6:G13" si="0">B6/0.0524</f>
        <v>13.259351145038167</v>
      </c>
      <c r="H6" s="17">
        <f t="shared" ref="H6:H13" si="1">C6/0.0524</f>
        <v>12.412977099236642</v>
      </c>
      <c r="I6" s="17">
        <f t="shared" ref="I6:I13" si="2">D6/0.0524</f>
        <v>10.987213740458014</v>
      </c>
      <c r="J6" s="17">
        <f t="shared" ref="J6:J13" si="3">E6/0.0524</f>
        <v>9.9030534351145043</v>
      </c>
      <c r="K6" s="24">
        <v>10</v>
      </c>
      <c r="L6" s="24">
        <f t="shared" ref="L6:L13" si="4">G6/41.3</f>
        <v>0.32104966452876921</v>
      </c>
      <c r="M6" s="24">
        <f t="shared" ref="M6:M13" si="5">H6/41.3</f>
        <v>0.30055634622849015</v>
      </c>
      <c r="N6" s="24">
        <f t="shared" ref="N6:N13" si="6">I6/41.3</f>
        <v>0.266034231003826</v>
      </c>
      <c r="O6" s="24">
        <f t="shared" ref="O6:O13" si="7">J6/41.3</f>
        <v>0.23978337615289358</v>
      </c>
      <c r="P6" s="24">
        <v>10</v>
      </c>
      <c r="Q6" s="24">
        <f t="shared" ref="Q6:Q13" si="8">(41.3-G6)/41.3*100</f>
        <v>67.895033547123091</v>
      </c>
      <c r="R6" s="24">
        <f t="shared" ref="R6:R13" si="9">(41.3-H6)/41.3*100</f>
        <v>69.944365377150987</v>
      </c>
      <c r="S6" s="24">
        <f t="shared" ref="S6:S13" si="10">(41.3-I6)/41.3*100</f>
        <v>73.396576899617401</v>
      </c>
      <c r="T6" s="24">
        <f t="shared" ref="T6:T13" si="11">(41.3-J6)/41.3*100</f>
        <v>76.021662384710638</v>
      </c>
    </row>
    <row r="7" spans="1:20" x14ac:dyDescent="0.3">
      <c r="A7" s="26">
        <v>20</v>
      </c>
      <c r="B7" s="26">
        <v>0.64878000000000002</v>
      </c>
      <c r="C7" s="26">
        <v>0.60546999999999995</v>
      </c>
      <c r="D7" s="26">
        <v>0.50043000000000004</v>
      </c>
      <c r="E7" s="26">
        <v>0.42788999999999999</v>
      </c>
      <c r="F7" s="17">
        <v>20</v>
      </c>
      <c r="G7" s="17">
        <f t="shared" si="0"/>
        <v>12.381297709923665</v>
      </c>
      <c r="H7" s="17">
        <f t="shared" si="1"/>
        <v>11.554770992366411</v>
      </c>
      <c r="I7" s="17">
        <f t="shared" si="2"/>
        <v>9.5501908396946575</v>
      </c>
      <c r="J7" s="17">
        <f t="shared" si="3"/>
        <v>8.1658396946564888</v>
      </c>
      <c r="K7" s="24">
        <v>20</v>
      </c>
      <c r="L7" s="24">
        <f t="shared" si="4"/>
        <v>0.29978929079718319</v>
      </c>
      <c r="M7" s="24">
        <f t="shared" si="5"/>
        <v>0.27977653734543367</v>
      </c>
      <c r="N7" s="24">
        <f t="shared" si="6"/>
        <v>0.23123948764393845</v>
      </c>
      <c r="O7" s="24">
        <f t="shared" si="7"/>
        <v>0.19772008945899491</v>
      </c>
      <c r="P7" s="24">
        <v>20</v>
      </c>
      <c r="Q7" s="24">
        <f t="shared" si="8"/>
        <v>70.021070920281687</v>
      </c>
      <c r="R7" s="24">
        <f t="shared" si="9"/>
        <v>72.022346265456633</v>
      </c>
      <c r="S7" s="24">
        <f t="shared" si="10"/>
        <v>76.876051235606155</v>
      </c>
      <c r="T7" s="24">
        <f t="shared" si="11"/>
        <v>80.227991054100499</v>
      </c>
    </row>
    <row r="8" spans="1:20" x14ac:dyDescent="0.3">
      <c r="A8" s="26">
        <v>30</v>
      </c>
      <c r="B8" s="26">
        <v>0.61550000000000005</v>
      </c>
      <c r="C8" s="26">
        <v>0.54976999999999998</v>
      </c>
      <c r="D8" s="26">
        <v>0.42419000000000001</v>
      </c>
      <c r="E8" s="26">
        <v>0.37104999999999999</v>
      </c>
      <c r="F8" s="17">
        <v>30</v>
      </c>
      <c r="G8" s="17">
        <f t="shared" si="0"/>
        <v>11.746183206106871</v>
      </c>
      <c r="H8" s="17">
        <f t="shared" si="1"/>
        <v>10.491793893129771</v>
      </c>
      <c r="I8" s="17">
        <f t="shared" si="2"/>
        <v>8.0952290076335878</v>
      </c>
      <c r="J8" s="17">
        <f t="shared" si="3"/>
        <v>7.0811068702290072</v>
      </c>
      <c r="K8" s="24">
        <v>30</v>
      </c>
      <c r="L8" s="24">
        <f t="shared" si="4"/>
        <v>0.28441121564423416</v>
      </c>
      <c r="M8" s="24">
        <f t="shared" si="5"/>
        <v>0.25403859305398963</v>
      </c>
      <c r="N8" s="24">
        <f t="shared" si="6"/>
        <v>0.19601038759403361</v>
      </c>
      <c r="O8" s="24">
        <f t="shared" si="7"/>
        <v>0.17145537216050866</v>
      </c>
      <c r="P8" s="24">
        <v>30</v>
      </c>
      <c r="Q8" s="24">
        <f t="shared" si="8"/>
        <v>71.558878435576574</v>
      </c>
      <c r="R8" s="24">
        <f t="shared" si="9"/>
        <v>74.596140694601047</v>
      </c>
      <c r="S8" s="24">
        <f t="shared" si="10"/>
        <v>80.398961240596634</v>
      </c>
      <c r="T8" s="24">
        <f t="shared" si="11"/>
        <v>82.854462783949131</v>
      </c>
    </row>
    <row r="9" spans="1:20" x14ac:dyDescent="0.3">
      <c r="A9" s="26">
        <v>45</v>
      </c>
      <c r="B9" s="26">
        <v>0.57049000000000005</v>
      </c>
      <c r="C9" s="26">
        <v>0.48468</v>
      </c>
      <c r="D9" s="26">
        <v>0.36181000000000002</v>
      </c>
      <c r="E9" s="26">
        <v>0.27955999999999998</v>
      </c>
      <c r="F9" s="17">
        <v>45</v>
      </c>
      <c r="G9" s="17">
        <f t="shared" si="0"/>
        <v>10.887213740458016</v>
      </c>
      <c r="H9" s="17">
        <f t="shared" si="1"/>
        <v>9.2496183206106863</v>
      </c>
      <c r="I9" s="17">
        <f t="shared" si="2"/>
        <v>6.9047709923664122</v>
      </c>
      <c r="J9" s="17">
        <f t="shared" si="3"/>
        <v>5.3351145038167935</v>
      </c>
      <c r="K9" s="24">
        <v>45</v>
      </c>
      <c r="L9" s="24">
        <f t="shared" si="4"/>
        <v>0.26361292349777282</v>
      </c>
      <c r="M9" s="24">
        <f t="shared" si="5"/>
        <v>0.22396170267822488</v>
      </c>
      <c r="N9" s="24">
        <f t="shared" si="6"/>
        <v>0.16718573831395672</v>
      </c>
      <c r="O9" s="24">
        <f t="shared" si="7"/>
        <v>0.12917952793745263</v>
      </c>
      <c r="P9" s="24">
        <v>45</v>
      </c>
      <c r="Q9" s="24">
        <f t="shared" si="8"/>
        <v>73.638707650222727</v>
      </c>
      <c r="R9" s="24">
        <f t="shared" si="9"/>
        <v>77.603829732177516</v>
      </c>
      <c r="S9" s="24">
        <f t="shared" si="10"/>
        <v>83.281426168604327</v>
      </c>
      <c r="T9" s="24">
        <f t="shared" si="11"/>
        <v>87.082047206254728</v>
      </c>
    </row>
    <row r="10" spans="1:20" x14ac:dyDescent="0.3">
      <c r="A10" s="26">
        <v>60</v>
      </c>
      <c r="B10" s="26">
        <v>0.52481999999999995</v>
      </c>
      <c r="C10" s="26">
        <v>0.43208999999999997</v>
      </c>
      <c r="D10" s="26">
        <v>0.31606000000000001</v>
      </c>
      <c r="E10" s="26">
        <v>0.21903</v>
      </c>
      <c r="F10" s="17">
        <v>60</v>
      </c>
      <c r="G10" s="17">
        <f t="shared" si="0"/>
        <v>10.01564885496183</v>
      </c>
      <c r="H10" s="17">
        <f t="shared" si="1"/>
        <v>8.2459923664122137</v>
      </c>
      <c r="I10" s="17">
        <f t="shared" si="2"/>
        <v>6.031679389312977</v>
      </c>
      <c r="J10" s="17">
        <f t="shared" si="3"/>
        <v>4.1799618320610685</v>
      </c>
      <c r="K10" s="24">
        <v>60</v>
      </c>
      <c r="L10" s="24">
        <f t="shared" si="4"/>
        <v>0.24250965750512907</v>
      </c>
      <c r="M10" s="24">
        <f t="shared" si="5"/>
        <v>0.1996608321165185</v>
      </c>
      <c r="N10" s="24">
        <f t="shared" si="6"/>
        <v>0.14604550579450309</v>
      </c>
      <c r="O10" s="24">
        <f t="shared" si="7"/>
        <v>0.10120972958985638</v>
      </c>
      <c r="P10" s="24">
        <v>60</v>
      </c>
      <c r="Q10" s="24">
        <f t="shared" si="8"/>
        <v>75.749034249487096</v>
      </c>
      <c r="R10" s="24">
        <f t="shared" si="9"/>
        <v>80.033916788348165</v>
      </c>
      <c r="S10" s="24">
        <f t="shared" si="10"/>
        <v>85.395449420549696</v>
      </c>
      <c r="T10" s="24">
        <f t="shared" si="11"/>
        <v>89.879027041014353</v>
      </c>
    </row>
    <row r="11" spans="1:20" x14ac:dyDescent="0.3">
      <c r="A11" s="26">
        <v>90</v>
      </c>
      <c r="B11" s="26">
        <v>0.47049999999999997</v>
      </c>
      <c r="C11" s="26">
        <v>0.37530000000000002</v>
      </c>
      <c r="D11" s="26">
        <v>0.25599</v>
      </c>
      <c r="E11" s="26">
        <v>0.14371</v>
      </c>
      <c r="F11" s="17">
        <v>90</v>
      </c>
      <c r="G11" s="17">
        <f t="shared" si="0"/>
        <v>8.979007633587786</v>
      </c>
      <c r="H11" s="17">
        <f t="shared" si="1"/>
        <v>7.1622137404580153</v>
      </c>
      <c r="I11" s="17">
        <f t="shared" si="2"/>
        <v>4.8853053435114502</v>
      </c>
      <c r="J11" s="17">
        <f t="shared" si="3"/>
        <v>2.7425572519083969</v>
      </c>
      <c r="K11" s="24">
        <v>90</v>
      </c>
      <c r="L11" s="24">
        <f t="shared" si="4"/>
        <v>0.21740938580115707</v>
      </c>
      <c r="M11" s="24">
        <f t="shared" si="5"/>
        <v>0.17341921889728851</v>
      </c>
      <c r="N11" s="24">
        <f t="shared" si="6"/>
        <v>0.11828826497606418</v>
      </c>
      <c r="O11" s="24">
        <f t="shared" si="7"/>
        <v>6.6405744598266273E-2</v>
      </c>
      <c r="P11" s="24">
        <v>90</v>
      </c>
      <c r="Q11" s="24">
        <f t="shared" si="8"/>
        <v>78.259061419884304</v>
      </c>
      <c r="R11" s="24">
        <f t="shared" si="9"/>
        <v>82.658078110271148</v>
      </c>
      <c r="S11" s="24">
        <f t="shared" si="10"/>
        <v>88.171173502393586</v>
      </c>
      <c r="T11" s="24">
        <f t="shared" si="11"/>
        <v>93.359425540173376</v>
      </c>
    </row>
    <row r="12" spans="1:20" x14ac:dyDescent="0.3">
      <c r="A12" s="26">
        <v>120</v>
      </c>
      <c r="B12" s="26">
        <v>0.43247000000000002</v>
      </c>
      <c r="C12" s="26">
        <v>0.33211000000000002</v>
      </c>
      <c r="D12" s="26">
        <v>0.20701</v>
      </c>
      <c r="E12" s="26">
        <v>0.10212</v>
      </c>
      <c r="F12" s="17">
        <v>120</v>
      </c>
      <c r="G12" s="17">
        <f t="shared" si="0"/>
        <v>8.2532442748091608</v>
      </c>
      <c r="H12" s="17">
        <f t="shared" si="1"/>
        <v>6.3379770992366415</v>
      </c>
      <c r="I12" s="17">
        <f t="shared" si="2"/>
        <v>3.9505725190839693</v>
      </c>
      <c r="J12" s="17">
        <f t="shared" si="3"/>
        <v>1.948854961832061</v>
      </c>
      <c r="K12" s="24">
        <v>120</v>
      </c>
      <c r="L12" s="24">
        <f t="shared" si="4"/>
        <v>0.1998364231188659</v>
      </c>
      <c r="M12" s="24">
        <f t="shared" si="5"/>
        <v>0.15346191523575403</v>
      </c>
      <c r="N12" s="24">
        <f t="shared" si="6"/>
        <v>9.5655508936657863E-2</v>
      </c>
      <c r="O12" s="24">
        <f t="shared" si="7"/>
        <v>4.718777147293126E-2</v>
      </c>
      <c r="P12" s="24">
        <v>120</v>
      </c>
      <c r="Q12" s="24">
        <f t="shared" si="8"/>
        <v>80.016357688113402</v>
      </c>
      <c r="R12" s="24">
        <f t="shared" si="9"/>
        <v>84.653808476424601</v>
      </c>
      <c r="S12" s="24">
        <f t="shared" si="10"/>
        <v>90.434449106334213</v>
      </c>
      <c r="T12" s="24">
        <f t="shared" si="11"/>
        <v>95.281222852706875</v>
      </c>
    </row>
    <row r="13" spans="1:20" x14ac:dyDescent="0.3">
      <c r="A13" s="30">
        <v>150</v>
      </c>
      <c r="B13" s="30">
        <v>0.40325</v>
      </c>
      <c r="C13" s="30">
        <v>0.30262</v>
      </c>
      <c r="D13" s="30">
        <v>0.16450000000000001</v>
      </c>
      <c r="E13" s="30">
        <v>6.7419999999999994E-2</v>
      </c>
      <c r="F13" s="19">
        <v>150</v>
      </c>
      <c r="G13" s="19">
        <f t="shared" si="0"/>
        <v>7.6956106870229002</v>
      </c>
      <c r="H13" s="19">
        <f t="shared" si="1"/>
        <v>5.7751908396946563</v>
      </c>
      <c r="I13" s="19">
        <f t="shared" si="2"/>
        <v>3.1393129770992365</v>
      </c>
      <c r="J13" s="17">
        <f t="shared" si="3"/>
        <v>1.2866412213740457</v>
      </c>
      <c r="K13" s="27">
        <v>150</v>
      </c>
      <c r="L13" s="27">
        <f t="shared" si="4"/>
        <v>0.18633439920152303</v>
      </c>
      <c r="M13" s="27">
        <f t="shared" si="5"/>
        <v>0.13983512929042752</v>
      </c>
      <c r="N13" s="27">
        <f t="shared" si="6"/>
        <v>7.6012420753008153E-2</v>
      </c>
      <c r="O13" s="27">
        <f t="shared" si="7"/>
        <v>3.1153540469105224E-2</v>
      </c>
      <c r="P13" s="27">
        <v>150</v>
      </c>
      <c r="Q13" s="27">
        <f t="shared" si="8"/>
        <v>81.366560079847702</v>
      </c>
      <c r="R13" s="27">
        <f t="shared" si="9"/>
        <v>86.01648707095724</v>
      </c>
      <c r="S13" s="27">
        <f t="shared" si="10"/>
        <v>92.398757924699183</v>
      </c>
      <c r="T13" s="27">
        <f t="shared" si="11"/>
        <v>96.884645953089475</v>
      </c>
    </row>
    <row r="14" spans="1:20" x14ac:dyDescent="0.3">
      <c r="F14" s="25" t="s">
        <v>41</v>
      </c>
      <c r="G14" s="25">
        <f>(5.08*0.05*2.5)/((41.3-13.24)*0.1)</f>
        <v>0.22630078403421244</v>
      </c>
      <c r="H14" s="25">
        <f>(5.08*0.07*150)/(60*(41.3-H13)*0.1)</f>
        <v>0.25024764974482949</v>
      </c>
      <c r="I14" s="25">
        <f>(5.07*0.09*2.5)/(34.5*0.1)</f>
        <v>0.33065217391304347</v>
      </c>
      <c r="J14" s="25">
        <f>(5.04*0.11*2.5)/((39.57)*0.1)</f>
        <v>0.3502653525398029</v>
      </c>
      <c r="K14" s="25"/>
    </row>
    <row r="17" spans="1:10" x14ac:dyDescent="0.3">
      <c r="J17">
        <f>41.3-6.8</f>
        <v>34.5</v>
      </c>
    </row>
    <row r="23" spans="1:10" x14ac:dyDescent="0.3">
      <c r="A23" s="31">
        <v>41.3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workbookViewId="0">
      <selection activeCell="P13" sqref="P13"/>
    </sheetView>
  </sheetViews>
  <sheetFormatPr defaultRowHeight="14.4" x14ac:dyDescent="0.3"/>
  <sheetData>
    <row r="1" spans="1:26" x14ac:dyDescent="0.3">
      <c r="A1" s="20"/>
      <c r="B1" s="20" t="s">
        <v>35</v>
      </c>
      <c r="C1" s="20"/>
      <c r="O1" s="28"/>
      <c r="P1" s="28" t="s">
        <v>36</v>
      </c>
      <c r="Q1" s="28"/>
      <c r="W1" t="s">
        <v>48</v>
      </c>
      <c r="X1" t="s">
        <v>54</v>
      </c>
    </row>
    <row r="2" spans="1:26" x14ac:dyDescent="0.3">
      <c r="A2" s="24"/>
      <c r="B2" s="24" t="s">
        <v>33</v>
      </c>
      <c r="C2" s="24" t="s">
        <v>34</v>
      </c>
      <c r="L2" s="15"/>
      <c r="M2" s="15" t="s">
        <v>37</v>
      </c>
      <c r="N2" s="15" t="s">
        <v>33</v>
      </c>
      <c r="W2" t="s">
        <v>46</v>
      </c>
      <c r="X2" t="s">
        <v>49</v>
      </c>
      <c r="Y2" t="s">
        <v>51</v>
      </c>
      <c r="Z2" t="s">
        <v>52</v>
      </c>
    </row>
    <row r="3" spans="1:26" x14ac:dyDescent="0.3">
      <c r="A3" s="26">
        <v>0</v>
      </c>
      <c r="B3" s="26">
        <v>6.98</v>
      </c>
      <c r="C3" s="26">
        <v>7.08</v>
      </c>
      <c r="D3" s="26">
        <v>0</v>
      </c>
      <c r="E3" s="26">
        <v>5.98</v>
      </c>
      <c r="F3" s="26">
        <v>6.28</v>
      </c>
      <c r="G3" s="3"/>
      <c r="H3" s="3">
        <v>1</v>
      </c>
      <c r="I3" s="3">
        <v>1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V3" s="3" t="s">
        <v>0</v>
      </c>
      <c r="W3" s="3"/>
      <c r="X3" t="s">
        <v>50</v>
      </c>
      <c r="Y3" t="s">
        <v>51</v>
      </c>
      <c r="Z3" t="s">
        <v>53</v>
      </c>
    </row>
    <row r="4" spans="1:26" x14ac:dyDescent="0.3">
      <c r="A4" s="26">
        <v>0</v>
      </c>
      <c r="B4" s="26">
        <v>0</v>
      </c>
      <c r="C4" s="26">
        <v>0</v>
      </c>
      <c r="D4" s="26">
        <v>0</v>
      </c>
      <c r="E4" s="26">
        <v>0</v>
      </c>
      <c r="F4" s="26">
        <v>0</v>
      </c>
      <c r="G4" s="3">
        <v>0</v>
      </c>
      <c r="H4" s="3">
        <v>1</v>
      </c>
      <c r="I4" s="3">
        <v>1</v>
      </c>
      <c r="L4" s="15">
        <v>5</v>
      </c>
      <c r="M4" s="15">
        <v>5.8000000000000003E-2</v>
      </c>
      <c r="N4" s="15">
        <v>0.153</v>
      </c>
      <c r="O4" s="15">
        <v>5</v>
      </c>
      <c r="P4" s="15">
        <f>M4/2.1468</f>
        <v>2.7016955468604439E-2</v>
      </c>
      <c r="Q4" s="15">
        <f>N4/2.1468</f>
        <v>7.1268865287870325E-2</v>
      </c>
      <c r="V4" s="3">
        <v>0</v>
      </c>
      <c r="W4" s="3">
        <v>1</v>
      </c>
      <c r="X4">
        <f>W4*41.3</f>
        <v>41.3</v>
      </c>
      <c r="Y4">
        <v>0</v>
      </c>
      <c r="Z4">
        <f>1/X4</f>
        <v>2.4213075060532691E-2</v>
      </c>
    </row>
    <row r="5" spans="1:26" x14ac:dyDescent="0.3">
      <c r="A5" s="26">
        <v>5</v>
      </c>
      <c r="B5" s="26">
        <v>1.859</v>
      </c>
      <c r="C5" s="26">
        <v>1.2749999999999999</v>
      </c>
      <c r="D5" s="26">
        <v>5</v>
      </c>
      <c r="E5" s="26">
        <f>B5/0.0524</f>
        <v>35.477099236641223</v>
      </c>
      <c r="F5" s="26">
        <f>C5/0.0524</f>
        <v>24.332061068702288</v>
      </c>
      <c r="G5" s="3">
        <v>5</v>
      </c>
      <c r="H5" s="3">
        <v>0.85901000000000005</v>
      </c>
      <c r="I5" s="3">
        <v>0.94</v>
      </c>
      <c r="L5" s="15">
        <v>10</v>
      </c>
      <c r="M5" s="15">
        <v>9.8000000000000004E-2</v>
      </c>
      <c r="N5" s="15">
        <v>0.20399999999999999</v>
      </c>
      <c r="O5" s="15">
        <v>10</v>
      </c>
      <c r="P5" s="15">
        <f t="shared" ref="P5:P13" si="0">M5/2.1468</f>
        <v>4.5649338550400605E-2</v>
      </c>
      <c r="Q5" s="15">
        <f t="shared" ref="Q5:Q12" si="1">N5/2.1468</f>
        <v>9.5025153717160429E-2</v>
      </c>
      <c r="V5" s="3">
        <v>5</v>
      </c>
      <c r="W5" s="3">
        <v>0.85901000000000005</v>
      </c>
      <c r="X5">
        <f t="shared" ref="X5:X13" si="2">W5*41.3</f>
        <v>35.477113000000003</v>
      </c>
      <c r="Y5">
        <v>0.18651999999999999</v>
      </c>
      <c r="Z5">
        <f t="shared" ref="Z5:Z13" si="3">1/X5</f>
        <v>2.8187186482733245E-2</v>
      </c>
    </row>
    <row r="6" spans="1:26" x14ac:dyDescent="0.3">
      <c r="A6" s="26">
        <v>10</v>
      </c>
      <c r="B6" s="26">
        <v>1.754</v>
      </c>
      <c r="C6" s="26">
        <v>1.123</v>
      </c>
      <c r="D6" s="26">
        <v>10</v>
      </c>
      <c r="E6" s="26">
        <f t="shared" ref="E6:E13" si="4">B6/0.0524</f>
        <v>33.473282442748094</v>
      </c>
      <c r="F6" s="26">
        <f t="shared" ref="F6:F14" si="5">C6/0.0524</f>
        <v>21.431297709923662</v>
      </c>
      <c r="G6" s="3">
        <v>10</v>
      </c>
      <c r="H6" s="3">
        <v>0.81049000000000004</v>
      </c>
      <c r="I6" s="3">
        <v>0.92</v>
      </c>
      <c r="L6" s="15">
        <v>15</v>
      </c>
      <c r="M6" s="15">
        <v>0.14399999999999999</v>
      </c>
      <c r="N6" s="15">
        <v>0.249</v>
      </c>
      <c r="O6" s="15">
        <v>15</v>
      </c>
      <c r="P6" s="15">
        <f t="shared" si="0"/>
        <v>6.7076579094466182E-2</v>
      </c>
      <c r="Q6" s="15">
        <f t="shared" si="1"/>
        <v>0.11598658468418112</v>
      </c>
      <c r="V6" s="3">
        <v>10</v>
      </c>
      <c r="W6" s="3">
        <v>0.81049000000000004</v>
      </c>
      <c r="X6">
        <f t="shared" si="2"/>
        <v>33.473236999999997</v>
      </c>
      <c r="Y6">
        <v>0.20100999999999999</v>
      </c>
      <c r="Z6">
        <f t="shared" si="3"/>
        <v>2.9874612963186085E-2</v>
      </c>
    </row>
    <row r="7" spans="1:26" x14ac:dyDescent="0.3">
      <c r="A7" s="26">
        <v>20</v>
      </c>
      <c r="B7" s="26">
        <v>1.704</v>
      </c>
      <c r="C7" s="26">
        <v>0.92600000000000005</v>
      </c>
      <c r="D7" s="26">
        <v>20</v>
      </c>
      <c r="E7" s="26">
        <f t="shared" si="4"/>
        <v>32.519083969465647</v>
      </c>
      <c r="F7" s="26">
        <f t="shared" si="5"/>
        <v>17.671755725190838</v>
      </c>
      <c r="G7" s="3">
        <v>20</v>
      </c>
      <c r="H7" s="3">
        <v>0.77986999999999995</v>
      </c>
      <c r="I7" s="3">
        <v>0.89449999999999996</v>
      </c>
      <c r="L7" s="15">
        <v>20</v>
      </c>
      <c r="M7" s="15">
        <v>0.187</v>
      </c>
      <c r="N7" s="15">
        <v>0.28499999999999998</v>
      </c>
      <c r="O7" s="15">
        <v>20</v>
      </c>
      <c r="P7" s="15">
        <f t="shared" si="0"/>
        <v>8.7106390907397066E-2</v>
      </c>
      <c r="Q7" s="15">
        <f t="shared" si="1"/>
        <v>0.13275572945779765</v>
      </c>
      <c r="V7" s="3">
        <v>20</v>
      </c>
      <c r="W7" s="3">
        <v>0.77986999999999995</v>
      </c>
      <c r="X7">
        <f t="shared" si="2"/>
        <v>32.208630999999997</v>
      </c>
      <c r="Y7">
        <v>0.24862999999999999</v>
      </c>
      <c r="Z7">
        <f t="shared" si="3"/>
        <v>3.1047578520179888E-2</v>
      </c>
    </row>
    <row r="8" spans="1:26" x14ac:dyDescent="0.3">
      <c r="A8" s="26">
        <v>30</v>
      </c>
      <c r="B8" s="26">
        <v>1.625</v>
      </c>
      <c r="C8" s="26">
        <v>0.80300000000000005</v>
      </c>
      <c r="D8" s="26">
        <v>30</v>
      </c>
      <c r="E8" s="26">
        <f t="shared" si="4"/>
        <v>31.011450381679388</v>
      </c>
      <c r="F8" s="26">
        <f t="shared" si="5"/>
        <v>15.324427480916031</v>
      </c>
      <c r="G8" s="3">
        <v>30</v>
      </c>
      <c r="H8" s="3">
        <v>0.75087999999999999</v>
      </c>
      <c r="I8" s="3">
        <v>0.87265999999999999</v>
      </c>
      <c r="L8" s="15">
        <v>30</v>
      </c>
      <c r="M8" s="15">
        <v>0.21199999999999999</v>
      </c>
      <c r="N8" s="15">
        <v>0.30599999999999999</v>
      </c>
      <c r="O8" s="15">
        <v>30</v>
      </c>
      <c r="P8" s="15">
        <f t="shared" si="0"/>
        <v>9.8751630333519663E-2</v>
      </c>
      <c r="Q8" s="15">
        <f t="shared" si="1"/>
        <v>0.14253773057574065</v>
      </c>
      <c r="V8" s="3">
        <v>30</v>
      </c>
      <c r="W8" s="3">
        <v>0.75087999999999999</v>
      </c>
      <c r="X8">
        <f t="shared" si="2"/>
        <v>31.011343999999998</v>
      </c>
      <c r="Y8">
        <v>0.26865</v>
      </c>
      <c r="Z8">
        <f t="shared" si="3"/>
        <v>3.2246264463739467E-2</v>
      </c>
    </row>
    <row r="9" spans="1:26" x14ac:dyDescent="0.3">
      <c r="A9" s="26">
        <v>45</v>
      </c>
      <c r="B9" s="26">
        <v>1.546</v>
      </c>
      <c r="C9" s="26">
        <v>0.60499999999999998</v>
      </c>
      <c r="D9" s="26">
        <v>45</v>
      </c>
      <c r="E9" s="26">
        <f t="shared" si="4"/>
        <v>29.503816793893129</v>
      </c>
      <c r="F9" s="26">
        <f t="shared" si="5"/>
        <v>11.545801526717556</v>
      </c>
      <c r="G9" s="3">
        <v>45</v>
      </c>
      <c r="H9" s="3">
        <v>0.71438000000000001</v>
      </c>
      <c r="I9" s="3">
        <v>0.85209999999999997</v>
      </c>
      <c r="L9" s="15">
        <v>45</v>
      </c>
      <c r="M9" s="15">
        <v>0.24299999999999999</v>
      </c>
      <c r="N9" s="15">
        <v>0.32900000000000001</v>
      </c>
      <c r="O9" s="15">
        <v>45</v>
      </c>
      <c r="P9" s="15">
        <f t="shared" si="0"/>
        <v>0.11319172722191169</v>
      </c>
      <c r="Q9" s="15">
        <f t="shared" si="1"/>
        <v>0.15325135084777344</v>
      </c>
      <c r="V9" s="3">
        <v>45</v>
      </c>
      <c r="W9" s="3">
        <v>0.71438000000000001</v>
      </c>
      <c r="X9">
        <f t="shared" si="2"/>
        <v>29.503893999999999</v>
      </c>
      <c r="Y9">
        <v>0.30363000000000001</v>
      </c>
      <c r="Z9">
        <f t="shared" si="3"/>
        <v>3.3893831099040692E-2</v>
      </c>
    </row>
    <row r="10" spans="1:26" x14ac:dyDescent="0.3">
      <c r="A10" s="26">
        <v>60</v>
      </c>
      <c r="B10" s="26">
        <v>1.4650000000000001</v>
      </c>
      <c r="C10" s="26">
        <v>0.47399999999999998</v>
      </c>
      <c r="D10" s="26">
        <v>60</v>
      </c>
      <c r="E10" s="26">
        <f t="shared" si="4"/>
        <v>27.958015267175572</v>
      </c>
      <c r="F10" s="26">
        <f t="shared" si="5"/>
        <v>9.0458015267175558</v>
      </c>
      <c r="G10" s="3">
        <v>60</v>
      </c>
      <c r="H10" s="3">
        <v>0.67695000000000005</v>
      </c>
      <c r="I10" s="3">
        <v>0.81599999999999995</v>
      </c>
      <c r="L10" s="15">
        <v>60</v>
      </c>
      <c r="M10" s="15">
        <v>0.25700000000000001</v>
      </c>
      <c r="N10" s="15">
        <v>0.36299999999999999</v>
      </c>
      <c r="O10" s="15">
        <v>60</v>
      </c>
      <c r="P10" s="15">
        <f t="shared" si="0"/>
        <v>0.11971306130054035</v>
      </c>
      <c r="Q10" s="15">
        <f t="shared" si="1"/>
        <v>0.16908887646730017</v>
      </c>
      <c r="V10" s="3">
        <v>60</v>
      </c>
      <c r="W10" s="3">
        <v>0.67695000000000005</v>
      </c>
      <c r="X10">
        <f t="shared" si="2"/>
        <v>27.958034999999999</v>
      </c>
      <c r="Y10">
        <v>0.33689999999999998</v>
      </c>
      <c r="Z10">
        <f t="shared" si="3"/>
        <v>3.5767892843685187E-2</v>
      </c>
    </row>
    <row r="11" spans="1:26" x14ac:dyDescent="0.3">
      <c r="A11" s="26">
        <v>90</v>
      </c>
      <c r="B11" s="26">
        <v>1.401</v>
      </c>
      <c r="C11" s="26">
        <v>0.311</v>
      </c>
      <c r="D11" s="26">
        <v>90</v>
      </c>
      <c r="E11" s="26">
        <f t="shared" si="4"/>
        <v>26.736641221374047</v>
      </c>
      <c r="F11" s="26">
        <f t="shared" si="5"/>
        <v>5.9351145038167941</v>
      </c>
      <c r="G11" s="3">
        <v>90</v>
      </c>
      <c r="H11" s="3">
        <v>0.64737999999999996</v>
      </c>
      <c r="I11" s="3">
        <v>0.78568000000000005</v>
      </c>
      <c r="L11" s="15">
        <v>90</v>
      </c>
      <c r="M11" s="15">
        <v>0.28699999999999998</v>
      </c>
      <c r="N11" s="15">
        <v>0.40100000000000002</v>
      </c>
      <c r="O11" s="15">
        <v>90</v>
      </c>
      <c r="P11" s="15">
        <f t="shared" si="0"/>
        <v>0.13368734861188747</v>
      </c>
      <c r="Q11" s="15">
        <f t="shared" si="1"/>
        <v>0.18678964039500653</v>
      </c>
      <c r="V11" s="3">
        <v>90</v>
      </c>
      <c r="W11" s="3">
        <v>0.64737999999999996</v>
      </c>
      <c r="X11">
        <f t="shared" si="2"/>
        <v>26.736793999999996</v>
      </c>
      <c r="Y11">
        <v>0.41348200000000002</v>
      </c>
      <c r="Z11">
        <f t="shared" si="3"/>
        <v>3.7401642096655273E-2</v>
      </c>
    </row>
    <row r="12" spans="1:26" x14ac:dyDescent="0.3">
      <c r="A12" s="26">
        <v>120</v>
      </c>
      <c r="B12" s="26">
        <v>1.383</v>
      </c>
      <c r="C12" s="26">
        <v>0.221</v>
      </c>
      <c r="D12" s="26">
        <v>120</v>
      </c>
      <c r="E12" s="26">
        <f t="shared" si="4"/>
        <v>26.393129770992367</v>
      </c>
      <c r="F12" s="26">
        <f t="shared" si="5"/>
        <v>4.2175572519083966</v>
      </c>
      <c r="G12" s="3">
        <v>120</v>
      </c>
      <c r="H12" s="3">
        <v>0.62390999999999996</v>
      </c>
      <c r="I12" s="3">
        <v>0.76236800000000005</v>
      </c>
      <c r="L12" s="15">
        <v>120</v>
      </c>
      <c r="M12" s="15">
        <v>0.32300000000000001</v>
      </c>
      <c r="N12" s="15">
        <v>0.42399999999999999</v>
      </c>
      <c r="O12" s="15">
        <v>120</v>
      </c>
      <c r="P12" s="15">
        <f t="shared" si="0"/>
        <v>0.15045649338550401</v>
      </c>
      <c r="Q12" s="15">
        <f t="shared" si="1"/>
        <v>0.19750326066703933</v>
      </c>
      <c r="V12" s="3">
        <v>120</v>
      </c>
      <c r="W12" s="3">
        <v>0.62390999999999996</v>
      </c>
      <c r="X12">
        <f t="shared" si="2"/>
        <v>25.767482999999995</v>
      </c>
      <c r="Y12">
        <v>0.47175</v>
      </c>
      <c r="Z12">
        <f t="shared" si="3"/>
        <v>3.8808602299262224E-2</v>
      </c>
    </row>
    <row r="13" spans="1:26" x14ac:dyDescent="0.3">
      <c r="A13" s="26">
        <v>150</v>
      </c>
      <c r="B13" s="26">
        <v>1.321</v>
      </c>
      <c r="C13" s="30">
        <v>9.0999999999999998E-2</v>
      </c>
      <c r="D13" s="26">
        <v>150</v>
      </c>
      <c r="E13" s="26">
        <f t="shared" si="4"/>
        <v>25.209923664122137</v>
      </c>
      <c r="F13" s="26">
        <f t="shared" si="5"/>
        <v>1.7366412213740456</v>
      </c>
      <c r="G13" s="3">
        <v>150</v>
      </c>
      <c r="H13" s="3">
        <v>0.60104000000000002</v>
      </c>
      <c r="I13" s="3">
        <v>0.74080000000000001</v>
      </c>
      <c r="L13" s="15">
        <v>150</v>
      </c>
      <c r="M13" s="15">
        <v>0.34300000000000003</v>
      </c>
      <c r="N13" s="15">
        <v>0.45400000000000001</v>
      </c>
      <c r="O13" s="15">
        <v>150</v>
      </c>
      <c r="P13" s="15">
        <f t="shared" si="0"/>
        <v>0.15977268492640212</v>
      </c>
      <c r="Q13" s="15">
        <f>N13/2.1468</f>
        <v>0.21147754797838647</v>
      </c>
      <c r="V13" s="3">
        <v>150</v>
      </c>
      <c r="W13" s="3">
        <v>0.60104000000000002</v>
      </c>
      <c r="X13">
        <f t="shared" si="2"/>
        <v>24.822952000000001</v>
      </c>
      <c r="Y13" s="25">
        <v>0.54908999999999997</v>
      </c>
      <c r="Z13">
        <f t="shared" si="3"/>
        <v>4.028529725231713E-2</v>
      </c>
    </row>
    <row r="14" spans="1:26" x14ac:dyDescent="0.3">
      <c r="F14" s="26">
        <f t="shared" si="5"/>
        <v>0</v>
      </c>
      <c r="H14" s="3"/>
    </row>
    <row r="15" spans="1:26" x14ac:dyDescent="0.3">
      <c r="X15" t="s">
        <v>55</v>
      </c>
    </row>
    <row r="16" spans="1:26" x14ac:dyDescent="0.3">
      <c r="B16" t="s">
        <v>38</v>
      </c>
    </row>
    <row r="17" spans="1:26" x14ac:dyDescent="0.3">
      <c r="B17" t="s">
        <v>31</v>
      </c>
      <c r="V17" s="3" t="s">
        <v>0</v>
      </c>
      <c r="X17" t="s">
        <v>56</v>
      </c>
      <c r="Y17" t="s">
        <v>57</v>
      </c>
      <c r="Z17" t="s">
        <v>58</v>
      </c>
    </row>
    <row r="18" spans="1:26" x14ac:dyDescent="0.3">
      <c r="A18" t="s">
        <v>40</v>
      </c>
      <c r="B18" t="s">
        <v>39</v>
      </c>
      <c r="V18" s="3">
        <v>0</v>
      </c>
      <c r="W18" s="3">
        <v>1</v>
      </c>
      <c r="X18">
        <f>W18*41.3</f>
        <v>41.3</v>
      </c>
      <c r="Y18">
        <v>0</v>
      </c>
      <c r="Z18">
        <f>1/X18</f>
        <v>2.4213075060532691E-2</v>
      </c>
    </row>
    <row r="19" spans="1:26" x14ac:dyDescent="0.3">
      <c r="V19" s="3">
        <v>5</v>
      </c>
      <c r="W19" s="3">
        <v>0.94</v>
      </c>
      <c r="X19">
        <f t="shared" ref="X19:X27" si="6">W19*41.3</f>
        <v>38.821999999999996</v>
      </c>
      <c r="Y19">
        <v>6.9190000000000002E-2</v>
      </c>
      <c r="Z19">
        <f t="shared" ref="Z19:Z27" si="7">1/X19</f>
        <v>2.5758590489928394E-2</v>
      </c>
    </row>
    <row r="20" spans="1:26" x14ac:dyDescent="0.3">
      <c r="V20" s="3">
        <v>10</v>
      </c>
      <c r="W20" s="3">
        <v>0.92</v>
      </c>
      <c r="X20">
        <f t="shared" si="6"/>
        <v>37.996000000000002</v>
      </c>
      <c r="Y20">
        <v>8.3379999999999996E-2</v>
      </c>
      <c r="Z20">
        <f t="shared" si="7"/>
        <v>2.6318559848405094E-2</v>
      </c>
    </row>
    <row r="21" spans="1:26" x14ac:dyDescent="0.3">
      <c r="V21" s="3">
        <v>20</v>
      </c>
      <c r="W21" s="3">
        <v>0.89449999999999996</v>
      </c>
      <c r="X21">
        <f t="shared" si="6"/>
        <v>36.942849999999993</v>
      </c>
      <c r="Y21">
        <v>0.11149000000000001</v>
      </c>
      <c r="Z21">
        <f t="shared" si="7"/>
        <v>2.7068837406967795E-2</v>
      </c>
    </row>
    <row r="22" spans="1:26" x14ac:dyDescent="0.3">
      <c r="V22" s="3">
        <v>30</v>
      </c>
      <c r="W22" s="3">
        <v>0.87265999999999999</v>
      </c>
      <c r="X22">
        <f t="shared" si="6"/>
        <v>36.040858</v>
      </c>
      <c r="Y22">
        <v>0.12361999999999999</v>
      </c>
      <c r="Z22">
        <f t="shared" si="7"/>
        <v>2.7746287283171783E-2</v>
      </c>
    </row>
    <row r="23" spans="1:26" x14ac:dyDescent="0.3">
      <c r="V23" s="3">
        <v>45</v>
      </c>
      <c r="W23" s="3">
        <v>0.85209999999999997</v>
      </c>
      <c r="X23">
        <f t="shared" si="6"/>
        <v>35.19173</v>
      </c>
      <c r="Y23">
        <v>0.16005</v>
      </c>
      <c r="Z23">
        <f t="shared" si="7"/>
        <v>2.8415766999803648E-2</v>
      </c>
    </row>
    <row r="24" spans="1:26" x14ac:dyDescent="0.3">
      <c r="V24" s="3">
        <v>60</v>
      </c>
      <c r="W24" s="3">
        <v>0.81599999999999995</v>
      </c>
      <c r="X24">
        <f t="shared" si="6"/>
        <v>33.700799999999994</v>
      </c>
      <c r="Y24">
        <v>0.17982999999999999</v>
      </c>
      <c r="Z24">
        <f t="shared" si="7"/>
        <v>2.9672886103593987E-2</v>
      </c>
    </row>
    <row r="25" spans="1:26" x14ac:dyDescent="0.3">
      <c r="V25" s="3">
        <v>90</v>
      </c>
      <c r="W25" s="3">
        <v>0.78568000000000005</v>
      </c>
      <c r="X25">
        <f t="shared" si="6"/>
        <v>32.448583999999997</v>
      </c>
      <c r="Y25">
        <v>0.22012000000000001</v>
      </c>
      <c r="Z25">
        <f t="shared" si="7"/>
        <v>3.0817985770966158E-2</v>
      </c>
    </row>
    <row r="26" spans="1:26" x14ac:dyDescent="0.3">
      <c r="V26" s="3">
        <v>120</v>
      </c>
      <c r="W26" s="3">
        <v>0.76236800000000005</v>
      </c>
      <c r="X26">
        <f t="shared" si="6"/>
        <v>31.4857984</v>
      </c>
      <c r="Y26">
        <v>0.27133000000000002</v>
      </c>
      <c r="Z26">
        <f t="shared" si="7"/>
        <v>3.1760350723709134E-2</v>
      </c>
    </row>
    <row r="27" spans="1:26" x14ac:dyDescent="0.3">
      <c r="V27" s="3">
        <v>150</v>
      </c>
      <c r="W27" s="3">
        <v>0.72407999999999995</v>
      </c>
      <c r="X27">
        <f t="shared" si="6"/>
        <v>29.904503999999996</v>
      </c>
      <c r="Y27" s="25">
        <v>0.32300000000000001</v>
      </c>
      <c r="Z27">
        <f t="shared" si="7"/>
        <v>3.3439778837328321E-2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G11" sqref="G11"/>
    </sheetView>
  </sheetViews>
  <sheetFormatPr defaultRowHeight="14.4" x14ac:dyDescent="0.3"/>
  <sheetData>
    <row r="1" spans="1:8" x14ac:dyDescent="0.3">
      <c r="A1" s="2" t="s">
        <v>0</v>
      </c>
      <c r="B1" s="9" t="s">
        <v>12</v>
      </c>
      <c r="C1" t="s">
        <v>23</v>
      </c>
    </row>
    <row r="2" spans="1:8" x14ac:dyDescent="0.3">
      <c r="A2" s="3" t="s">
        <v>4</v>
      </c>
      <c r="B2" s="9">
        <v>5.04</v>
      </c>
      <c r="C2" s="9">
        <v>5.04</v>
      </c>
    </row>
    <row r="3" spans="1:8" x14ac:dyDescent="0.3">
      <c r="A3" s="21">
        <v>-30</v>
      </c>
      <c r="B3" s="21">
        <v>0</v>
      </c>
      <c r="C3" s="21">
        <v>0</v>
      </c>
      <c r="F3" t="s">
        <v>24</v>
      </c>
      <c r="H3" t="s">
        <v>25</v>
      </c>
    </row>
    <row r="4" spans="1:8" x14ac:dyDescent="0.3">
      <c r="A4" s="2">
        <v>0</v>
      </c>
      <c r="B4" s="9">
        <v>0</v>
      </c>
      <c r="C4" s="9">
        <v>0</v>
      </c>
      <c r="D4" s="10">
        <v>0</v>
      </c>
      <c r="E4" s="10">
        <v>0</v>
      </c>
      <c r="F4" s="22">
        <v>1</v>
      </c>
      <c r="G4" s="22">
        <v>1</v>
      </c>
    </row>
    <row r="5" spans="1:8" x14ac:dyDescent="0.3">
      <c r="A5" s="2">
        <v>5</v>
      </c>
      <c r="B5" s="9">
        <v>1.6639999999999999</v>
      </c>
      <c r="C5" s="9">
        <v>1.921</v>
      </c>
      <c r="D5" s="10">
        <f>B5/0.0524</f>
        <v>31.755725190839691</v>
      </c>
      <c r="E5" s="10">
        <f>C5/0.0524</f>
        <v>36.660305343511453</v>
      </c>
      <c r="F5" s="22">
        <f>' DI-RW1H'!D5/41</f>
        <v>0.77452988270340706</v>
      </c>
      <c r="G5" s="22">
        <f>E5/41</f>
        <v>0.89415378886613306</v>
      </c>
    </row>
    <row r="6" spans="1:8" x14ac:dyDescent="0.3">
      <c r="A6" s="2">
        <v>10</v>
      </c>
      <c r="B6" s="9">
        <v>1.5009999999999999</v>
      </c>
      <c r="C6" s="9">
        <v>1.7430000000000001</v>
      </c>
      <c r="D6" s="10">
        <f t="shared" ref="D6:D10" si="0">B6/0.0524</f>
        <v>28.645038167938928</v>
      </c>
      <c r="E6" s="10">
        <f t="shared" ref="E6:E10" si="1">C6/0.0524</f>
        <v>33.263358778625957</v>
      </c>
      <c r="F6" s="22">
        <f>' DI-RW1H'!D6/41</f>
        <v>0.69865946751070551</v>
      </c>
      <c r="G6" s="22">
        <f t="shared" ref="G6:G10" si="2">E6/41</f>
        <v>0.81130143362502338</v>
      </c>
    </row>
    <row r="7" spans="1:8" x14ac:dyDescent="0.3">
      <c r="A7" s="2">
        <v>20</v>
      </c>
      <c r="B7" s="9">
        <v>1.3839999999999999</v>
      </c>
      <c r="C7" s="9">
        <v>1.6339999999999999</v>
      </c>
      <c r="D7" s="10">
        <f t="shared" si="0"/>
        <v>26.412213740458011</v>
      </c>
      <c r="E7" s="10">
        <f t="shared" si="1"/>
        <v>31.183206106870227</v>
      </c>
      <c r="F7" s="22">
        <f>' DI-RW1H'!D7/41</f>
        <v>0.64420033513312225</v>
      </c>
      <c r="G7" s="22">
        <f t="shared" si="2"/>
        <v>0.76056600260659091</v>
      </c>
    </row>
    <row r="8" spans="1:8" x14ac:dyDescent="0.3">
      <c r="A8" s="2">
        <v>30</v>
      </c>
      <c r="B8" s="9">
        <v>1.274</v>
      </c>
      <c r="C8" s="9">
        <v>1.542</v>
      </c>
      <c r="D8" s="10">
        <f t="shared" si="0"/>
        <v>24.31297709923664</v>
      </c>
      <c r="E8" s="10">
        <f t="shared" si="1"/>
        <v>29.427480916030532</v>
      </c>
      <c r="F8" s="22">
        <f>' DI-RW1H'!D8/41</f>
        <v>0.5929994414447961</v>
      </c>
      <c r="G8" s="22">
        <f t="shared" si="2"/>
        <v>0.71774343697635445</v>
      </c>
    </row>
    <row r="9" spans="1:8" x14ac:dyDescent="0.3">
      <c r="A9" s="2">
        <v>45</v>
      </c>
      <c r="B9" s="9">
        <v>1.181</v>
      </c>
      <c r="C9" s="9">
        <v>1.425</v>
      </c>
      <c r="D9" s="10">
        <f t="shared" si="0"/>
        <v>22.538167938931299</v>
      </c>
      <c r="E9" s="10">
        <f t="shared" si="1"/>
        <v>27.194656488549619</v>
      </c>
      <c r="F9" s="22">
        <f>' DI-RW1H'!D9/41</f>
        <v>0.54971141314466587</v>
      </c>
      <c r="G9" s="22">
        <f t="shared" si="2"/>
        <v>0.66328430459877119</v>
      </c>
    </row>
    <row r="10" spans="1:8" x14ac:dyDescent="0.3">
      <c r="A10" s="2">
        <v>60</v>
      </c>
      <c r="B10" s="9">
        <v>1.036</v>
      </c>
      <c r="C10" s="9">
        <v>1.3420000000000001</v>
      </c>
      <c r="D10" s="10">
        <f t="shared" si="0"/>
        <v>19.770992366412212</v>
      </c>
      <c r="E10" s="10">
        <f t="shared" si="1"/>
        <v>25.610687022900763</v>
      </c>
      <c r="F10" s="22">
        <f>' DI-RW1H'!D10/41</f>
        <v>0.48221932601005396</v>
      </c>
      <c r="G10" s="22">
        <f t="shared" si="2"/>
        <v>0.62465090299757953</v>
      </c>
    </row>
    <row r="11" spans="1:8" x14ac:dyDescent="0.3">
      <c r="G11" s="36">
        <f>-LN(G10)</f>
        <v>0.47056234049967727</v>
      </c>
    </row>
    <row r="12" spans="1:8" x14ac:dyDescent="0.3">
      <c r="C12">
        <f>2.135/0.0524</f>
        <v>40.744274809160302</v>
      </c>
      <c r="D12" s="23">
        <f>(40.74-19.77)/40.74*100</f>
        <v>51.472754050073647</v>
      </c>
      <c r="E12">
        <f>(40.74-25.7)/40.74*100</f>
        <v>36.917034855179189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63" workbookViewId="0">
      <selection activeCell="I38" sqref="I38"/>
    </sheetView>
  </sheetViews>
  <sheetFormatPr defaultRowHeight="14.4" x14ac:dyDescent="0.3"/>
  <sheetData>
    <row r="1" spans="1:26" x14ac:dyDescent="0.3">
      <c r="A1" s="15" t="s">
        <v>0</v>
      </c>
      <c r="B1" s="15" t="s">
        <v>31</v>
      </c>
      <c r="C1" s="22"/>
      <c r="D1" s="22"/>
    </row>
    <row r="2" spans="1:26" x14ac:dyDescent="0.3">
      <c r="A2" s="15" t="s">
        <v>4</v>
      </c>
      <c r="B2" s="15" t="s">
        <v>26</v>
      </c>
      <c r="C2" s="2" t="s">
        <v>27</v>
      </c>
      <c r="D2" s="2" t="s">
        <v>28</v>
      </c>
      <c r="E2" s="2" t="s">
        <v>29</v>
      </c>
      <c r="F2" s="2" t="s">
        <v>30</v>
      </c>
    </row>
    <row r="3" spans="1:26" x14ac:dyDescent="0.3">
      <c r="A3">
        <v>-30</v>
      </c>
      <c r="B3" s="21">
        <v>5.08</v>
      </c>
      <c r="C3" s="2">
        <v>4.9800000000000004</v>
      </c>
      <c r="D3" s="2">
        <v>5.0999999999999996</v>
      </c>
      <c r="E3" s="2">
        <v>5.09</v>
      </c>
      <c r="F3" s="2">
        <v>5.09</v>
      </c>
      <c r="V3">
        <v>0</v>
      </c>
      <c r="W3">
        <v>0</v>
      </c>
      <c r="X3" s="15">
        <v>1</v>
      </c>
    </row>
    <row r="4" spans="1:26" x14ac:dyDescent="0.3">
      <c r="A4" s="15">
        <v>0</v>
      </c>
      <c r="B4" s="15">
        <v>0</v>
      </c>
      <c r="C4" s="15">
        <v>0</v>
      </c>
      <c r="D4" s="15">
        <v>0</v>
      </c>
      <c r="E4" s="15">
        <v>0</v>
      </c>
      <c r="F4" s="15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V4">
        <v>30</v>
      </c>
      <c r="W4">
        <v>0.5</v>
      </c>
      <c r="X4" s="10">
        <v>0.37104999999999999</v>
      </c>
    </row>
    <row r="5" spans="1:26" x14ac:dyDescent="0.3">
      <c r="A5" s="15">
        <v>5</v>
      </c>
      <c r="B5" s="15">
        <v>1.2749999999999999</v>
      </c>
      <c r="C5" s="15">
        <v>1.2749999999999999</v>
      </c>
      <c r="D5" s="15">
        <v>1.2749999999999999</v>
      </c>
      <c r="E5" s="15">
        <v>1.2749999999999999</v>
      </c>
      <c r="F5" s="15">
        <v>1.2749999999999999</v>
      </c>
      <c r="G5" s="32">
        <v>5</v>
      </c>
      <c r="H5" s="32">
        <f>B5/0.0524</f>
        <v>24.332061068702288</v>
      </c>
      <c r="I5" s="32">
        <f>C5/0.0524</f>
        <v>24.332061068702288</v>
      </c>
      <c r="J5" s="32">
        <f>D5/0.0524</f>
        <v>24.332061068702288</v>
      </c>
      <c r="K5" s="32">
        <f>E5/0.0524</f>
        <v>24.332061068702288</v>
      </c>
      <c r="L5" s="32">
        <f>F5/0.0524</f>
        <v>24.332061068702288</v>
      </c>
      <c r="V5">
        <v>45</v>
      </c>
      <c r="W5">
        <v>0.75</v>
      </c>
      <c r="X5" s="10">
        <v>0.27955999999999998</v>
      </c>
    </row>
    <row r="6" spans="1:26" x14ac:dyDescent="0.3">
      <c r="A6" s="15">
        <v>10</v>
      </c>
      <c r="B6" s="15">
        <v>1.123</v>
      </c>
      <c r="C6" s="15">
        <v>1.123</v>
      </c>
      <c r="D6" s="15">
        <v>1.123</v>
      </c>
      <c r="E6" s="15">
        <v>1.123</v>
      </c>
      <c r="F6" s="15">
        <v>1.123</v>
      </c>
      <c r="G6" s="32">
        <v>10</v>
      </c>
      <c r="H6" s="32">
        <f t="shared" ref="H6:H13" si="0">B6/0.0524</f>
        <v>21.431297709923662</v>
      </c>
      <c r="I6" s="32">
        <f t="shared" ref="I6:I13" si="1">C6/0.0524</f>
        <v>21.431297709923662</v>
      </c>
      <c r="J6" s="32">
        <f t="shared" ref="J6:J13" si="2">D6/0.0524</f>
        <v>21.431297709923662</v>
      </c>
      <c r="K6" s="32">
        <f t="shared" ref="K6:K12" si="3">E6/0.0524</f>
        <v>21.431297709923662</v>
      </c>
      <c r="L6" s="32">
        <f t="shared" ref="L6:L13" si="4">F6/0.0524</f>
        <v>21.431297709923662</v>
      </c>
      <c r="V6">
        <v>60</v>
      </c>
      <c r="W6">
        <v>1</v>
      </c>
      <c r="X6" s="10">
        <v>0.21903</v>
      </c>
    </row>
    <row r="7" spans="1:26" x14ac:dyDescent="0.3">
      <c r="A7" s="15">
        <v>20</v>
      </c>
      <c r="B7" s="15">
        <v>0.92600000000000005</v>
      </c>
      <c r="C7" s="15">
        <v>0.92600000000000005</v>
      </c>
      <c r="D7" s="15">
        <v>0.92600000000000005</v>
      </c>
      <c r="E7" s="15">
        <v>0.92600000000000005</v>
      </c>
      <c r="F7" s="15">
        <v>0.92600000000000005</v>
      </c>
      <c r="G7" s="32">
        <v>20</v>
      </c>
      <c r="H7" s="32">
        <f t="shared" si="0"/>
        <v>17.671755725190838</v>
      </c>
      <c r="I7" s="32">
        <f t="shared" si="1"/>
        <v>17.671755725190838</v>
      </c>
      <c r="J7" s="32">
        <f t="shared" si="2"/>
        <v>17.671755725190838</v>
      </c>
      <c r="K7" s="32">
        <f t="shared" si="3"/>
        <v>17.671755725190838</v>
      </c>
      <c r="L7" s="32">
        <f t="shared" si="4"/>
        <v>17.671755725190838</v>
      </c>
      <c r="V7">
        <v>90</v>
      </c>
      <c r="W7">
        <v>1.5</v>
      </c>
      <c r="X7">
        <v>0.14371</v>
      </c>
    </row>
    <row r="8" spans="1:26" x14ac:dyDescent="0.3">
      <c r="A8" s="15">
        <v>30</v>
      </c>
      <c r="B8" s="15">
        <v>0.80300000000000005</v>
      </c>
      <c r="C8" s="15">
        <v>0.80300000000000005</v>
      </c>
      <c r="D8" s="15">
        <v>0.80300000000000005</v>
      </c>
      <c r="E8" s="15">
        <v>0.80300000000000005</v>
      </c>
      <c r="F8" s="15">
        <v>0.80300000000000005</v>
      </c>
      <c r="G8" s="32">
        <v>30</v>
      </c>
      <c r="H8" s="32">
        <f t="shared" si="0"/>
        <v>15.324427480916031</v>
      </c>
      <c r="I8" s="32">
        <f t="shared" si="1"/>
        <v>15.324427480916031</v>
      </c>
      <c r="J8" s="32">
        <f t="shared" si="2"/>
        <v>15.324427480916031</v>
      </c>
      <c r="K8" s="32">
        <f t="shared" si="3"/>
        <v>15.324427480916031</v>
      </c>
      <c r="L8" s="32">
        <f t="shared" si="4"/>
        <v>15.324427480916031</v>
      </c>
      <c r="V8">
        <v>120</v>
      </c>
      <c r="W8">
        <v>2</v>
      </c>
      <c r="X8">
        <v>0.10212</v>
      </c>
    </row>
    <row r="9" spans="1:26" x14ac:dyDescent="0.3">
      <c r="A9" s="15">
        <v>45</v>
      </c>
      <c r="B9" s="15">
        <v>0.60499999999999998</v>
      </c>
      <c r="C9" s="15">
        <v>0.60499999999999998</v>
      </c>
      <c r="D9" s="15">
        <v>0.60499999999999998</v>
      </c>
      <c r="E9" s="15">
        <v>0.60499999999999998</v>
      </c>
      <c r="F9" s="15">
        <v>0.60499999999999998</v>
      </c>
      <c r="G9" s="32">
        <v>45</v>
      </c>
      <c r="H9" s="32">
        <f t="shared" si="0"/>
        <v>11.545801526717556</v>
      </c>
      <c r="I9" s="32">
        <f t="shared" si="1"/>
        <v>11.545801526717556</v>
      </c>
      <c r="J9" s="32">
        <f t="shared" si="2"/>
        <v>11.545801526717556</v>
      </c>
      <c r="K9" s="32">
        <f t="shared" si="3"/>
        <v>11.545801526717556</v>
      </c>
      <c r="L9" s="32">
        <f t="shared" si="4"/>
        <v>11.545801526717556</v>
      </c>
      <c r="V9" s="25">
        <v>150</v>
      </c>
      <c r="W9" s="25">
        <v>2.5</v>
      </c>
      <c r="X9">
        <v>4.2049999999999997E-2</v>
      </c>
      <c r="Y9">
        <v>1</v>
      </c>
    </row>
    <row r="10" spans="1:26" x14ac:dyDescent="0.3">
      <c r="A10" s="15">
        <v>60</v>
      </c>
      <c r="B10" s="15">
        <v>0.47399999999999998</v>
      </c>
      <c r="C10" s="15">
        <v>0.47399999999999998</v>
      </c>
      <c r="D10" s="15">
        <v>0.47399999999999998</v>
      </c>
      <c r="E10" s="15">
        <v>0.47399999999999998</v>
      </c>
      <c r="F10" s="15">
        <v>0.47399999999999998</v>
      </c>
      <c r="G10" s="32">
        <v>60</v>
      </c>
      <c r="H10" s="32">
        <f t="shared" si="0"/>
        <v>9.0458015267175558</v>
      </c>
      <c r="I10" s="32">
        <f t="shared" si="1"/>
        <v>9.0458015267175558</v>
      </c>
      <c r="J10" s="32">
        <f t="shared" si="2"/>
        <v>9.0458015267175558</v>
      </c>
      <c r="K10" s="32">
        <f t="shared" si="3"/>
        <v>9.0458015267175558</v>
      </c>
      <c r="L10" s="32">
        <f t="shared" si="4"/>
        <v>9.0458015267175558</v>
      </c>
      <c r="W10">
        <v>3</v>
      </c>
      <c r="Y10" s="10">
        <v>0.37104999999999999</v>
      </c>
    </row>
    <row r="11" spans="1:26" x14ac:dyDescent="0.3">
      <c r="A11" s="29">
        <v>90</v>
      </c>
      <c r="B11" s="15">
        <v>0.311</v>
      </c>
      <c r="C11" s="15">
        <v>0.311</v>
      </c>
      <c r="D11" s="15">
        <v>0.311</v>
      </c>
      <c r="E11" s="15">
        <v>0.311</v>
      </c>
      <c r="F11" s="15">
        <v>0.311</v>
      </c>
      <c r="G11" s="32">
        <v>90</v>
      </c>
      <c r="H11" s="32">
        <f t="shared" si="0"/>
        <v>5.9351145038167941</v>
      </c>
      <c r="I11" s="32">
        <f t="shared" si="1"/>
        <v>5.9351145038167941</v>
      </c>
      <c r="J11" s="32">
        <f t="shared" si="2"/>
        <v>5.9351145038167941</v>
      </c>
      <c r="K11" s="32">
        <f t="shared" si="3"/>
        <v>5.9351145038167941</v>
      </c>
      <c r="L11" s="32">
        <f t="shared" si="4"/>
        <v>5.9351145038167941</v>
      </c>
      <c r="W11">
        <v>3.25</v>
      </c>
      <c r="Y11" s="10">
        <v>0.27955999999999998</v>
      </c>
    </row>
    <row r="12" spans="1:26" x14ac:dyDescent="0.3">
      <c r="A12" s="29">
        <v>120</v>
      </c>
      <c r="B12" s="15">
        <v>0.221</v>
      </c>
      <c r="C12" s="15">
        <v>0.221</v>
      </c>
      <c r="D12" s="15">
        <v>0.221</v>
      </c>
      <c r="E12" s="15">
        <v>0.221</v>
      </c>
      <c r="F12" s="15">
        <v>0.221</v>
      </c>
      <c r="G12" s="32">
        <v>120</v>
      </c>
      <c r="H12" s="32">
        <f t="shared" si="0"/>
        <v>4.2175572519083966</v>
      </c>
      <c r="I12" s="32">
        <f t="shared" si="1"/>
        <v>4.2175572519083966</v>
      </c>
      <c r="J12" s="32">
        <f t="shared" si="2"/>
        <v>4.2175572519083966</v>
      </c>
      <c r="K12" s="32">
        <f t="shared" si="3"/>
        <v>4.2175572519083966</v>
      </c>
      <c r="L12" s="32">
        <f t="shared" si="4"/>
        <v>4.2175572519083966</v>
      </c>
      <c r="W12">
        <v>3.5</v>
      </c>
      <c r="Y12" s="10">
        <v>0.21903</v>
      </c>
    </row>
    <row r="13" spans="1:26" x14ac:dyDescent="0.3">
      <c r="A13" s="29">
        <v>150</v>
      </c>
      <c r="B13" s="29">
        <v>9.0999999999999998E-2</v>
      </c>
      <c r="C13" s="29">
        <v>9.0999999999999998E-2</v>
      </c>
      <c r="D13" s="29">
        <v>9.0999999999999998E-2</v>
      </c>
      <c r="E13" s="29">
        <v>9.0999999999999998E-2</v>
      </c>
      <c r="F13" s="29">
        <v>9.0999999999999998E-2</v>
      </c>
      <c r="G13" s="32">
        <v>150</v>
      </c>
      <c r="H13" s="32">
        <f t="shared" si="0"/>
        <v>1.7366412213740456</v>
      </c>
      <c r="I13" s="32">
        <f t="shared" si="1"/>
        <v>1.7366412213740456</v>
      </c>
      <c r="J13" s="32">
        <f t="shared" si="2"/>
        <v>1.7366412213740456</v>
      </c>
      <c r="K13" s="32">
        <f>E13/0.0524</f>
        <v>1.7366412213740456</v>
      </c>
      <c r="L13" s="32">
        <f t="shared" si="4"/>
        <v>1.7366412213740456</v>
      </c>
      <c r="W13">
        <v>4</v>
      </c>
      <c r="Y13">
        <v>0.14371</v>
      </c>
    </row>
    <row r="14" spans="1:26" x14ac:dyDescent="0.3">
      <c r="W14">
        <v>4.5</v>
      </c>
      <c r="Y14">
        <v>0.10212</v>
      </c>
    </row>
    <row r="15" spans="1:26" x14ac:dyDescent="0.3">
      <c r="V15" s="25">
        <v>300</v>
      </c>
      <c r="W15" s="25">
        <v>5</v>
      </c>
      <c r="Y15">
        <v>4.2049999999999997E-2</v>
      </c>
      <c r="Z15">
        <v>1</v>
      </c>
    </row>
    <row r="16" spans="1:26" x14ac:dyDescent="0.3">
      <c r="W16">
        <v>5.5</v>
      </c>
      <c r="Z16" s="10">
        <v>0.37104999999999999</v>
      </c>
    </row>
    <row r="17" spans="6:28" x14ac:dyDescent="0.3">
      <c r="W17">
        <v>5.75</v>
      </c>
      <c r="Z17" s="10">
        <v>0.27955999999999998</v>
      </c>
    </row>
    <row r="18" spans="6:28" x14ac:dyDescent="0.3">
      <c r="W18">
        <v>6</v>
      </c>
      <c r="Z18" s="10">
        <v>0.21903</v>
      </c>
    </row>
    <row r="19" spans="6:28" x14ac:dyDescent="0.3">
      <c r="W19">
        <v>6.5</v>
      </c>
      <c r="Z19">
        <v>0.14371</v>
      </c>
    </row>
    <row r="20" spans="6:28" x14ac:dyDescent="0.3">
      <c r="W20">
        <v>7</v>
      </c>
      <c r="Z20">
        <v>0.10212</v>
      </c>
    </row>
    <row r="21" spans="6:28" x14ac:dyDescent="0.3">
      <c r="V21" s="25">
        <v>450</v>
      </c>
      <c r="W21" s="25">
        <v>7.5</v>
      </c>
      <c r="Z21">
        <v>4.2049999999999997E-2</v>
      </c>
      <c r="AA21">
        <v>1</v>
      </c>
    </row>
    <row r="22" spans="6:28" x14ac:dyDescent="0.3">
      <c r="W22">
        <v>8</v>
      </c>
      <c r="AA22" s="10">
        <v>0.37104999999999999</v>
      </c>
    </row>
    <row r="23" spans="6:28" x14ac:dyDescent="0.3">
      <c r="F23">
        <v>1</v>
      </c>
      <c r="W23">
        <v>8.25</v>
      </c>
      <c r="AA23" s="10">
        <v>0.27955999999999998</v>
      </c>
    </row>
    <row r="24" spans="6:28" x14ac:dyDescent="0.3">
      <c r="F24">
        <v>0.58914999999999995</v>
      </c>
      <c r="W24">
        <v>8.5</v>
      </c>
      <c r="AA24" s="10">
        <v>0.21903</v>
      </c>
    </row>
    <row r="25" spans="6:28" x14ac:dyDescent="0.3">
      <c r="F25">
        <v>0.51892000000000005</v>
      </c>
      <c r="I25">
        <f>750/60</f>
        <v>12.5</v>
      </c>
      <c r="W25">
        <v>9</v>
      </c>
      <c r="AA25">
        <v>0.14371</v>
      </c>
    </row>
    <row r="26" spans="6:28" x14ac:dyDescent="0.3">
      <c r="F26">
        <v>0.42788999999999999</v>
      </c>
      <c r="W26">
        <v>9.5</v>
      </c>
      <c r="AA26">
        <v>0.10212</v>
      </c>
    </row>
    <row r="27" spans="6:28" x14ac:dyDescent="0.3">
      <c r="F27">
        <v>0.37104999999999999</v>
      </c>
      <c r="I27">
        <f>5/60</f>
        <v>8.3333333333333329E-2</v>
      </c>
      <c r="V27" s="25">
        <v>600</v>
      </c>
      <c r="W27">
        <v>10</v>
      </c>
      <c r="AA27">
        <v>4.2049999999999997E-2</v>
      </c>
      <c r="AB27">
        <v>1</v>
      </c>
    </row>
    <row r="28" spans="6:28" x14ac:dyDescent="0.3">
      <c r="F28">
        <v>0.27955999999999998</v>
      </c>
      <c r="W28">
        <v>10.5</v>
      </c>
      <c r="AB28" s="10">
        <v>0.37104999999999999</v>
      </c>
    </row>
    <row r="29" spans="6:28" x14ac:dyDescent="0.3">
      <c r="F29">
        <v>0.21903</v>
      </c>
      <c r="W29">
        <v>10.75</v>
      </c>
      <c r="AB29" s="10">
        <v>0.27955999999999998</v>
      </c>
    </row>
    <row r="30" spans="6:28" x14ac:dyDescent="0.3">
      <c r="F30">
        <v>0.14371</v>
      </c>
      <c r="W30">
        <v>11</v>
      </c>
      <c r="AB30" s="10">
        <v>0.21903</v>
      </c>
    </row>
    <row r="31" spans="6:28" x14ac:dyDescent="0.3">
      <c r="F31">
        <v>0.10212</v>
      </c>
      <c r="W31">
        <v>11.5</v>
      </c>
      <c r="AB31">
        <v>0.14371</v>
      </c>
    </row>
    <row r="32" spans="6:28" x14ac:dyDescent="0.3">
      <c r="F32">
        <v>4.2049999999999997E-2</v>
      </c>
      <c r="W32">
        <v>12</v>
      </c>
      <c r="AB32">
        <v>0.10212</v>
      </c>
    </row>
    <row r="33" spans="22:31" x14ac:dyDescent="0.3">
      <c r="V33" s="25">
        <v>750</v>
      </c>
      <c r="W33" s="25">
        <v>12.5</v>
      </c>
      <c r="AB33">
        <v>4.2049999999999997E-2</v>
      </c>
    </row>
    <row r="35" spans="22:31" x14ac:dyDescent="0.3">
      <c r="AE35">
        <f>0.25*60</f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4B83A9-B71F-4DC9-B8CB-F61150E2C11F}"/>
</file>

<file path=customXml/itemProps2.xml><?xml version="1.0" encoding="utf-8"?>
<ds:datastoreItem xmlns:ds="http://schemas.openxmlformats.org/officeDocument/2006/customXml" ds:itemID="{13EE89DD-7200-4088-A067-5903BB6C2013}"/>
</file>

<file path=customXml/itemProps3.xml><?xml version="1.0" encoding="utf-8"?>
<ds:datastoreItem xmlns:ds="http://schemas.openxmlformats.org/officeDocument/2006/customXml" ds:itemID="{7A55E6E8-DEAD-44AB-BBB0-8EC5E8B02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Felt carbon</vt:lpstr>
      <vt:lpstr>electrode1 (ANNA)</vt:lpstr>
      <vt:lpstr> Electrode 2 FC</vt:lpstr>
      <vt:lpstr> electrode3 (vero)</vt:lpstr>
      <vt:lpstr>effect pH</vt:lpstr>
      <vt:lpstr>EFFECT CURRENT</vt:lpstr>
      <vt:lpstr>dosage H2O2</vt:lpstr>
      <vt:lpstr> DI-RW1H</vt:lpstr>
      <vt:lpstr>Reuse</vt:lpstr>
      <vt:lpstr>DI-RW150min</vt:lpstr>
      <vt:lpstr>kinetic studies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2024-07-17T17:09:47Z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