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https://politoit.sharepoint.com/teams/R-GRP_Unveiling_H2-Research-ElenaRozzi/Documenti condivisi/Research - Elena Rozzi/ECCO-2050/Data in Brief/"/>
    </mc:Choice>
  </mc:AlternateContent>
  <xr:revisionPtr revIDLastSave="17316" documentId="8_{2012881F-AB13-4D70-B70F-9308255ABD6B}" xr6:coauthVersionLast="47" xr6:coauthVersionMax="47" xr10:uidLastSave="{9695FAD1-F23A-404C-BD8C-6EB040EA941A}"/>
  <bookViews>
    <workbookView xWindow="-120" yWindow="-120" windowWidth="29040" windowHeight="15720" tabRatio="883" activeTab="15" xr2:uid="{1D6D212F-E6C5-4085-828A-4E104690242B}"/>
  </bookViews>
  <sheets>
    <sheet name="Metadata" sheetId="19" r:id="rId1"/>
    <sheet name="References" sheetId="15" r:id="rId2"/>
    <sheet name="PV" sheetId="6" r:id="rId3"/>
    <sheet name="BESS" sheetId="11" r:id="rId4"/>
    <sheet name="STE" sheetId="10" r:id="rId5"/>
    <sheet name="TES" sheetId="13" r:id="rId6"/>
    <sheet name="PEMFC" sheetId="4" r:id="rId7"/>
    <sheet name="SOFC" sheetId="9" r:id="rId8"/>
    <sheet name="PEMEC" sheetId="5" r:id="rId9"/>
    <sheet name="AEL" sheetId="8" r:id="rId10"/>
    <sheet name="CGH2" sheetId="12" r:id="rId11"/>
    <sheet name="ICE" sheetId="3" r:id="rId12"/>
    <sheet name="Boiler" sheetId="1" r:id="rId13"/>
    <sheet name="HP" sheetId="2" r:id="rId14"/>
    <sheet name="ORC" sheetId="7" r:id="rId15"/>
    <sheet name="Energy carriers" sheetId="14" r:id="rId1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 i="6" l="1"/>
  <c r="T6" i="1"/>
  <c r="T3" i="1"/>
  <c r="L12" i="10"/>
  <c r="L14" i="10"/>
  <c r="L13" i="10"/>
  <c r="N32" i="6"/>
  <c r="N33" i="6"/>
  <c r="N34" i="6"/>
  <c r="N31" i="6"/>
  <c r="U9" i="14"/>
  <c r="N17" i="14"/>
  <c r="M32" i="14"/>
  <c r="M18" i="14"/>
  <c r="M13" i="14"/>
  <c r="M11" i="14"/>
  <c r="M10" i="14"/>
  <c r="M9" i="14"/>
  <c r="J30" i="14"/>
  <c r="J17" i="14"/>
  <c r="F17" i="14"/>
  <c r="V2" i="2"/>
  <c r="N2" i="2"/>
  <c r="O4" i="1"/>
  <c r="L10" i="12"/>
  <c r="L9" i="12"/>
  <c r="L8" i="12"/>
  <c r="L7" i="12"/>
  <c r="L6" i="12"/>
  <c r="L5" i="12"/>
  <c r="L4" i="12"/>
  <c r="L3" i="12"/>
  <c r="L2" i="12"/>
  <c r="K16" i="12"/>
  <c r="K15" i="12"/>
  <c r="K14" i="12"/>
  <c r="M14" i="12"/>
  <c r="M4" i="8"/>
  <c r="M3" i="8"/>
  <c r="N7" i="8"/>
  <c r="R2" i="5"/>
  <c r="M7" i="5"/>
  <c r="M6" i="5"/>
  <c r="Q14" i="10"/>
  <c r="Q13" i="10"/>
  <c r="Q12" i="10"/>
  <c r="T4" i="11"/>
  <c r="T3" i="11"/>
  <c r="T2" i="11"/>
  <c r="T32" i="6"/>
  <c r="T31" i="6"/>
  <c r="N8" i="4" l="1"/>
  <c r="N3" i="4"/>
  <c r="L6" i="13"/>
  <c r="K6" i="13"/>
  <c r="J6" i="13" l="1"/>
  <c r="V3" i="11" l="1"/>
  <c r="O2" i="6"/>
  <c r="O3" i="6"/>
  <c r="O4" i="6"/>
  <c r="O5" i="6"/>
  <c r="O6" i="6"/>
  <c r="O7" i="6"/>
  <c r="O8" i="6"/>
  <c r="O9" i="6"/>
  <c r="O10" i="6"/>
  <c r="O11" i="6"/>
  <c r="M2" i="6"/>
  <c r="M3" i="6"/>
  <c r="M4" i="6"/>
  <c r="M5" i="6"/>
  <c r="M6" i="6"/>
  <c r="M7" i="6"/>
  <c r="M8" i="6"/>
  <c r="M9" i="6"/>
  <c r="M10" i="6"/>
  <c r="M11" i="6"/>
  <c r="P14" i="10"/>
  <c r="P13" i="10"/>
  <c r="T13" i="10"/>
  <c r="T14" i="10" l="1"/>
  <c r="T12" i="10"/>
  <c r="T11" i="10"/>
  <c r="T10" i="10"/>
  <c r="T9" i="10"/>
  <c r="T8" i="10"/>
  <c r="T7" i="10"/>
  <c r="T6" i="10"/>
  <c r="T5" i="10"/>
  <c r="T4" i="10"/>
  <c r="T3" i="10"/>
  <c r="S14" i="10"/>
  <c r="S13" i="10"/>
  <c r="S12" i="10"/>
  <c r="R14" i="10"/>
  <c r="R13" i="10"/>
  <c r="R12" i="10"/>
  <c r="P12" i="10"/>
  <c r="P11" i="10"/>
  <c r="P10" i="10"/>
  <c r="P9" i="10"/>
  <c r="P8" i="10"/>
  <c r="P7" i="10"/>
  <c r="P6" i="10"/>
  <c r="P5" i="10"/>
  <c r="P4" i="10"/>
  <c r="P3" i="10"/>
  <c r="O12" i="10"/>
  <c r="N14" i="10"/>
  <c r="N13" i="10"/>
  <c r="N12" i="10"/>
  <c r="K14" i="10"/>
  <c r="K13" i="10"/>
  <c r="K12" i="10"/>
  <c r="J14" i="10"/>
  <c r="J13" i="10"/>
  <c r="J12" i="10"/>
  <c r="I14" i="10"/>
  <c r="I13" i="10"/>
  <c r="I12" i="10"/>
  <c r="G14" i="10"/>
  <c r="G13" i="10"/>
  <c r="G12" i="10"/>
  <c r="N11" i="10"/>
  <c r="N10" i="10"/>
  <c r="N9" i="10"/>
  <c r="N8" i="10"/>
  <c r="N7" i="10"/>
  <c r="N6" i="10"/>
  <c r="N5" i="10"/>
  <c r="N4" i="10"/>
  <c r="N3" i="10"/>
  <c r="N2" i="10"/>
  <c r="M11" i="10"/>
  <c r="M10" i="10"/>
  <c r="M9" i="10"/>
  <c r="M8" i="10"/>
  <c r="M7" i="10"/>
  <c r="M6" i="10"/>
  <c r="M5" i="10"/>
  <c r="M3" i="10"/>
  <c r="M4" i="10"/>
  <c r="M2" i="10"/>
  <c r="K2" i="10"/>
  <c r="J2" i="10"/>
  <c r="I2" i="10"/>
  <c r="G2" i="10"/>
  <c r="J11" i="10"/>
  <c r="J10" i="10"/>
  <c r="J9" i="10"/>
  <c r="J8" i="10"/>
  <c r="J7" i="10"/>
  <c r="J6" i="10"/>
  <c r="J5" i="10"/>
  <c r="J4" i="10"/>
  <c r="J3" i="10"/>
  <c r="H3" i="10"/>
  <c r="H11" i="10"/>
  <c r="H10" i="10"/>
  <c r="H9" i="10"/>
  <c r="H8" i="10"/>
  <c r="H7" i="10"/>
  <c r="H6" i="10"/>
  <c r="H5" i="10"/>
  <c r="H4" i="10"/>
  <c r="F3" i="10"/>
  <c r="N13" i="11"/>
  <c r="N12" i="11"/>
  <c r="N11" i="11"/>
  <c r="N10" i="11"/>
  <c r="N2" i="11"/>
  <c r="N5" i="11"/>
  <c r="N4" i="11"/>
  <c r="N3" i="11"/>
  <c r="W13" i="11"/>
  <c r="W12" i="11"/>
  <c r="W11" i="11"/>
  <c r="W10" i="11"/>
  <c r="W5" i="11"/>
  <c r="W4" i="11"/>
  <c r="W3" i="11"/>
  <c r="V5" i="11"/>
  <c r="V4" i="11"/>
  <c r="U5" i="11"/>
  <c r="U4" i="11"/>
  <c r="U3" i="11"/>
  <c r="S2" i="11"/>
  <c r="S5" i="11"/>
  <c r="S4" i="11"/>
  <c r="S3" i="11"/>
  <c r="R9" i="11"/>
  <c r="R8" i="11"/>
  <c r="R7" i="11"/>
  <c r="R6" i="11"/>
  <c r="Q2" i="11"/>
  <c r="Q5" i="11"/>
  <c r="Q4" i="11"/>
  <c r="Q3" i="11"/>
  <c r="P13" i="11"/>
  <c r="P12" i="11"/>
  <c r="P11" i="11"/>
  <c r="P10" i="11"/>
  <c r="P2" i="11"/>
  <c r="P5" i="11"/>
  <c r="P4" i="11"/>
  <c r="P3" i="11"/>
  <c r="O13" i="11"/>
  <c r="O12" i="11"/>
  <c r="O11" i="11"/>
  <c r="O10" i="11"/>
  <c r="O2" i="11"/>
  <c r="O5" i="11"/>
  <c r="O4" i="11"/>
  <c r="O3" i="11"/>
  <c r="M2" i="11"/>
  <c r="M5" i="11"/>
  <c r="M4" i="11"/>
  <c r="M3" i="11"/>
  <c r="L2" i="11"/>
  <c r="L5" i="11"/>
  <c r="L4" i="11"/>
  <c r="L3" i="11"/>
  <c r="K2" i="11"/>
  <c r="K5" i="11"/>
  <c r="K4" i="11"/>
  <c r="K3" i="11"/>
  <c r="I9" i="11"/>
  <c r="I8" i="11"/>
  <c r="I7" i="11"/>
  <c r="I6" i="11"/>
  <c r="H21" i="11"/>
  <c r="H20" i="11"/>
  <c r="H13" i="11"/>
  <c r="H12" i="11"/>
  <c r="H11" i="11"/>
  <c r="H10" i="11"/>
  <c r="H2" i="11"/>
  <c r="H5" i="11"/>
  <c r="H4" i="11"/>
  <c r="H3" i="11"/>
  <c r="G16" i="11"/>
  <c r="G15" i="11"/>
  <c r="F13" i="11"/>
  <c r="F12" i="11"/>
  <c r="F11" i="11"/>
  <c r="F10" i="11"/>
  <c r="F9" i="11"/>
  <c r="F8" i="11"/>
  <c r="F7" i="11"/>
  <c r="F6" i="11"/>
  <c r="F5" i="11"/>
  <c r="F3" i="11"/>
  <c r="F4" i="11"/>
  <c r="H19" i="6"/>
  <c r="H18" i="6"/>
  <c r="K5" i="6"/>
  <c r="L5" i="6"/>
  <c r="X34" i="6"/>
  <c r="X33" i="6"/>
  <c r="X32" i="6"/>
  <c r="X31" i="6"/>
  <c r="X11" i="6"/>
  <c r="X10" i="6"/>
  <c r="X9" i="6"/>
  <c r="X8" i="6"/>
  <c r="X7" i="6"/>
  <c r="X6" i="6"/>
  <c r="W34" i="6"/>
  <c r="W33" i="6"/>
  <c r="W32" i="6"/>
  <c r="W31" i="6"/>
  <c r="V17" i="6"/>
  <c r="V11" i="6"/>
  <c r="V10" i="6"/>
  <c r="V9" i="6"/>
  <c r="V8" i="6"/>
  <c r="V6" i="6"/>
  <c r="V7" i="6"/>
  <c r="U11" i="6"/>
  <c r="U10" i="6"/>
  <c r="U9" i="6"/>
  <c r="U8" i="6"/>
  <c r="U7" i="6"/>
  <c r="S34" i="6"/>
  <c r="S33" i="6"/>
  <c r="S32" i="6"/>
  <c r="S31" i="6"/>
  <c r="S11" i="6"/>
  <c r="S10" i="6"/>
  <c r="S9" i="6"/>
  <c r="S8" i="6"/>
  <c r="S7" i="6"/>
  <c r="S6" i="6"/>
  <c r="R11" i="6"/>
  <c r="R10" i="6"/>
  <c r="R9" i="6"/>
  <c r="R8" i="6"/>
  <c r="R7" i="6"/>
  <c r="R6" i="6"/>
  <c r="Q34" i="6"/>
  <c r="Q33" i="6"/>
  <c r="Q32" i="6"/>
  <c r="Q31" i="6"/>
  <c r="Q30" i="6"/>
  <c r="Q11" i="6"/>
  <c r="Q10" i="6"/>
  <c r="Q9" i="6"/>
  <c r="Q8" i="6"/>
  <c r="Q7" i="6"/>
  <c r="Q6" i="6"/>
  <c r="P34" i="6"/>
  <c r="P33" i="6"/>
  <c r="P32" i="6"/>
  <c r="P31" i="6"/>
  <c r="P30" i="6"/>
  <c r="P17" i="6"/>
  <c r="L34" i="6"/>
  <c r="L33" i="6"/>
  <c r="L32" i="6"/>
  <c r="L31" i="6"/>
  <c r="L30" i="6"/>
  <c r="L29" i="6"/>
  <c r="L28" i="6"/>
  <c r="L11" i="6"/>
  <c r="L10" i="6"/>
  <c r="L9" i="6"/>
  <c r="L8" i="6"/>
  <c r="L7" i="6"/>
  <c r="L6" i="6"/>
  <c r="L4" i="6"/>
  <c r="L3" i="6"/>
  <c r="L2" i="6"/>
  <c r="K2" i="6"/>
  <c r="K34" i="6"/>
  <c r="K33" i="6"/>
  <c r="K32" i="6"/>
  <c r="K31" i="6"/>
  <c r="K30" i="6"/>
  <c r="K17" i="6"/>
  <c r="K11" i="6"/>
  <c r="K10" i="6"/>
  <c r="K9" i="6"/>
  <c r="K8" i="6"/>
  <c r="K7" i="6"/>
  <c r="K6" i="6"/>
  <c r="K4" i="6"/>
  <c r="K3" i="6"/>
  <c r="I3" i="6"/>
  <c r="I5" i="6"/>
  <c r="I4" i="6"/>
  <c r="I2" i="6"/>
  <c r="J34" i="6"/>
  <c r="J33" i="6"/>
  <c r="J32" i="6"/>
  <c r="J31" i="6"/>
  <c r="J30" i="6"/>
  <c r="I27" i="6"/>
  <c r="I26" i="6"/>
  <c r="I25" i="6"/>
  <c r="I11" i="6"/>
  <c r="I10" i="6"/>
  <c r="I9" i="6"/>
  <c r="I8" i="6"/>
  <c r="I7" i="6"/>
  <c r="I6" i="6"/>
  <c r="H32" i="6"/>
  <c r="H31" i="6"/>
  <c r="H33" i="6"/>
  <c r="H34" i="6"/>
  <c r="H30" i="6"/>
  <c r="H11" i="6"/>
  <c r="H10" i="6"/>
  <c r="H9" i="6"/>
  <c r="H8" i="6"/>
  <c r="H7" i="6"/>
  <c r="H6" i="6"/>
  <c r="F34" i="6"/>
  <c r="F33" i="6"/>
  <c r="F32" i="6"/>
  <c r="F31" i="6"/>
  <c r="F30" i="6"/>
  <c r="F24" i="6"/>
  <c r="F23" i="6"/>
  <c r="F22" i="6"/>
  <c r="F21" i="6"/>
  <c r="F20" i="6"/>
  <c r="F17" i="6"/>
  <c r="F16" i="6"/>
  <c r="F15" i="6"/>
  <c r="F14" i="6"/>
  <c r="F13" i="6"/>
  <c r="F12" i="6"/>
  <c r="F11" i="6"/>
  <c r="F10" i="6"/>
  <c r="F9" i="6"/>
  <c r="F8" i="6"/>
  <c r="F7" i="6"/>
  <c r="F6" i="6"/>
  <c r="F5" i="6"/>
  <c r="F4" i="6"/>
  <c r="F3" i="6"/>
  <c r="F2" i="6"/>
  <c r="Y51" i="14" l="1"/>
  <c r="F50" i="14"/>
  <c r="N51" i="14"/>
  <c r="I51" i="14"/>
  <c r="P51" i="14"/>
  <c r="R51" i="14"/>
  <c r="G51" i="14"/>
  <c r="T51" i="14"/>
  <c r="X51" i="14"/>
  <c r="V51" i="14"/>
  <c r="O51" i="14"/>
  <c r="Q51" i="14"/>
  <c r="K51" i="14"/>
  <c r="J51" i="14"/>
  <c r="L51" i="14"/>
  <c r="E51" i="14"/>
  <c r="F51" i="14"/>
  <c r="K50" i="14"/>
  <c r="K49" i="14"/>
  <c r="N50" i="14"/>
  <c r="N49" i="14"/>
  <c r="O50" i="14"/>
  <c r="O49" i="14"/>
  <c r="F49" i="14"/>
  <c r="L48" i="14"/>
  <c r="W48" i="14"/>
  <c r="U48" i="14"/>
  <c r="P48" i="14"/>
  <c r="N48" i="14"/>
  <c r="E48" i="14"/>
  <c r="F48" i="14"/>
  <c r="E44" i="14"/>
  <c r="J42" i="14"/>
  <c r="J41" i="14"/>
  <c r="N42" i="14"/>
  <c r="N41" i="14"/>
  <c r="L42" i="14"/>
  <c r="L41" i="14"/>
  <c r="F42" i="14"/>
  <c r="F41" i="14"/>
  <c r="H40" i="14"/>
  <c r="S40" i="14"/>
  <c r="P40" i="14"/>
  <c r="O40" i="14"/>
  <c r="N40" i="14"/>
  <c r="L40" i="14"/>
  <c r="Y40" i="14"/>
  <c r="E40" i="14"/>
  <c r="F40" i="14"/>
  <c r="O39" i="14"/>
  <c r="O38" i="14"/>
  <c r="N39" i="14"/>
  <c r="N38" i="14"/>
  <c r="F39" i="14"/>
  <c r="F38" i="14"/>
  <c r="I37" i="14"/>
  <c r="J37" i="14"/>
  <c r="K37" i="14"/>
  <c r="G37" i="14"/>
  <c r="T37" i="14"/>
  <c r="R37" i="14"/>
  <c r="Q37" i="14"/>
  <c r="S37" i="14"/>
  <c r="L37" i="14"/>
  <c r="P37" i="14"/>
  <c r="O37" i="14"/>
  <c r="N37" i="14"/>
  <c r="F37" i="14"/>
  <c r="Y37" i="14"/>
  <c r="O33" i="14"/>
  <c r="N33" i="14"/>
  <c r="G33" i="14"/>
  <c r="Y33" i="14"/>
  <c r="F33" i="14"/>
  <c r="J33" i="14"/>
  <c r="K32" i="14"/>
  <c r="H32" i="14"/>
  <c r="J32" i="14"/>
  <c r="P32" i="14"/>
  <c r="O32" i="14"/>
  <c r="N32" i="14"/>
  <c r="L32" i="14"/>
  <c r="U32" i="14"/>
  <c r="W32" i="14"/>
  <c r="Y32" i="14"/>
  <c r="F32" i="14"/>
  <c r="O31" i="14"/>
  <c r="N31" i="14"/>
  <c r="J31" i="14"/>
  <c r="F31" i="14"/>
  <c r="K30" i="14"/>
  <c r="I30" i="14"/>
  <c r="G30" i="14"/>
  <c r="X30" i="14"/>
  <c r="V30" i="14"/>
  <c r="R30" i="14"/>
  <c r="Q30" i="14"/>
  <c r="S30" i="14"/>
  <c r="O30" i="14"/>
  <c r="N30" i="14"/>
  <c r="L30" i="14"/>
  <c r="T30" i="14"/>
  <c r="Y30" i="14"/>
  <c r="F30" i="14"/>
  <c r="K26" i="14"/>
  <c r="J26" i="14"/>
  <c r="I26" i="14"/>
  <c r="G26" i="14"/>
  <c r="X26" i="14"/>
  <c r="T26" i="14"/>
  <c r="V26" i="14"/>
  <c r="R26" i="14"/>
  <c r="Q26" i="14"/>
  <c r="S26" i="14"/>
  <c r="O26" i="14"/>
  <c r="N26" i="14"/>
  <c r="L26" i="14"/>
  <c r="Y26" i="14"/>
  <c r="F26" i="14"/>
  <c r="K21" i="14"/>
  <c r="J21" i="14"/>
  <c r="I21" i="14"/>
  <c r="G21" i="14"/>
  <c r="X21" i="14"/>
  <c r="V21" i="14"/>
  <c r="R21" i="14"/>
  <c r="Q21" i="14"/>
  <c r="S21" i="14"/>
  <c r="O21" i="14"/>
  <c r="N21" i="14"/>
  <c r="L21" i="14"/>
  <c r="Y21" i="14"/>
  <c r="F21" i="14"/>
  <c r="Y25" i="14"/>
  <c r="H25" i="14"/>
  <c r="N25" i="14"/>
  <c r="S25" i="14"/>
  <c r="O25" i="14"/>
  <c r="Q25" i="14"/>
  <c r="J25" i="14"/>
  <c r="F25" i="14"/>
  <c r="H30" i="14" l="1"/>
  <c r="J20" i="14"/>
  <c r="I20" i="14"/>
  <c r="G20" i="14"/>
  <c r="X20" i="14"/>
  <c r="V20" i="14"/>
  <c r="R20" i="14"/>
  <c r="Q20" i="14"/>
  <c r="S20" i="14"/>
  <c r="P20" i="14"/>
  <c r="O20" i="14"/>
  <c r="N20" i="14"/>
  <c r="L20" i="14"/>
  <c r="T20" i="14"/>
  <c r="Y20" i="14"/>
  <c r="F20" i="14"/>
  <c r="H19" i="14" l="1"/>
  <c r="Y19" i="14"/>
  <c r="O19" i="14"/>
  <c r="F19" i="14"/>
  <c r="K18" i="14"/>
  <c r="H18" i="14"/>
  <c r="J18" i="14"/>
  <c r="Y18" i="14"/>
  <c r="T18" i="14"/>
  <c r="W18" i="14"/>
  <c r="U18" i="14"/>
  <c r="O18" i="14"/>
  <c r="P18" i="14"/>
  <c r="F18" i="14"/>
  <c r="S17" i="14"/>
  <c r="K17" i="14"/>
  <c r="L17" i="14"/>
  <c r="P17" i="14"/>
  <c r="Q17" i="14"/>
  <c r="G3" i="14"/>
  <c r="H13" i="14"/>
  <c r="P13" i="14"/>
  <c r="O13" i="14"/>
  <c r="T13" i="14"/>
  <c r="L13" i="14"/>
  <c r="Y13" i="14"/>
  <c r="F13" i="14"/>
  <c r="Y12" i="14"/>
  <c r="H12" i="14"/>
  <c r="K11" i="14"/>
  <c r="K10" i="14"/>
  <c r="K9" i="14"/>
  <c r="Y11" i="14"/>
  <c r="Y10" i="14"/>
  <c r="Y9" i="14"/>
  <c r="H11" i="14"/>
  <c r="H10" i="14"/>
  <c r="H9" i="14"/>
  <c r="T11" i="14"/>
  <c r="T10" i="14"/>
  <c r="T9" i="14"/>
  <c r="W11" i="14"/>
  <c r="W10" i="14"/>
  <c r="W9" i="14"/>
  <c r="U11" i="14"/>
  <c r="U10" i="14"/>
  <c r="P11" i="14"/>
  <c r="P10" i="14"/>
  <c r="P9" i="14"/>
  <c r="O11" i="14"/>
  <c r="O10" i="14"/>
  <c r="O9" i="14"/>
  <c r="J11" i="14"/>
  <c r="J10" i="14"/>
  <c r="J9" i="14"/>
  <c r="F11" i="14"/>
  <c r="F10" i="14"/>
  <c r="N4" i="14"/>
  <c r="N3" i="14"/>
  <c r="F9" i="14"/>
  <c r="G8" i="14" l="1"/>
  <c r="Q8" i="14"/>
  <c r="N8" i="14"/>
  <c r="L8" i="14"/>
  <c r="O8" i="14"/>
  <c r="F8" i="14"/>
  <c r="O4" i="14"/>
  <c r="J4" i="14"/>
  <c r="E4" i="14"/>
  <c r="F4" i="14" s="1"/>
  <c r="L3" i="14"/>
  <c r="K2" i="14"/>
  <c r="K3" i="14"/>
  <c r="F3" i="14"/>
  <c r="G2" i="14"/>
  <c r="F2" i="14"/>
  <c r="E2" i="14" l="1"/>
  <c r="O11" i="7"/>
  <c r="O10" i="7"/>
  <c r="O9" i="7"/>
  <c r="O8" i="7"/>
  <c r="K11" i="7"/>
  <c r="K10" i="7"/>
  <c r="K9" i="7"/>
  <c r="K8" i="7"/>
  <c r="N11" i="7"/>
  <c r="N9" i="7"/>
  <c r="N10" i="7"/>
  <c r="N8" i="7"/>
  <c r="G11" i="7"/>
  <c r="G10" i="7"/>
  <c r="F11" i="7"/>
  <c r="F10" i="7"/>
  <c r="G9" i="7"/>
  <c r="G8" i="7"/>
  <c r="F9" i="7"/>
  <c r="F8" i="7"/>
  <c r="L7" i="7"/>
  <c r="K7" i="7"/>
  <c r="J7" i="7"/>
  <c r="I7" i="7" s="1"/>
  <c r="V7" i="7"/>
  <c r="U7" i="7"/>
  <c r="R7" i="7"/>
  <c r="Q7" i="7"/>
  <c r="S7" i="7"/>
  <c r="P7" i="7"/>
  <c r="O7" i="7"/>
  <c r="N7" i="7"/>
  <c r="M7" i="7"/>
  <c r="T7" i="7"/>
  <c r="W7" i="7"/>
  <c r="G7" i="7"/>
  <c r="F7" i="7"/>
  <c r="F2" i="7"/>
  <c r="H4" i="3"/>
  <c r="H7" i="3"/>
  <c r="H6" i="3"/>
  <c r="H5" i="3"/>
  <c r="H3" i="3"/>
  <c r="H2" i="3"/>
  <c r="G2" i="3"/>
  <c r="G7" i="3"/>
  <c r="G6" i="3"/>
  <c r="G5" i="3"/>
  <c r="G4" i="3"/>
  <c r="G3" i="3"/>
  <c r="M8" i="1"/>
  <c r="L10" i="2"/>
  <c r="G10" i="2"/>
  <c r="F10" i="2"/>
  <c r="F7" i="1"/>
  <c r="H9" i="2"/>
  <c r="H8" i="2"/>
  <c r="F9" i="2"/>
  <c r="F8" i="2"/>
  <c r="L9" i="2"/>
  <c r="L8" i="2"/>
  <c r="S6" i="7"/>
  <c r="S5" i="7"/>
  <c r="S4" i="7"/>
  <c r="N6" i="7"/>
  <c r="N5" i="7"/>
  <c r="N4" i="7"/>
  <c r="W6" i="7"/>
  <c r="W5" i="7"/>
  <c r="W4" i="7"/>
  <c r="J6" i="7"/>
  <c r="I6" i="7" s="1"/>
  <c r="J5" i="7"/>
  <c r="I5" i="7" s="1"/>
  <c r="J4" i="7"/>
  <c r="I4" i="7" s="1"/>
  <c r="P6" i="7"/>
  <c r="P5" i="7"/>
  <c r="P4" i="7"/>
  <c r="R6" i="7"/>
  <c r="R5" i="7"/>
  <c r="R4" i="7"/>
  <c r="H6" i="7"/>
  <c r="H5" i="7"/>
  <c r="H4" i="7"/>
  <c r="T6" i="7"/>
  <c r="T5" i="7"/>
  <c r="T4" i="7"/>
  <c r="V6" i="7"/>
  <c r="V5" i="7"/>
  <c r="V4" i="7"/>
  <c r="U6" i="7"/>
  <c r="U5" i="7"/>
  <c r="U4" i="7"/>
  <c r="F6" i="7"/>
  <c r="F5" i="7"/>
  <c r="O6" i="7"/>
  <c r="O5" i="7"/>
  <c r="O4" i="7"/>
  <c r="Q6" i="7"/>
  <c r="Q5" i="7"/>
  <c r="Q4" i="7"/>
  <c r="M6" i="7"/>
  <c r="M5" i="7"/>
  <c r="M4" i="7"/>
  <c r="L6" i="7"/>
  <c r="L5" i="7"/>
  <c r="L4" i="7"/>
  <c r="K6" i="7"/>
  <c r="K5" i="7"/>
  <c r="K4" i="7"/>
  <c r="F4" i="7"/>
  <c r="L19" i="9"/>
  <c r="L18" i="9"/>
  <c r="L17" i="9"/>
  <c r="L16" i="9"/>
  <c r="L15" i="9"/>
  <c r="S19" i="9"/>
  <c r="S18" i="9"/>
  <c r="S17" i="9"/>
  <c r="S16" i="9"/>
  <c r="S15" i="9"/>
  <c r="N19" i="9"/>
  <c r="N18" i="9"/>
  <c r="N17" i="9"/>
  <c r="N16" i="9"/>
  <c r="N15" i="9"/>
  <c r="W19" i="9"/>
  <c r="W18" i="9"/>
  <c r="W17" i="9"/>
  <c r="W16" i="9"/>
  <c r="W15" i="9"/>
  <c r="J19" i="9"/>
  <c r="I19" i="9" s="1"/>
  <c r="J18" i="9"/>
  <c r="I18" i="9" s="1"/>
  <c r="J17" i="9"/>
  <c r="I17" i="9" s="1"/>
  <c r="J16" i="9"/>
  <c r="I16" i="9" s="1"/>
  <c r="J15" i="9"/>
  <c r="I15" i="9" s="1"/>
  <c r="P19" i="9"/>
  <c r="P18" i="9"/>
  <c r="P17" i="9"/>
  <c r="P16" i="9"/>
  <c r="P15" i="9"/>
  <c r="R19" i="9"/>
  <c r="R18" i="9"/>
  <c r="R17" i="9"/>
  <c r="R16" i="9"/>
  <c r="R15" i="9"/>
  <c r="H19" i="9"/>
  <c r="H18" i="9"/>
  <c r="H17" i="9"/>
  <c r="H16" i="9"/>
  <c r="H15" i="9"/>
  <c r="T19" i="9"/>
  <c r="T18" i="9"/>
  <c r="T17" i="9"/>
  <c r="T16" i="9"/>
  <c r="T15" i="9"/>
  <c r="V19" i="9"/>
  <c r="V18" i="9"/>
  <c r="V17" i="9"/>
  <c r="V16" i="9"/>
  <c r="V15" i="9"/>
  <c r="U19" i="9"/>
  <c r="U18" i="9"/>
  <c r="U17" i="9"/>
  <c r="U16" i="9"/>
  <c r="U15" i="9"/>
  <c r="O19" i="9"/>
  <c r="O18" i="9"/>
  <c r="O17" i="9"/>
  <c r="O16" i="9"/>
  <c r="O15" i="9"/>
  <c r="Q19" i="9"/>
  <c r="Q18" i="9"/>
  <c r="Q17" i="9"/>
  <c r="Q16" i="9"/>
  <c r="Q15" i="9"/>
  <c r="K19" i="9"/>
  <c r="K18" i="9"/>
  <c r="K17" i="9"/>
  <c r="K16" i="9"/>
  <c r="K15" i="9"/>
  <c r="J7" i="8"/>
  <c r="J9" i="5"/>
  <c r="M19" i="9"/>
  <c r="M18" i="9"/>
  <c r="M17" i="9"/>
  <c r="M16" i="9"/>
  <c r="M15" i="9"/>
  <c r="F19" i="9"/>
  <c r="F18" i="9"/>
  <c r="F17" i="9"/>
  <c r="F16" i="9"/>
  <c r="F15" i="9"/>
  <c r="K7" i="8"/>
  <c r="S7" i="8"/>
  <c r="W7" i="8"/>
  <c r="I7" i="8"/>
  <c r="H7" i="8" s="1"/>
  <c r="O7" i="8"/>
  <c r="P7" i="8"/>
  <c r="R7" i="8"/>
  <c r="G7" i="8"/>
  <c r="T7" i="8"/>
  <c r="V7" i="8"/>
  <c r="U7" i="8"/>
  <c r="Q7" i="8"/>
  <c r="L7" i="8"/>
  <c r="E7" i="8"/>
  <c r="K9" i="5"/>
  <c r="S9" i="5"/>
  <c r="N9" i="5"/>
  <c r="W9" i="5"/>
  <c r="I9" i="5"/>
  <c r="P9" i="5"/>
  <c r="R9" i="5"/>
  <c r="G9" i="5"/>
  <c r="T9" i="5"/>
  <c r="V9" i="5"/>
  <c r="U9" i="5"/>
  <c r="O9" i="5"/>
  <c r="Q9" i="5"/>
  <c r="L9" i="5"/>
  <c r="E9" i="5"/>
  <c r="L3" i="7"/>
  <c r="N3" i="7"/>
  <c r="K3" i="7"/>
  <c r="F3" i="7"/>
  <c r="W2" i="7" l="1"/>
  <c r="V2" i="7"/>
  <c r="U2" i="7"/>
  <c r="T2" i="7"/>
  <c r="S2" i="7"/>
  <c r="R2" i="7"/>
  <c r="Q2" i="7"/>
  <c r="P2" i="7"/>
  <c r="O2" i="7"/>
  <c r="N2" i="7"/>
  <c r="M2" i="7"/>
  <c r="L2" i="7"/>
  <c r="K2" i="7"/>
  <c r="J2" i="7"/>
  <c r="H2" i="7"/>
  <c r="I2" i="7"/>
  <c r="K13" i="2"/>
  <c r="O13" i="2"/>
  <c r="P13" i="2"/>
  <c r="V13" i="2"/>
  <c r="F13" i="2"/>
  <c r="L9" i="1"/>
  <c r="P9" i="1"/>
  <c r="Q9" i="1"/>
  <c r="W9" i="1"/>
  <c r="M12" i="2"/>
  <c r="M11" i="2"/>
  <c r="U12" i="2"/>
  <c r="U11" i="2"/>
  <c r="V12" i="2"/>
  <c r="V11" i="2"/>
  <c r="H12" i="2"/>
  <c r="H11" i="2"/>
  <c r="O12" i="2"/>
  <c r="O11" i="2"/>
  <c r="P12" i="2"/>
  <c r="P11" i="2"/>
  <c r="F12" i="2"/>
  <c r="K12" i="2"/>
  <c r="K11" i="2"/>
  <c r="G12" i="2"/>
  <c r="F11" i="2"/>
  <c r="K10" i="2"/>
  <c r="M10" i="2"/>
  <c r="O10" i="2"/>
  <c r="V10" i="2"/>
  <c r="L8" i="1"/>
  <c r="N8" i="1"/>
  <c r="P8" i="1"/>
  <c r="W8" i="1"/>
  <c r="F8" i="1"/>
  <c r="W7" i="1"/>
  <c r="U7" i="1"/>
  <c r="T7" i="1"/>
  <c r="S7" i="1"/>
  <c r="R7" i="1"/>
  <c r="Q7" i="1"/>
  <c r="P7" i="1"/>
  <c r="N7" i="1"/>
  <c r="M7" i="1"/>
  <c r="L7" i="1"/>
  <c r="H7" i="1"/>
  <c r="K9" i="2"/>
  <c r="K8" i="2"/>
  <c r="S9" i="2"/>
  <c r="S7" i="2"/>
  <c r="S6" i="2"/>
  <c r="S5" i="2"/>
  <c r="S4" i="2"/>
  <c r="S3" i="2"/>
  <c r="S8" i="2"/>
  <c r="R9" i="2"/>
  <c r="R8" i="2"/>
  <c r="T9" i="2"/>
  <c r="T3" i="2"/>
  <c r="T8" i="2"/>
  <c r="M9" i="2"/>
  <c r="M8" i="2"/>
  <c r="Q9" i="2"/>
  <c r="Q8" i="2"/>
  <c r="P9" i="2"/>
  <c r="P8" i="2"/>
  <c r="O9" i="2"/>
  <c r="O8" i="2"/>
  <c r="V9" i="2"/>
  <c r="V8" i="2"/>
  <c r="V6" i="2"/>
  <c r="V7" i="2"/>
  <c r="V5" i="2"/>
  <c r="V4" i="2"/>
  <c r="V3" i="2"/>
  <c r="T7" i="2"/>
  <c r="T6" i="2"/>
  <c r="T5" i="2"/>
  <c r="T4" i="2"/>
  <c r="R7" i="2"/>
  <c r="R6" i="2"/>
  <c r="R5" i="2"/>
  <c r="R4" i="2"/>
  <c r="R3" i="2"/>
  <c r="Q2" i="2"/>
  <c r="P7" i="2"/>
  <c r="P6" i="2"/>
  <c r="P5" i="2"/>
  <c r="P4" i="2"/>
  <c r="P3" i="2"/>
  <c r="P2" i="2"/>
  <c r="O7" i="2"/>
  <c r="O6" i="2"/>
  <c r="O5" i="2"/>
  <c r="O4" i="2"/>
  <c r="O3" i="2"/>
  <c r="L2" i="2"/>
  <c r="K7" i="2"/>
  <c r="K6" i="2"/>
  <c r="K5" i="2"/>
  <c r="K4" i="2"/>
  <c r="K3" i="2"/>
  <c r="K2" i="2"/>
  <c r="J7" i="2"/>
  <c r="J6" i="2"/>
  <c r="J5" i="2"/>
  <c r="J4" i="2"/>
  <c r="J3" i="2"/>
  <c r="J2" i="2"/>
  <c r="I2" i="2"/>
  <c r="F7" i="2"/>
  <c r="F6" i="2"/>
  <c r="F5" i="2"/>
  <c r="F4" i="2"/>
  <c r="F3" i="2"/>
  <c r="F2" i="2"/>
  <c r="W6" i="1"/>
  <c r="U6" i="1"/>
  <c r="S6" i="1"/>
  <c r="Q6" i="1"/>
  <c r="P6" i="1"/>
  <c r="W5" i="1"/>
  <c r="R5" i="1"/>
  <c r="Q5" i="1"/>
  <c r="P5" i="1"/>
  <c r="L5" i="1"/>
  <c r="K5" i="1"/>
  <c r="L6" i="1"/>
  <c r="J6" i="1"/>
  <c r="W4" i="1"/>
  <c r="R4" i="1"/>
  <c r="Q4" i="1"/>
  <c r="M4" i="1"/>
  <c r="L4" i="1"/>
  <c r="W3" i="1"/>
  <c r="V3" i="1"/>
  <c r="U3" i="1"/>
  <c r="S3" i="1"/>
  <c r="Q3" i="1"/>
  <c r="P3" i="1"/>
  <c r="L3" i="1"/>
  <c r="J3" i="1"/>
  <c r="F6" i="1"/>
  <c r="F3" i="1"/>
  <c r="P2" i="1"/>
  <c r="F5" i="1"/>
  <c r="J4" i="1"/>
  <c r="I4" i="1"/>
  <c r="H4" i="1" s="1"/>
  <c r="O11" i="3"/>
  <c r="O10" i="3"/>
  <c r="N11" i="3"/>
  <c r="N10" i="3"/>
  <c r="M11" i="3"/>
  <c r="M10" i="3"/>
  <c r="K10" i="3"/>
  <c r="J11" i="3"/>
  <c r="J10" i="3"/>
  <c r="N7" i="3"/>
  <c r="N6" i="3"/>
  <c r="N5" i="3"/>
  <c r="N4" i="3"/>
  <c r="N3" i="3"/>
  <c r="N2" i="3"/>
  <c r="L9" i="3"/>
  <c r="M7" i="3"/>
  <c r="M6" i="3"/>
  <c r="M5" i="3"/>
  <c r="M4" i="3"/>
  <c r="M3" i="3"/>
  <c r="M2" i="3"/>
  <c r="I9" i="3"/>
  <c r="G9" i="3"/>
  <c r="G8" i="3"/>
  <c r="F2" i="1"/>
  <c r="F4" i="1"/>
  <c r="J5" i="1" l="1"/>
  <c r="G11" i="3"/>
  <c r="G4" i="4" l="1"/>
  <c r="G10" i="3"/>
  <c r="E18" i="12" l="1"/>
  <c r="E17" i="12"/>
  <c r="M16" i="12"/>
  <c r="M15" i="12"/>
  <c r="H15" i="12"/>
  <c r="H16" i="12"/>
  <c r="H14" i="12"/>
  <c r="F15" i="12"/>
  <c r="F16" i="12"/>
  <c r="F14" i="12"/>
  <c r="F13" i="12"/>
  <c r="F12" i="12"/>
  <c r="F11" i="12"/>
  <c r="F6" i="8"/>
  <c r="E8" i="5"/>
  <c r="S5" i="8"/>
  <c r="N5" i="8"/>
  <c r="W5" i="8"/>
  <c r="I5" i="8"/>
  <c r="H5" i="8" s="1"/>
  <c r="P5" i="8"/>
  <c r="R5" i="8"/>
  <c r="G5" i="8"/>
  <c r="T5" i="8"/>
  <c r="V5" i="8"/>
  <c r="U5" i="8"/>
  <c r="O5" i="8"/>
  <c r="Q5" i="8"/>
  <c r="K5" i="8"/>
  <c r="J5" i="8"/>
  <c r="L5" i="8"/>
  <c r="E5" i="8"/>
  <c r="S8" i="5"/>
  <c r="N8" i="5"/>
  <c r="W8" i="5"/>
  <c r="I8" i="5"/>
  <c r="P8" i="5"/>
  <c r="R8" i="5"/>
  <c r="G8" i="5"/>
  <c r="T8" i="5"/>
  <c r="V8" i="5"/>
  <c r="U8" i="5"/>
  <c r="O8" i="5"/>
  <c r="Q8" i="5"/>
  <c r="K8" i="5"/>
  <c r="J8" i="5"/>
  <c r="L8" i="5"/>
  <c r="P2" i="8"/>
  <c r="J2" i="5"/>
  <c r="E3" i="5"/>
  <c r="N17" i="12" l="1"/>
  <c r="L17" i="12"/>
  <c r="N18" i="12"/>
  <c r="L18" i="12"/>
  <c r="R17" i="12"/>
  <c r="R18" i="12"/>
  <c r="S17" i="12"/>
  <c r="S18" i="12"/>
  <c r="Q18" i="12"/>
  <c r="Q17" i="12"/>
  <c r="T17" i="12"/>
  <c r="T18" i="12"/>
  <c r="I17" i="12"/>
  <c r="I18" i="12"/>
  <c r="G17" i="12"/>
  <c r="G18" i="12"/>
  <c r="J17" i="12"/>
  <c r="J18" i="12"/>
  <c r="F17" i="12"/>
  <c r="F18" i="12"/>
  <c r="P18" i="12"/>
  <c r="O18" i="12"/>
  <c r="O17" i="12"/>
  <c r="P17" i="12"/>
  <c r="O5" i="5"/>
  <c r="O4" i="5"/>
  <c r="E5" i="5"/>
  <c r="H5" i="5"/>
  <c r="H4" i="5"/>
  <c r="H3" i="5"/>
  <c r="N5" i="5"/>
  <c r="N4" i="5"/>
  <c r="N3" i="5"/>
  <c r="O3" i="5"/>
  <c r="F5" i="5"/>
  <c r="F4" i="5"/>
  <c r="E4" i="5"/>
  <c r="F3" i="5"/>
  <c r="J2" i="8"/>
  <c r="I2" i="8"/>
  <c r="H2" i="8" s="1"/>
  <c r="V2" i="8"/>
  <c r="U2" i="8"/>
  <c r="R2" i="8"/>
  <c r="Q2" i="8"/>
  <c r="S2" i="8"/>
  <c r="O2" i="8"/>
  <c r="N2" i="8"/>
  <c r="L2" i="8"/>
  <c r="W2" i="8"/>
  <c r="E2" i="8"/>
  <c r="J14" i="9"/>
  <c r="I14" i="9" s="1"/>
  <c r="I2" i="5"/>
  <c r="U2" i="5"/>
  <c r="V2" i="5"/>
  <c r="Q2" i="5"/>
  <c r="S2" i="5"/>
  <c r="P2" i="5"/>
  <c r="O2" i="5"/>
  <c r="N2" i="5"/>
  <c r="E2" i="5"/>
  <c r="W2" i="5"/>
  <c r="L2" i="5"/>
  <c r="K13" i="9"/>
  <c r="K12" i="9"/>
  <c r="W12" i="9"/>
  <c r="W13" i="9"/>
  <c r="W7" i="9"/>
  <c r="W11" i="9"/>
  <c r="W10" i="9"/>
  <c r="N13" i="9"/>
  <c r="N12" i="9"/>
  <c r="M13" i="9"/>
  <c r="M12" i="9"/>
  <c r="F13" i="9"/>
  <c r="G12" i="9"/>
  <c r="F12" i="9"/>
  <c r="K11" i="9"/>
  <c r="K10" i="9"/>
  <c r="R11" i="9"/>
  <c r="R10" i="9"/>
  <c r="Q11" i="9"/>
  <c r="Q10" i="9"/>
  <c r="N11" i="9"/>
  <c r="N10" i="9"/>
  <c r="M11" i="9"/>
  <c r="L10" i="9"/>
  <c r="F10" i="9"/>
  <c r="M10" i="9"/>
  <c r="L11" i="9"/>
  <c r="G11" i="9"/>
  <c r="G10" i="9"/>
  <c r="F11" i="9"/>
  <c r="M9" i="9"/>
  <c r="L4" i="9"/>
  <c r="K4" i="9"/>
  <c r="L9" i="9"/>
  <c r="K9" i="9"/>
  <c r="F9" i="9"/>
  <c r="M7" i="9" l="1"/>
  <c r="W6" i="9"/>
  <c r="W5" i="9"/>
  <c r="W4" i="9"/>
  <c r="P7" i="9"/>
  <c r="N7" i="9"/>
  <c r="G7" i="9"/>
  <c r="F7" i="9"/>
  <c r="O6" i="9"/>
  <c r="O5" i="9"/>
  <c r="O4" i="9"/>
  <c r="N6" i="9"/>
  <c r="N5" i="9"/>
  <c r="N4" i="9"/>
  <c r="L5" i="9"/>
  <c r="L6" i="9"/>
  <c r="K5" i="9"/>
  <c r="K6" i="9"/>
  <c r="F6" i="9"/>
  <c r="F5" i="9"/>
  <c r="F4" i="9"/>
  <c r="K3" i="9"/>
  <c r="N2" i="9"/>
  <c r="M2" i="9"/>
  <c r="K2" i="9"/>
  <c r="R8" i="4"/>
  <c r="W8" i="4"/>
  <c r="V8" i="4"/>
  <c r="U8" i="4"/>
  <c r="S8" i="4"/>
  <c r="L8" i="4"/>
  <c r="I8" i="4"/>
  <c r="G8" i="4"/>
  <c r="E8" i="4"/>
  <c r="O5" i="4" l="1"/>
  <c r="I5" i="4"/>
  <c r="I4" i="4"/>
  <c r="Q3" i="4"/>
  <c r="E3" i="4"/>
  <c r="E16" i="11"/>
  <c r="E15" i="11"/>
  <c r="F14" i="11"/>
  <c r="K2" i="4"/>
  <c r="G14" i="11"/>
  <c r="N15" i="11" l="1"/>
  <c r="V15" i="11"/>
  <c r="V16" i="11"/>
  <c r="N16" i="11"/>
  <c r="O15" i="11"/>
  <c r="O16" i="11"/>
  <c r="L15" i="11"/>
  <c r="J15" i="11"/>
  <c r="L16" i="11"/>
  <c r="J16" i="11"/>
  <c r="F15" i="11"/>
  <c r="F16" i="11"/>
  <c r="E3" i="13" l="1"/>
  <c r="N3" i="13" s="1"/>
  <c r="E4" i="13"/>
  <c r="N4" i="13" s="1"/>
  <c r="E5" i="13"/>
  <c r="N5" i="13" s="1"/>
  <c r="E2" i="13"/>
  <c r="N2" i="13" s="1"/>
  <c r="K2" i="13" l="1"/>
  <c r="H2" i="13"/>
  <c r="K5" i="13"/>
  <c r="H5" i="13"/>
  <c r="K4" i="13"/>
  <c r="H4" i="13"/>
  <c r="M3" i="13"/>
  <c r="K3" i="13"/>
  <c r="H3" i="13"/>
  <c r="J2" i="13"/>
  <c r="M2" i="13"/>
  <c r="J5" i="13"/>
  <c r="M5" i="13"/>
  <c r="J4" i="13"/>
  <c r="M4" i="13"/>
  <c r="I3" i="13"/>
  <c r="J3" i="13"/>
  <c r="I5" i="13"/>
  <c r="I4" i="13"/>
  <c r="I2" i="13"/>
  <c r="F4" i="13"/>
  <c r="F2" i="13"/>
  <c r="F3" i="13"/>
  <c r="F5" i="13"/>
  <c r="F11" i="10" l="1"/>
  <c r="F10" i="10"/>
  <c r="F9" i="10"/>
  <c r="F8" i="10"/>
  <c r="F7" i="10"/>
  <c r="F6" i="10"/>
  <c r="F5" i="10"/>
  <c r="F4" i="10"/>
</calcChain>
</file>

<file path=xl/sharedStrings.xml><?xml version="1.0" encoding="utf-8"?>
<sst xmlns="http://schemas.openxmlformats.org/spreadsheetml/2006/main" count="3886" uniqueCount="620">
  <si>
    <t>NG</t>
  </si>
  <si>
    <t>H2</t>
  </si>
  <si>
    <t>Electricity</t>
  </si>
  <si>
    <t>-</t>
  </si>
  <si>
    <t>report_year</t>
  </si>
  <si>
    <t>technology</t>
  </si>
  <si>
    <t>[1]</t>
  </si>
  <si>
    <t>reference_number</t>
  </si>
  <si>
    <t>type</t>
  </si>
  <si>
    <t>report</t>
  </si>
  <si>
    <t>cite</t>
  </si>
  <si>
    <t>url</t>
  </si>
  <si>
    <t>Mono-Si</t>
  </si>
  <si>
    <t>CdTe</t>
  </si>
  <si>
    <t>notes</t>
  </si>
  <si>
    <t>[2]</t>
  </si>
  <si>
    <t>https://unece.org/sites/default/files/2021-11/LCA_final.pdf</t>
  </si>
  <si>
    <t>Poly-Si</t>
  </si>
  <si>
    <t>CIS/CIGS</t>
  </si>
  <si>
    <t>ground</t>
  </si>
  <si>
    <t>roof</t>
  </si>
  <si>
    <t>[3]</t>
  </si>
  <si>
    <t>journal</t>
  </si>
  <si>
    <t>https://doi.org/10.3390/su151511888</t>
  </si>
  <si>
    <t>MicroM-Si</t>
  </si>
  <si>
    <t>[4]</t>
  </si>
  <si>
    <t>https://link.springer.com/article/10.1007/s11356-022-24077-3</t>
  </si>
  <si>
    <t>[5]</t>
  </si>
  <si>
    <t>https://www.mdpi.com/1996-1073/14/4/861</t>
  </si>
  <si>
    <t>[6]</t>
  </si>
  <si>
    <t>https://www.sciencedirect.com/science/article/pii/S0038092X23002219#f0005</t>
  </si>
  <si>
    <t>[7]</t>
  </si>
  <si>
    <t>https://iea-pvps.org/wp-content/uploads/2022/03/Report_IEA_PVPS_T12-22-2022-ResourceUseFootprintsResidentialPV-v1.2.pdf</t>
  </si>
  <si>
    <t>[8]</t>
  </si>
  <si>
    <t>https://iea-pvps.org/wp-content/uploads/2020/01/Water_Footprint_of_European_Rooftop_Photovoltaic_Electricity_based_in_Re-giornalised_Life_Cycle_Inventories_by_Task_12.pdf</t>
  </si>
  <si>
    <t>[9]</t>
  </si>
  <si>
    <t>https://iopscience.iop.org/article/10.1088/1757-899X/997/1/012149/meta</t>
  </si>
  <si>
    <t>Thermal collector</t>
  </si>
  <si>
    <t>[10]</t>
  </si>
  <si>
    <t>ISTS</t>
  </si>
  <si>
    <t>[11]</t>
  </si>
  <si>
    <t>thesis</t>
  </si>
  <si>
    <t>stand-alone</t>
  </si>
  <si>
    <t>https://doi.org/10.3390/su11092539</t>
  </si>
  <si>
    <t>[12]</t>
  </si>
  <si>
    <t>a-Si</t>
  </si>
  <si>
    <t>flat plate</t>
  </si>
  <si>
    <t>vaccum tube</t>
  </si>
  <si>
    <t>LIPB</t>
  </si>
  <si>
    <t>[13]</t>
  </si>
  <si>
    <t>https://doi.org/10.1016/j.ijft.2021.100116</t>
  </si>
  <si>
    <t>Size_kWh</t>
  </si>
  <si>
    <t>[14]</t>
  </si>
  <si>
    <t>https://doi.org/10.1016/j.jclepro.2017.11.059</t>
  </si>
  <si>
    <t>LAB</t>
  </si>
  <si>
    <t>LMB</t>
  </si>
  <si>
    <t>https://kth.diva-portal.org/smash/get/diva2:1801627/FULLTEXT01.pdf</t>
  </si>
  <si>
    <t>[15]</t>
  </si>
  <si>
    <t>https://doi.org/10.1016/j.jclepro.2022.132899</t>
  </si>
  <si>
    <t>LFP</t>
  </si>
  <si>
    <t>SIB</t>
  </si>
  <si>
    <t>NMC</t>
  </si>
  <si>
    <t>[16]</t>
  </si>
  <si>
    <t>[17]</t>
  </si>
  <si>
    <t>https://www.epri.com/research/products/000000003002017000</t>
  </si>
  <si>
    <t>LIB</t>
  </si>
  <si>
    <t>[18]</t>
  </si>
  <si>
    <t>https://doi.org/10.1016/j.seta.2021.101286</t>
  </si>
  <si>
    <t>VRB</t>
  </si>
  <si>
    <t>https://doi.org/10.1016/j.rser.2017.04.057</t>
  </si>
  <si>
    <t>Li-ion</t>
  </si>
  <si>
    <t>LMP</t>
  </si>
  <si>
    <t>[19]</t>
  </si>
  <si>
    <t>https://doi.org/10.3390/en14082047</t>
  </si>
  <si>
    <t>NMC532</t>
  </si>
  <si>
    <t>NMC622</t>
  </si>
  <si>
    <t>[20]</t>
  </si>
  <si>
    <t>https://doi.org/10.1051/e3sconf/202453708004</t>
  </si>
  <si>
    <t>RFB</t>
  </si>
  <si>
    <t>[21]</t>
  </si>
  <si>
    <t>https://doi.org/10.3390/hydrogen5020020</t>
  </si>
  <si>
    <t>Biogas</t>
  </si>
  <si>
    <t>number_of_cycles</t>
  </si>
  <si>
    <t>https://doi.org/10.1016/j.ijhydene.2023.05.255</t>
  </si>
  <si>
    <t>[22]</t>
  </si>
  <si>
    <t>[23]</t>
  </si>
  <si>
    <t>https://doi.org/10.1002/ese3.441</t>
  </si>
  <si>
    <t>unit</t>
  </si>
  <si>
    <t>stack</t>
  </si>
  <si>
    <t>w/o reclycling</t>
  </si>
  <si>
    <t>w recycling</t>
  </si>
  <si>
    <t>[24]</t>
  </si>
  <si>
    <t>https://doi.org/10.1016/S0360-3199(00)00053-7</t>
  </si>
  <si>
    <t>https://www.sciencedirect.com/science/article/pii/S0196890424005272</t>
  </si>
  <si>
    <t>[25]</t>
  </si>
  <si>
    <t>[26]</t>
  </si>
  <si>
    <t>biogas</t>
  </si>
  <si>
    <t>NG/biogas</t>
  </si>
  <si>
    <t>hydrogen</t>
  </si>
  <si>
    <t>methanol/bio-methanol</t>
  </si>
  <si>
    <t>[27]</t>
  </si>
  <si>
    <t>https://doi.org/10.1016/j.apenergy.2009.10.012</t>
  </si>
  <si>
    <t>https://doi.org/10.1016/j.energy.2017.03.041</t>
  </si>
  <si>
    <t>[28]</t>
  </si>
  <si>
    <t>https://doi.org/10.3390/en14154668</t>
  </si>
  <si>
    <t>[29]</t>
  </si>
  <si>
    <t>https://doi.org/10.1016/j.energy.2015.03.036</t>
  </si>
  <si>
    <t>[30]</t>
  </si>
  <si>
    <t>https://doi.org/10.1016/j.ijhydene.2018.11.122</t>
  </si>
  <si>
    <t>[31]</t>
  </si>
  <si>
    <t>https://doi.org/10.1016/j.enconman.2022.115336</t>
  </si>
  <si>
    <t>H2, NH3, NG, Ch3OH</t>
  </si>
  <si>
    <t>[32]</t>
  </si>
  <si>
    <t>https://doi.org/10.1016/j.ijhydene.2020.05.282</t>
  </si>
  <si>
    <t>SOEC</t>
  </si>
  <si>
    <t>[33]</t>
  </si>
  <si>
    <t>[34]</t>
  </si>
  <si>
    <t>https://doi.org/10.1002/aesr.202300135</t>
  </si>
  <si>
    <t>https://doi.org/10.1016/j.ijhydene.2023.10.192</t>
  </si>
  <si>
    <t>https://skemman.is/bitstream/1946/39468/1/Comparative%20Life%20Cycle%20Assessment%20of%20Hydrogen%20Production%20via%20Electrolysis%20in%20Austria%20and%20Iceland.pdf</t>
  </si>
  <si>
    <t>[35]</t>
  </si>
  <si>
    <t>[36]</t>
  </si>
  <si>
    <t>https://cris.vtt.fi/ws/portalfiles/portal/103979186/eng_2024_iso-oja_jenni.pdf</t>
  </si>
  <si>
    <t>T3</t>
  </si>
  <si>
    <t>T4</t>
  </si>
  <si>
    <t>SS+MH</t>
  </si>
  <si>
    <t>[37]</t>
  </si>
  <si>
    <t>https://doi.org/10.1016/j.apenergy.2018.01.095</t>
  </si>
  <si>
    <t>[38]</t>
  </si>
  <si>
    <t> https://doi.org/10.1093/ijlct/ctac126</t>
  </si>
  <si>
    <t>[39]</t>
  </si>
  <si>
    <t>https://odr.chalmers.se/server/api/core/bitstreams/2a16256f-2858-4f55-972f-a6889d05e252/content</t>
  </si>
  <si>
    <t>LH2</t>
  </si>
  <si>
    <t>CCH2</t>
  </si>
  <si>
    <t>[40]</t>
  </si>
  <si>
    <t>[41]</t>
  </si>
  <si>
    <t>biomass</t>
  </si>
  <si>
    <t>Terrain</t>
  </si>
  <si>
    <t>Terminal</t>
  </si>
  <si>
    <t>Roadside</t>
  </si>
  <si>
    <t>Pellet cutter dust</t>
  </si>
  <si>
    <t>Pellet sawdust</t>
  </si>
  <si>
    <t>CHP-turbine</t>
  </si>
  <si>
    <t>https://doi.org/10.1016/j.jclepro.2017.10.241</t>
  </si>
  <si>
    <t>[42]</t>
  </si>
  <si>
    <t>Turbine</t>
  </si>
  <si>
    <t>Engine</t>
  </si>
  <si>
    <t xml:space="preserve">journal </t>
  </si>
  <si>
    <t>https://ieeexplore.ieee.org/stamp/stamp.jsp?tp=&amp;arnumber=9248873&amp;tag=1</t>
  </si>
  <si>
    <t>[43]</t>
  </si>
  <si>
    <t>Stirling Engine</t>
  </si>
  <si>
    <t>[44]</t>
  </si>
  <si>
    <t>https://doi.org/10.1016/j.scitotenv.2020.144392</t>
  </si>
  <si>
    <t>https://doi.org/10.1002/ente.201700854</t>
  </si>
  <si>
    <t>gas-driven absorption</t>
  </si>
  <si>
    <t>[45]</t>
  </si>
  <si>
    <t>https://doi.org/10.1016/j.apenergy.2014.11.034</t>
  </si>
  <si>
    <t>[46]</t>
  </si>
  <si>
    <t>https://doi.org/10.1016/j.jenvman.2019.109786</t>
  </si>
  <si>
    <t>[47]</t>
  </si>
  <si>
    <t>https://doi.org/10.1016/j.energy.2012.01.028</t>
  </si>
  <si>
    <t>ASHP</t>
  </si>
  <si>
    <t>GSHP</t>
  </si>
  <si>
    <t>GSHP (HHC)</t>
  </si>
  <si>
    <t>GSHP(VHC)</t>
  </si>
  <si>
    <t>WSHP (HHC)</t>
  </si>
  <si>
    <t>WSHP (VHC)</t>
  </si>
  <si>
    <t>NGB</t>
  </si>
  <si>
    <t>[48]</t>
  </si>
  <si>
    <t>https://doi.org/10.3390/en14113027</t>
  </si>
  <si>
    <t>[49]</t>
  </si>
  <si>
    <t>CGB</t>
  </si>
  <si>
    <t>HHP</t>
  </si>
  <si>
    <t>https://doi.org/10.1016/j.enbuild.2021.110865</t>
  </si>
  <si>
    <t>[50]</t>
  </si>
  <si>
    <t>https://doi.org/10.1016/j.renene.2022.02.075</t>
  </si>
  <si>
    <t>[51]</t>
  </si>
  <si>
    <t>https://doi.org/10.3846/mla.2024.21298</t>
  </si>
  <si>
    <t>[52]</t>
  </si>
  <si>
    <t>Air-cooled</t>
  </si>
  <si>
    <t>R245</t>
  </si>
  <si>
    <t>https://mediatum.ub.tum.de/doc/1632933/kn0ie8cnj141g3c68c2a0en5n.pdf</t>
  </si>
  <si>
    <t>[53]</t>
  </si>
  <si>
    <t>https://doi.org/10.32604/jrm.2022.022719</t>
  </si>
  <si>
    <t>R141B</t>
  </si>
  <si>
    <t>[54]</t>
  </si>
  <si>
    <t>https://doi.org/10.1038/s41598-023-38387-0</t>
  </si>
  <si>
    <t>Bio-methanol</t>
  </si>
  <si>
    <t>CH4</t>
  </si>
  <si>
    <t>R134a</t>
  </si>
  <si>
    <t>R227ea</t>
  </si>
  <si>
    <t>R152a</t>
  </si>
  <si>
    <t>[55]</t>
  </si>
  <si>
    <t>https://doi.org/10.3390/en13071835</t>
  </si>
  <si>
    <t>Biomass (wood)</t>
  </si>
  <si>
    <t>[56]</t>
  </si>
  <si>
    <t>R245fa</t>
  </si>
  <si>
    <t>R1223zd</t>
  </si>
  <si>
    <t>geothermal</t>
  </si>
  <si>
    <t>https://doi.org/10.1016/j.geothermics.2016.06.010</t>
  </si>
  <si>
    <t>[57]</t>
  </si>
  <si>
    <t>https://www.osti.gov/servlets/purl/2481535</t>
  </si>
  <si>
    <t>H2 SMR</t>
  </si>
  <si>
    <t>Biogas (landfill/wastewater)</t>
  </si>
  <si>
    <t>[58]</t>
  </si>
  <si>
    <t>[59]</t>
  </si>
  <si>
    <t>https://doi.org/10.1038/s41598-024-53495-1</t>
  </si>
  <si>
    <t>[60]</t>
  </si>
  <si>
    <t>[61]</t>
  </si>
  <si>
    <t>https://doi.org/10.1016/j.enconman.2024.118520</t>
  </si>
  <si>
    <t>[62]</t>
  </si>
  <si>
    <t>https://doi.org/10.1016/j.jclepro.2020.121536</t>
  </si>
  <si>
    <t>[63]</t>
  </si>
  <si>
    <t>https://doi.org/10.3390/en13153852</t>
  </si>
  <si>
    <t>[64]</t>
  </si>
  <si>
    <t>https://www.energy.gov/sites/prod/files/2019/09/f66/Life%20Cycle%20Analysis%20of%20Natural%20Gas%20Extraction%20and%20Power%20Generation%2005_29_14%20NETL.pdf</t>
  </si>
  <si>
    <t>https://www.semanticscholar.org/paper/Life-Cycle-Assessment-of-Simulated-Hydrogen-by-Amran-Arshad/fc15820e3da0a558c60dd573c0b015dccc660a8b?utm_source=direct_link</t>
  </si>
  <si>
    <t>[65]</t>
  </si>
  <si>
    <t>[66]</t>
  </si>
  <si>
    <t xml:space="preserve"> https://doi.org/10.1016/j.egypro.2014.11.777</t>
  </si>
  <si>
    <t>[67]</t>
  </si>
  <si>
    <t>https://www.politesi.polimi.it/retrieve/7e7020b4-2364-445d-87bc-59eb9ba6155f/2024_07_Asaro_Tesi.pdf</t>
  </si>
  <si>
    <t>[68]</t>
  </si>
  <si>
    <t>H2 coal gasification</t>
  </si>
  <si>
    <t>H2 biomass gasification</t>
  </si>
  <si>
    <t>https://doi.org/10.3390/en16010383</t>
  </si>
  <si>
    <t>[69]</t>
  </si>
  <si>
    <t> https://doi.org/10.3390/environments5020024</t>
  </si>
  <si>
    <t>[70]</t>
  </si>
  <si>
    <t>[71]</t>
  </si>
  <si>
    <t>https://doi.org/10.3390/en11030675</t>
  </si>
  <si>
    <t>[72]</t>
  </si>
  <si>
    <t>w AD plant</t>
  </si>
  <si>
    <t>https://doi.org/10.1016/j.ijhydene.2016.03.006</t>
  </si>
  <si>
    <t>[73]</t>
  </si>
  <si>
    <t>https://doi.org/10.1016/j.jclepro.2014.01.068</t>
  </si>
  <si>
    <t>feedstock</t>
  </si>
  <si>
    <t>mix</t>
  </si>
  <si>
    <t>Coal</t>
  </si>
  <si>
    <t> lignocellulosic biomass</t>
  </si>
  <si>
    <t>[74]</t>
  </si>
  <si>
    <t>waste</t>
  </si>
  <si>
    <t>https://doi.org/10.1016/j.scitotenv.2019.03.211</t>
  </si>
  <si>
    <t>[75]</t>
  </si>
  <si>
    <t>manure</t>
  </si>
  <si>
    <t>https://doi.org/10.1016/j.ijhydene.2023.06.331</t>
  </si>
  <si>
    <t>maize</t>
  </si>
  <si>
    <t>[76]</t>
  </si>
  <si>
    <t>https://www.politesi.polimi.it/retrieve/a81cb05a-04cc-616b-e053-1605fe0a889a/2012_04_DonidaMaglio.PDF</t>
  </si>
  <si>
    <t>[77]</t>
  </si>
  <si>
    <t>sewage</t>
  </si>
  <si>
    <t>55.7 - 254</t>
  </si>
  <si>
    <t>[78]</t>
  </si>
  <si>
    <t>https://doi.org/10.1016/j.jclepro.2015.03.084</t>
  </si>
  <si>
    <t>[79]</t>
  </si>
  <si>
    <t>https://doi.org/10.1016/j.wasman.2022.12.005</t>
  </si>
  <si>
    <t>lignocellulosic</t>
  </si>
  <si>
    <t>https://doi.org/10.1186/s13068-018-1141-9</t>
  </si>
  <si>
    <t>corn stover</t>
  </si>
  <si>
    <t>https://doi.org/10.1007/s11367-015-0985-5</t>
  </si>
  <si>
    <t>cotton stalks</t>
  </si>
  <si>
    <t>https://doi.org/10.1016/j.biombioe.2024.107386</t>
  </si>
  <si>
    <t>General Information</t>
  </si>
  <si>
    <t>Authors</t>
  </si>
  <si>
    <t>Affiliations</t>
  </si>
  <si>
    <t>Date</t>
  </si>
  <si>
    <t>Version</t>
  </si>
  <si>
    <t>Structure of this workbook</t>
  </si>
  <si>
    <t>Click on the sheet name to go to the sheet containing the corresponding data:</t>
  </si>
  <si>
    <t>Sheet Name</t>
  </si>
  <si>
    <t>Sheet Description</t>
  </si>
  <si>
    <t>References</t>
  </si>
  <si>
    <t>References of the collected data</t>
  </si>
  <si>
    <t>Parameter</t>
  </si>
  <si>
    <t>Code</t>
  </si>
  <si>
    <t>Unit</t>
  </si>
  <si>
    <t>Description</t>
  </si>
  <si>
    <t>Bibliographic reference or source for which the data was extracted</t>
  </si>
  <si>
    <t>Reference years</t>
  </si>
  <si>
    <t>Specific technology</t>
  </si>
  <si>
    <t>Technology to which the reported data pertains</t>
  </si>
  <si>
    <t>Nominal size</t>
  </si>
  <si>
    <t>Nominal capacity metrics representative of the technology size</t>
  </si>
  <si>
    <t>Life Cycle Assessment Data for Energy Production and Storage Technologies</t>
  </si>
  <si>
    <t>PV</t>
  </si>
  <si>
    <t>BESS</t>
  </si>
  <si>
    <t>STE</t>
  </si>
  <si>
    <t>TES</t>
  </si>
  <si>
    <t>PEMFC</t>
  </si>
  <si>
    <t>SOFC</t>
  </si>
  <si>
    <t>PEMEC</t>
  </si>
  <si>
    <t>AEL</t>
  </si>
  <si>
    <t>CGH2</t>
  </si>
  <si>
    <t>ICE</t>
  </si>
  <si>
    <t>Boiler</t>
  </si>
  <si>
    <r>
      <t>Elena Rozzi</t>
    </r>
    <r>
      <rPr>
        <vertAlign val="superscript"/>
        <sz val="14"/>
        <color theme="1"/>
        <rFont val="Calibri"/>
        <family val="2"/>
      </rPr>
      <t>a,b</t>
    </r>
    <r>
      <rPr>
        <sz val="14"/>
        <color theme="1"/>
        <rFont val="Calibri"/>
        <family val="2"/>
      </rPr>
      <t>, Paolo Marocco</t>
    </r>
    <r>
      <rPr>
        <vertAlign val="superscript"/>
        <sz val="14"/>
        <color theme="1"/>
        <rFont val="Calibri"/>
        <family val="2"/>
      </rPr>
      <t>a</t>
    </r>
    <r>
      <rPr>
        <sz val="14"/>
        <color theme="1"/>
        <rFont val="Calibri"/>
        <family val="2"/>
      </rPr>
      <t>, Marta Gandiglio</t>
    </r>
    <r>
      <rPr>
        <vertAlign val="superscript"/>
        <sz val="14"/>
        <color theme="1"/>
        <rFont val="Calibri"/>
        <family val="2"/>
      </rPr>
      <t>a</t>
    </r>
  </si>
  <si>
    <r>
      <rPr>
        <vertAlign val="superscript"/>
        <sz val="14"/>
        <color theme="1"/>
        <rFont val="Calibri"/>
        <family val="2"/>
      </rPr>
      <t>a</t>
    </r>
    <r>
      <rPr>
        <sz val="14"/>
        <color theme="1"/>
        <rFont val="Calibri"/>
        <family val="2"/>
      </rPr>
      <t>Department of Energy, Politecnico di Torino, Corso Duca degli Abruzzi 24, 10129 Torino, Italy</t>
    </r>
  </si>
  <si>
    <r>
      <rPr>
        <vertAlign val="superscript"/>
        <sz val="14"/>
        <color theme="1"/>
        <rFont val="Calibri"/>
        <family val="2"/>
      </rPr>
      <t>b</t>
    </r>
    <r>
      <rPr>
        <sz val="14"/>
        <color theme="1"/>
        <rFont val="Calibri"/>
        <family val="2"/>
      </rPr>
      <t>Energy Center Lab, Politecnico di Torino, Via Paolo Borsellino, 38, 10138 Torino, Italy</t>
    </r>
  </si>
  <si>
    <t>HP</t>
  </si>
  <si>
    <t>ORC</t>
  </si>
  <si>
    <t>Energy Carriers</t>
  </si>
  <si>
    <t>LCA data for Solar Distributed Photovoltaic (PV)</t>
  </si>
  <si>
    <t>LCA data for Battery Energy Storage System (BESS)</t>
  </si>
  <si>
    <t>LCA data for Solar Thermal Energy System (STE)</t>
  </si>
  <si>
    <t>LCA data for Thermal Energy Storage System (TES)</t>
  </si>
  <si>
    <t>LCA data for Proton Exchange Membrane Fuel Cell (PEMFC)</t>
  </si>
  <si>
    <t>LCA data for Solid Oxide Fuel Cell (SOFC)</t>
  </si>
  <si>
    <t>LCA data for Proton Exchange Membrane Electrolyzer (PEMEC)</t>
  </si>
  <si>
    <t>LCA data for Alkaline Electrolyzer (AEL)</t>
  </si>
  <si>
    <t>LCA data for Compressed Gas Hydrogen Storage (CGH2)</t>
  </si>
  <si>
    <t>LCA data for Internal Combustion Engine (ICE)</t>
  </si>
  <si>
    <t xml:space="preserve">LCA data for Boiler </t>
  </si>
  <si>
    <t>LCA data for Heat Pump (HP)</t>
  </si>
  <si>
    <t>LCA data for Organic Ranking Cycle (ORC)</t>
  </si>
  <si>
    <t>LCA data for Energy Carriers (Natural Gas, Electricity, Hydrogen, Biomass)</t>
  </si>
  <si>
    <t>Reference Number</t>
  </si>
  <si>
    <t>carrier</t>
  </si>
  <si>
    <t>Year of publication of the report</t>
  </si>
  <si>
    <r>
      <t>kW
kWh
m</t>
    </r>
    <r>
      <rPr>
        <vertAlign val="superscript"/>
        <sz val="11"/>
        <color theme="1"/>
        <rFont val="Calibri"/>
        <family val="2"/>
      </rPr>
      <t>3</t>
    </r>
  </si>
  <si>
    <t>Additional Technology Specifications</t>
  </si>
  <si>
    <t>size_kWel, size_kWth</t>
  </si>
  <si>
    <t>size_kWh</t>
  </si>
  <si>
    <t>size_m3</t>
  </si>
  <si>
    <t>mounting</t>
  </si>
  <si>
    <t>size_kWel</t>
  </si>
  <si>
    <t>size_kWth</t>
  </si>
  <si>
    <t>refrigerant</t>
  </si>
  <si>
    <t>Assumptions: 1000 kWh/kW per year, duration 30 years</t>
  </si>
  <si>
    <t>kWp roof-mounted PV; 975 kWh/kWp annual production; Lifetime: 30 yrs</t>
  </si>
  <si>
    <t>All materials produced in China and international trades ignored. Assumptions: 1000 kWh/kW per year, duration 30 years</t>
  </si>
  <si>
    <t>Notes and Assumptions</t>
  </si>
  <si>
    <t>Land Use (LU)</t>
  </si>
  <si>
    <t>Fossil Resource Depletion (FRD)</t>
  </si>
  <si>
    <t>Water Use (WU)</t>
  </si>
  <si>
    <t>Particulate Matter Formation (PMF)</t>
  </si>
  <si>
    <t>Acidification Potential (AP)</t>
  </si>
  <si>
    <t>Freshwater Eutrophication Potential (FEP)</t>
  </si>
  <si>
    <t>Marine Eutrophication Potential (MEP)</t>
  </si>
  <si>
    <t>Freshwater Ecotoxicity Potential (FETP)</t>
  </si>
  <si>
    <t>Marine Ecotoxicity Potential (METP)</t>
  </si>
  <si>
    <t>Ionizing Radiation Potential (IRP)</t>
  </si>
  <si>
    <t>Human Toxicity Potential, carcinogenic (HTP-c)</t>
  </si>
  <si>
    <t>Human Toxicity Potential, non-carcinogenic(HTP-nc)</t>
  </si>
  <si>
    <t>Ozone Depletion Potential (ODP)</t>
  </si>
  <si>
    <t>Climate Change (CC)</t>
  </si>
  <si>
    <t>CC_kgCO2_per_kW_manufactory</t>
  </si>
  <si>
    <t>CC_gCO2_per_kWh_operational</t>
  </si>
  <si>
    <t>LU_m2a_per_kW</t>
  </si>
  <si>
    <t>MRD_gSb_per_kW</t>
  </si>
  <si>
    <t>FRD_MJ_per_kW</t>
  </si>
  <si>
    <t>WU_m3_per_kW</t>
  </si>
  <si>
    <t>PMF_10e-6disease_per_kW</t>
  </si>
  <si>
    <t>PMF_kgPM2.5_per_kW</t>
  </si>
  <si>
    <t>AP_molH+_per_kW</t>
  </si>
  <si>
    <t>AP_kgSO2_per_kW</t>
  </si>
  <si>
    <t>FEP_gP_per_kW</t>
  </si>
  <si>
    <t>MEP_gN_per_kW</t>
  </si>
  <si>
    <t>IRP_kgU235_per_kW</t>
  </si>
  <si>
    <t>HTPc_mCTUh_per_kW</t>
  </si>
  <si>
    <t>HTPc_kgDBC_per_kW</t>
  </si>
  <si>
    <t>ODP_mgCFC11_kW</t>
  </si>
  <si>
    <t>MJ/kW</t>
  </si>
  <si>
    <t>10e-6disease/kW</t>
  </si>
  <si>
    <t>mCTUh/kW</t>
  </si>
  <si>
    <r>
      <t>m</t>
    </r>
    <r>
      <rPr>
        <vertAlign val="superscript"/>
        <sz val="11"/>
        <color theme="1"/>
        <rFont val="Aptos Narrow"/>
        <family val="2"/>
        <scheme val="minor"/>
      </rPr>
      <t>2</t>
    </r>
    <r>
      <rPr>
        <sz val="11"/>
        <color theme="1"/>
        <rFont val="Aptos Narrow"/>
        <family val="2"/>
        <scheme val="minor"/>
      </rPr>
      <t>a/kW</t>
    </r>
  </si>
  <si>
    <r>
      <t>kg</t>
    </r>
    <r>
      <rPr>
        <vertAlign val="subscript"/>
        <sz val="11"/>
        <color theme="1"/>
        <rFont val="Aptos Narrow"/>
        <family val="2"/>
        <scheme val="minor"/>
      </rPr>
      <t>CO2</t>
    </r>
    <r>
      <rPr>
        <sz val="11"/>
        <color theme="1"/>
        <rFont val="Aptos Narrow"/>
        <family val="2"/>
        <scheme val="minor"/>
      </rPr>
      <t>/kWh</t>
    </r>
  </si>
  <si>
    <r>
      <t>kg</t>
    </r>
    <r>
      <rPr>
        <vertAlign val="subscript"/>
        <sz val="11"/>
        <color theme="1"/>
        <rFont val="Aptos Narrow"/>
        <family val="2"/>
        <scheme val="minor"/>
      </rPr>
      <t>CO2</t>
    </r>
    <r>
      <rPr>
        <sz val="11"/>
        <color theme="1"/>
        <rFont val="Aptos Narrow"/>
        <family val="2"/>
        <scheme val="minor"/>
      </rPr>
      <t>/kW</t>
    </r>
  </si>
  <si>
    <t>MRD_kgCu_per_kW</t>
  </si>
  <si>
    <r>
      <t>m</t>
    </r>
    <r>
      <rPr>
        <vertAlign val="superscript"/>
        <sz val="11"/>
        <color theme="1"/>
        <rFont val="Aptos Narrow"/>
        <family val="2"/>
        <scheme val="minor"/>
      </rPr>
      <t>3</t>
    </r>
    <r>
      <rPr>
        <sz val="11"/>
        <color theme="1"/>
        <rFont val="Aptos Narrow"/>
        <family val="2"/>
        <scheme val="minor"/>
      </rPr>
      <t>/kW</t>
    </r>
  </si>
  <si>
    <r>
      <t>kg</t>
    </r>
    <r>
      <rPr>
        <vertAlign val="subscript"/>
        <sz val="11"/>
        <color theme="1"/>
        <rFont val="Aptos Narrow"/>
        <family val="2"/>
        <scheme val="minor"/>
      </rPr>
      <t>PM2.5</t>
    </r>
    <r>
      <rPr>
        <sz val="11"/>
        <color theme="1"/>
        <rFont val="Aptos Narrow"/>
        <family val="2"/>
        <scheme val="minor"/>
      </rPr>
      <t>/kW</t>
    </r>
  </si>
  <si>
    <r>
      <t>g</t>
    </r>
    <r>
      <rPr>
        <vertAlign val="subscript"/>
        <sz val="11"/>
        <color theme="1"/>
        <rFont val="Aptos Narrow"/>
        <family val="2"/>
        <scheme val="minor"/>
      </rPr>
      <t>Sb</t>
    </r>
    <r>
      <rPr>
        <sz val="11"/>
        <color theme="1"/>
        <rFont val="Aptos Narrow"/>
        <family val="2"/>
        <scheme val="minor"/>
      </rPr>
      <t>/kW</t>
    </r>
  </si>
  <si>
    <r>
      <t>kg</t>
    </r>
    <r>
      <rPr>
        <vertAlign val="subscript"/>
        <sz val="11"/>
        <color theme="1"/>
        <rFont val="Aptos Narrow"/>
        <family val="2"/>
        <scheme val="minor"/>
      </rPr>
      <t>Cu</t>
    </r>
    <r>
      <rPr>
        <sz val="11"/>
        <color theme="1"/>
        <rFont val="Aptos Narrow"/>
        <family val="2"/>
        <scheme val="minor"/>
      </rPr>
      <t>/kW</t>
    </r>
  </si>
  <si>
    <r>
      <t>mol</t>
    </r>
    <r>
      <rPr>
        <vertAlign val="subscript"/>
        <sz val="11"/>
        <color theme="1"/>
        <rFont val="Aptos Narrow"/>
        <family val="2"/>
        <scheme val="minor"/>
      </rPr>
      <t>H+</t>
    </r>
    <r>
      <rPr>
        <sz val="11"/>
        <color theme="1"/>
        <rFont val="Aptos Narrow"/>
        <family val="2"/>
        <scheme val="minor"/>
      </rPr>
      <t>/kW</t>
    </r>
  </si>
  <si>
    <r>
      <t>kg</t>
    </r>
    <r>
      <rPr>
        <vertAlign val="subscript"/>
        <sz val="11"/>
        <color theme="1"/>
        <rFont val="Aptos Narrow"/>
        <family val="2"/>
        <scheme val="minor"/>
      </rPr>
      <t>SO2</t>
    </r>
    <r>
      <rPr>
        <sz val="11"/>
        <color theme="1"/>
        <rFont val="Aptos Narrow"/>
        <family val="2"/>
        <scheme val="minor"/>
      </rPr>
      <t>/kW</t>
    </r>
  </si>
  <si>
    <r>
      <t>g</t>
    </r>
    <r>
      <rPr>
        <vertAlign val="subscript"/>
        <sz val="11"/>
        <color theme="1"/>
        <rFont val="Aptos Narrow"/>
        <family val="2"/>
        <scheme val="minor"/>
      </rPr>
      <t>P</t>
    </r>
    <r>
      <rPr>
        <sz val="11"/>
        <color theme="1"/>
        <rFont val="Aptos Narrow"/>
        <family val="2"/>
        <scheme val="minor"/>
      </rPr>
      <t>/kW</t>
    </r>
  </si>
  <si>
    <r>
      <t>g</t>
    </r>
    <r>
      <rPr>
        <vertAlign val="subscript"/>
        <sz val="11"/>
        <color theme="1"/>
        <rFont val="Aptos Narrow"/>
        <family val="2"/>
        <scheme val="minor"/>
      </rPr>
      <t>N</t>
    </r>
    <r>
      <rPr>
        <sz val="11"/>
        <color theme="1"/>
        <rFont val="Aptos Narrow"/>
        <family val="2"/>
        <scheme val="minor"/>
      </rPr>
      <t>/kW</t>
    </r>
  </si>
  <si>
    <r>
      <t>kg</t>
    </r>
    <r>
      <rPr>
        <vertAlign val="subscript"/>
        <sz val="11"/>
        <color theme="1"/>
        <rFont val="Aptos Narrow"/>
        <family val="2"/>
        <scheme val="minor"/>
      </rPr>
      <t>U235</t>
    </r>
    <r>
      <rPr>
        <sz val="11"/>
        <color theme="1"/>
        <rFont val="Aptos Narrow"/>
        <family val="2"/>
        <scheme val="minor"/>
      </rPr>
      <t>/kW</t>
    </r>
  </si>
  <si>
    <r>
      <t>kg</t>
    </r>
    <r>
      <rPr>
        <vertAlign val="subscript"/>
        <sz val="11"/>
        <color theme="1"/>
        <rFont val="Aptos Narrow"/>
        <family val="2"/>
        <scheme val="minor"/>
      </rPr>
      <t>DBC</t>
    </r>
    <r>
      <rPr>
        <sz val="11"/>
        <color theme="1"/>
        <rFont val="Aptos Narrow"/>
        <family val="2"/>
        <scheme val="minor"/>
      </rPr>
      <t>/kW</t>
    </r>
  </si>
  <si>
    <r>
      <t>mg</t>
    </r>
    <r>
      <rPr>
        <vertAlign val="subscript"/>
        <sz val="11"/>
        <color theme="1"/>
        <rFont val="Aptos Narrow"/>
        <family val="2"/>
        <scheme val="minor"/>
      </rPr>
      <t>CFC11</t>
    </r>
    <r>
      <rPr>
        <sz val="11"/>
        <color theme="1"/>
        <rFont val="Aptos Narrow"/>
        <family val="2"/>
        <scheme val="minor"/>
      </rPr>
      <t>/kW</t>
    </r>
  </si>
  <si>
    <t>CTUe/kW</t>
  </si>
  <si>
    <t>FETP_CTUe_per_kW</t>
  </si>
  <si>
    <t>Climate change operational emissions include those generated during standby phases, charge-discharge operations, and component replacements.</t>
  </si>
  <si>
    <t>Emissions are expressed per kW of installed capacity. To obtain emissions based on the actual energy delivered, values are multiplied by an average C-rate of 0.5.</t>
  </si>
  <si>
    <t>.</t>
  </si>
  <si>
    <t>roof/ground</t>
  </si>
  <si>
    <t>Battery's lifespan, expressed as the total number of charge-discharge cycles.</t>
  </si>
  <si>
    <t>Installation type of solar panels/collectors: rooftop installation or ground-mounted system</t>
  </si>
  <si>
    <t>CC_kgCO2_per_kWh_manufactory</t>
  </si>
  <si>
    <t>LU_m2a_per_kWh</t>
  </si>
  <si>
    <r>
      <t>m</t>
    </r>
    <r>
      <rPr>
        <vertAlign val="superscript"/>
        <sz val="11"/>
        <color theme="1"/>
        <rFont val="Aptos Narrow"/>
        <family val="2"/>
        <scheme val="minor"/>
      </rPr>
      <t>2</t>
    </r>
    <r>
      <rPr>
        <sz val="11"/>
        <color theme="1"/>
        <rFont val="Aptos Narrow"/>
        <family val="2"/>
        <scheme val="minor"/>
      </rPr>
      <t>a/kWh</t>
    </r>
  </si>
  <si>
    <t>MRD_gSb_per_kWh</t>
  </si>
  <si>
    <t>MRD_kgCu_per_kWh</t>
  </si>
  <si>
    <r>
      <t>g</t>
    </r>
    <r>
      <rPr>
        <vertAlign val="subscript"/>
        <sz val="11"/>
        <color theme="1"/>
        <rFont val="Aptos Narrow"/>
        <family val="2"/>
        <scheme val="minor"/>
      </rPr>
      <t>Sb</t>
    </r>
    <r>
      <rPr>
        <sz val="11"/>
        <color theme="1"/>
        <rFont val="Aptos Narrow"/>
        <family val="2"/>
        <scheme val="minor"/>
      </rPr>
      <t>/kWh</t>
    </r>
  </si>
  <si>
    <r>
      <t>kg</t>
    </r>
    <r>
      <rPr>
        <vertAlign val="subscript"/>
        <sz val="11"/>
        <color theme="1"/>
        <rFont val="Aptos Narrow"/>
        <family val="2"/>
        <scheme val="minor"/>
      </rPr>
      <t>Cu</t>
    </r>
    <r>
      <rPr>
        <sz val="11"/>
        <color theme="1"/>
        <rFont val="Aptos Narrow"/>
        <family val="2"/>
        <scheme val="minor"/>
      </rPr>
      <t>/kWh</t>
    </r>
  </si>
  <si>
    <t>MRD_kgFe_per_kWh</t>
  </si>
  <si>
    <r>
      <t>kg</t>
    </r>
    <r>
      <rPr>
        <vertAlign val="subscript"/>
        <sz val="11"/>
        <color theme="1"/>
        <rFont val="Aptos Narrow"/>
        <family val="2"/>
        <scheme val="minor"/>
      </rPr>
      <t>Fe</t>
    </r>
    <r>
      <rPr>
        <sz val="11"/>
        <color theme="1"/>
        <rFont val="Aptos Narrow"/>
        <family val="2"/>
        <scheme val="minor"/>
      </rPr>
      <t>/kWh</t>
    </r>
  </si>
  <si>
    <t>FRD_MJ_per_kWh</t>
  </si>
  <si>
    <t>MJ/kWh</t>
  </si>
  <si>
    <t>WU_m3_per_kWh</t>
  </si>
  <si>
    <r>
      <t>m</t>
    </r>
    <r>
      <rPr>
        <vertAlign val="superscript"/>
        <sz val="11"/>
        <color theme="1"/>
        <rFont val="Aptos Narrow"/>
        <family val="2"/>
        <scheme val="minor"/>
      </rPr>
      <t>3</t>
    </r>
    <r>
      <rPr>
        <sz val="11"/>
        <color theme="1"/>
        <rFont val="Aptos Narrow"/>
        <family val="2"/>
        <scheme val="minor"/>
      </rPr>
      <t>/kWh</t>
    </r>
  </si>
  <si>
    <t>PMF_kgPM2.5_per_kWh</t>
  </si>
  <si>
    <t>AP_kgSO2_per_kWh</t>
  </si>
  <si>
    <t>FEP_gP_per_kWh</t>
  </si>
  <si>
    <r>
      <t>kg</t>
    </r>
    <r>
      <rPr>
        <vertAlign val="subscript"/>
        <sz val="11"/>
        <color theme="1"/>
        <rFont val="Aptos Narrow"/>
        <family val="2"/>
        <scheme val="minor"/>
      </rPr>
      <t>SO2</t>
    </r>
    <r>
      <rPr>
        <sz val="11"/>
        <color theme="1"/>
        <rFont val="Aptos Narrow"/>
        <family val="2"/>
        <scheme val="minor"/>
      </rPr>
      <t>/kWh</t>
    </r>
  </si>
  <si>
    <r>
      <t>kg</t>
    </r>
    <r>
      <rPr>
        <vertAlign val="subscript"/>
        <sz val="11"/>
        <color theme="1"/>
        <rFont val="Aptos Narrow"/>
        <family val="2"/>
        <scheme val="minor"/>
      </rPr>
      <t>PM2.5</t>
    </r>
    <r>
      <rPr>
        <sz val="11"/>
        <color theme="1"/>
        <rFont val="Aptos Narrow"/>
        <family val="2"/>
        <scheme val="minor"/>
      </rPr>
      <t>/kWh</t>
    </r>
  </si>
  <si>
    <r>
      <t>g</t>
    </r>
    <r>
      <rPr>
        <vertAlign val="subscript"/>
        <sz val="11"/>
        <color theme="1"/>
        <rFont val="Aptos Narrow"/>
        <family val="2"/>
        <scheme val="minor"/>
      </rPr>
      <t>P</t>
    </r>
    <r>
      <rPr>
        <sz val="11"/>
        <color theme="1"/>
        <rFont val="Aptos Narrow"/>
        <family val="2"/>
        <scheme val="minor"/>
      </rPr>
      <t>/kWh</t>
    </r>
  </si>
  <si>
    <t>MEP_gN_per_kWh</t>
  </si>
  <si>
    <r>
      <t>g</t>
    </r>
    <r>
      <rPr>
        <vertAlign val="subscript"/>
        <sz val="11"/>
        <color theme="1"/>
        <rFont val="Aptos Narrow"/>
        <family val="2"/>
        <scheme val="minor"/>
      </rPr>
      <t>N</t>
    </r>
    <r>
      <rPr>
        <sz val="11"/>
        <color theme="1"/>
        <rFont val="Aptos Narrow"/>
        <family val="2"/>
        <scheme val="minor"/>
      </rPr>
      <t>/kWh</t>
    </r>
  </si>
  <si>
    <t>FETP_CTUe_per_kWh</t>
  </si>
  <si>
    <t>CTUe/kWh</t>
  </si>
  <si>
    <t>FETP_kgDCB_per_kWh</t>
  </si>
  <si>
    <t>kgDCB/kWh</t>
  </si>
  <si>
    <t>IRP_kBqU235_per_kWh</t>
  </si>
  <si>
    <t>CTUh/kWh</t>
  </si>
  <si>
    <t>HTPc_CTUh_per_kWh</t>
  </si>
  <si>
    <t>HTPnc_CTUh_per_kWh</t>
  </si>
  <si>
    <t>HTPc_1,4-DB _per_kWh</t>
  </si>
  <si>
    <r>
      <t>kg</t>
    </r>
    <r>
      <rPr>
        <vertAlign val="subscript"/>
        <sz val="11"/>
        <color theme="1"/>
        <rFont val="Aptos Narrow"/>
        <family val="2"/>
        <scheme val="minor"/>
      </rPr>
      <t xml:space="preserve">1,4-DB </t>
    </r>
    <r>
      <rPr>
        <sz val="11"/>
        <color theme="1"/>
        <rFont val="Aptos Narrow"/>
        <family val="2"/>
        <scheme val="minor"/>
      </rPr>
      <t>/kWh</t>
    </r>
  </si>
  <si>
    <t>HTPnc_1,4-DB _per_kWh</t>
  </si>
  <si>
    <t>HTP_1,4-DB _per_kWh</t>
  </si>
  <si>
    <r>
      <t>mg</t>
    </r>
    <r>
      <rPr>
        <vertAlign val="subscript"/>
        <sz val="11"/>
        <color theme="1"/>
        <rFont val="Aptos Narrow"/>
        <family val="2"/>
        <scheme val="minor"/>
      </rPr>
      <t>CFC11</t>
    </r>
    <r>
      <rPr>
        <sz val="11"/>
        <color theme="1"/>
        <rFont val="Aptos Narrow"/>
        <family val="2"/>
        <scheme val="minor"/>
      </rPr>
      <t>/kWh</t>
    </r>
  </si>
  <si>
    <t>ODP_mgCFC11_kWh</t>
  </si>
  <si>
    <t>Industrial Solar Thermal Systems. Assumption: lifetime 20 yr</t>
  </si>
  <si>
    <t>Assumption: lifetime 20 yr</t>
  </si>
  <si>
    <t>Assumption: lifetime 20 yr, production: 750 kWh/kW</t>
  </si>
  <si>
    <t>Include a 200 L heat storage tank and roof mounting structure. Assumption: lifetime 20 yr. Assumption: lifetime 20 yr, production: 750 kWh/kW</t>
  </si>
  <si>
    <t>Include a 200 L heat storage tank and roof mounting structure. Assumption: lifetime 20 yr.7 Assumption: lifetime 20 yr, production: 750 kWh/kW</t>
  </si>
  <si>
    <t>DHW 10-years-life cycle. No storage. Assumption: lifetime 20 yr, production: 750 kWh/kW</t>
  </si>
  <si>
    <t>https://www.sciencedirect.com/science/article/pii/S0959652617331098?via%3Dihub</t>
  </si>
  <si>
    <t>FETP_kgDCB_per_kW</t>
  </si>
  <si>
    <t>kgDCB/kW</t>
  </si>
  <si>
    <t>IRP_kBqCo60_per_kW</t>
  </si>
  <si>
    <r>
      <t>kBq</t>
    </r>
    <r>
      <rPr>
        <vertAlign val="subscript"/>
        <sz val="11"/>
        <color theme="1"/>
        <rFont val="Aptos Narrow"/>
        <family val="2"/>
        <scheme val="minor"/>
      </rPr>
      <t>U235</t>
    </r>
    <r>
      <rPr>
        <sz val="11"/>
        <color theme="1"/>
        <rFont val="Aptos Narrow"/>
        <family val="2"/>
        <scheme val="minor"/>
      </rPr>
      <t>/kWh</t>
    </r>
  </si>
  <si>
    <t>Industrial Solar Thermal Systems. Nominal energy capacity calculated with a 50°C temperature difference. Desired temperature: 60°C. Cold water temperature based on the average February value for the cities considered in the study</t>
  </si>
  <si>
    <t>HTP_kgDBC_per_kW</t>
  </si>
  <si>
    <t>LU_kgCO2_per_kW</t>
  </si>
  <si>
    <t>CC operational depends on  energy mix (min: hydro power, max:EU grid). LU: 8 gCO2/m2</t>
  </si>
  <si>
    <t>METP_kgDCB_per_kW</t>
  </si>
  <si>
    <t>0.02-1.65</t>
  </si>
  <si>
    <t>Terrestrial Ecotoxicity Potential (TEP)</t>
  </si>
  <si>
    <t>TETP_kgDCB_per_kW</t>
  </si>
  <si>
    <t>HTPnc_kgDBC_per_kW</t>
  </si>
  <si>
    <t>Lifetime SOFC: 5 yr; Electricity generation: 1970 MWh/y</t>
  </si>
  <si>
    <t>Assumption: 8000 equivalent operational hours</t>
  </si>
  <si>
    <t>Assumption: 1000 kWh/y, 80000 h/lifetime</t>
  </si>
  <si>
    <t>TETP_kgCTUe_per_kW</t>
  </si>
  <si>
    <t>TETP_kgDCB_per_kWh</t>
  </si>
  <si>
    <t>Type of fuel that powers the technology</t>
  </si>
  <si>
    <t>Functional Unit: 1 m2 of stack; Area: 200 m2; Power: 1356 kW; Lifetime: 40000 h</t>
  </si>
  <si>
    <t>Lifetime: 240,000 h (with replacements); H2 generation: 17.7 kg/h</t>
  </si>
  <si>
    <t>Functional Unit:  1 m2 of stack; Area: 203 m2; Power: 1436 kW; Lifetime: 100000 h</t>
  </si>
  <si>
    <t>Lifetime: 240,000 h (w replacements); H2 generation: 1 kg/h</t>
  </si>
  <si>
    <t>1Mt/y; Capacity: 3 days; CF: 8760 h/y</t>
  </si>
  <si>
    <t>3650 refueling per lifetime; 80 kgH2 (full charge)</t>
  </si>
  <si>
    <t>Operational emission includes liquefaction</t>
  </si>
  <si>
    <t>1Mt/y; Capacity: 3 days; CF: 8760 h/y. WU 219 m3/kWh, but it includes the water used during operation for H2 production (98%). Calculated the remaining 2% as construction water depletion</t>
  </si>
  <si>
    <t>AP_molH+_per_kWh</t>
  </si>
  <si>
    <r>
      <t>mol</t>
    </r>
    <r>
      <rPr>
        <vertAlign val="subscript"/>
        <sz val="11"/>
        <color theme="1"/>
        <rFont val="Aptos Narrow"/>
        <family val="2"/>
        <scheme val="minor"/>
      </rPr>
      <t>H+</t>
    </r>
    <r>
      <rPr>
        <sz val="11"/>
        <color theme="1"/>
        <rFont val="Aptos Narrow"/>
        <family val="2"/>
        <scheme val="minor"/>
      </rPr>
      <t>/kWh</t>
    </r>
  </si>
  <si>
    <t>Functional Unit: annual heat and power generation. Heat: 12124 kWh. Electricity: 2047 kWh</t>
  </si>
  <si>
    <t>Electricity average production: 1477 kWh/y</t>
  </si>
  <si>
    <t>Small wood. Electrical efficiency:18%. Thermal efficiency: 68%. Functional Unit: 1 MJ of produced energy (21% electicity, 79% heat). Lifetime: 20y. Electricity produced 790 MWh/a, Heat produced 3000 MWh/a. Excluded combustion contribution</t>
  </si>
  <si>
    <t>Average scenario: 230.6 kWh/m2y. Area = 140m2. Lifetime=20y</t>
  </si>
  <si>
    <t>FU = 42.822 MWh/y . Lifetime = 15y</t>
  </si>
  <si>
    <t>.-</t>
  </si>
  <si>
    <t>Ground-source horizontal heat collector</t>
  </si>
  <si>
    <t>Ground-source vertical heat collector</t>
  </si>
  <si>
    <t>Hybrid Heat pump</t>
  </si>
  <si>
    <t>Average scenario: 230.6 kWh/m2y; Area = 140m2; Lifetime=20y</t>
  </si>
  <si>
    <t>Funcional Unit: 400975 kWh/lifetime</t>
  </si>
  <si>
    <t>Type of refrigerant fluid</t>
  </si>
  <si>
    <t>Include Waste Heat. Net output = 79 kW. 2500 h/y - 12 y</t>
  </si>
  <si>
    <t>13500 MWh/lifetime</t>
  </si>
  <si>
    <t>P_out = 3782 kW. P_in = 10000 kW; Lifetime = 30 y; Capacity factor = 7000 h/yr</t>
  </si>
  <si>
    <t>P_out = 3705 kW; P_in = 10000 kW; Lifetime = 30 y; Capacity factor = 7000 h/yr</t>
  </si>
  <si>
    <t>P_out = 3782 kW; P_in = 10000 kW; Lifetime = 30 y; Capacity factor = 7000 h/yr</t>
  </si>
  <si>
    <t>Values reported in kWh of electricity. Converted in kWh of NG considering the conversion efficiency of 0.71</t>
  </si>
  <si>
    <t>Type of energy carrier</t>
  </si>
  <si>
    <t xml:space="preserve"> https://data.europa.eu/doi/10.2760/5459</t>
  </si>
  <si>
    <t>CC_kgCO2_per_MWh_direct</t>
  </si>
  <si>
    <r>
      <t>kg</t>
    </r>
    <r>
      <rPr>
        <vertAlign val="subscript"/>
        <sz val="11"/>
        <color theme="1"/>
        <rFont val="Aptos Narrow"/>
        <family val="2"/>
        <scheme val="minor"/>
      </rPr>
      <t>CO2</t>
    </r>
    <r>
      <rPr>
        <sz val="11"/>
        <color theme="1"/>
        <rFont val="Aptos Narrow"/>
        <family val="2"/>
        <scheme val="minor"/>
      </rPr>
      <t>/MWh</t>
    </r>
  </si>
  <si>
    <t>CC_kgCO2_per_MWh_indirect</t>
  </si>
  <si>
    <t>2900 TWh of electricity produced in 2018</t>
  </si>
  <si>
    <t>1,735,299 Nm3 digestate per year; LHV biogas = 20 MJ/m3</t>
  </si>
  <si>
    <t>LU_m2a_per_MWh</t>
  </si>
  <si>
    <r>
      <t>m</t>
    </r>
    <r>
      <rPr>
        <vertAlign val="superscript"/>
        <sz val="11"/>
        <color theme="1"/>
        <rFont val="Aptos Narrow"/>
        <family val="2"/>
        <scheme val="minor"/>
      </rPr>
      <t>2</t>
    </r>
    <r>
      <rPr>
        <sz val="11"/>
        <color theme="1"/>
        <rFont val="Aptos Narrow"/>
        <family val="2"/>
        <scheme val="minor"/>
      </rPr>
      <t>a/MWh</t>
    </r>
  </si>
  <si>
    <t>MRD_gSb_per_MWh</t>
  </si>
  <si>
    <r>
      <t>g</t>
    </r>
    <r>
      <rPr>
        <vertAlign val="subscript"/>
        <sz val="11"/>
        <color theme="1"/>
        <rFont val="Aptos Narrow"/>
        <family val="2"/>
        <scheme val="minor"/>
      </rPr>
      <t>Sb</t>
    </r>
    <r>
      <rPr>
        <sz val="11"/>
        <color theme="1"/>
        <rFont val="Aptos Narrow"/>
        <family val="2"/>
        <scheme val="minor"/>
      </rPr>
      <t>/MWh</t>
    </r>
  </si>
  <si>
    <t>MRD_kgCu_per_MWh</t>
  </si>
  <si>
    <r>
      <t>kg</t>
    </r>
    <r>
      <rPr>
        <vertAlign val="subscript"/>
        <sz val="11"/>
        <color theme="1"/>
        <rFont val="Aptos Narrow"/>
        <family val="2"/>
        <scheme val="minor"/>
      </rPr>
      <t>Cu</t>
    </r>
    <r>
      <rPr>
        <sz val="11"/>
        <color theme="1"/>
        <rFont val="Aptos Narrow"/>
        <family val="2"/>
        <scheme val="minor"/>
      </rPr>
      <t>/MWh</t>
    </r>
  </si>
  <si>
    <t>FRD_MJ_per_MWh</t>
  </si>
  <si>
    <t>MJ/MWh</t>
  </si>
  <si>
    <t>WU_m3_per_MWh</t>
  </si>
  <si>
    <r>
      <t>m</t>
    </r>
    <r>
      <rPr>
        <vertAlign val="superscript"/>
        <sz val="11"/>
        <color theme="1"/>
        <rFont val="Aptos Narrow"/>
        <family val="2"/>
        <scheme val="minor"/>
      </rPr>
      <t>3</t>
    </r>
    <r>
      <rPr>
        <sz val="11"/>
        <color theme="1"/>
        <rFont val="Aptos Narrow"/>
        <family val="2"/>
        <scheme val="minor"/>
      </rPr>
      <t>/MWh</t>
    </r>
  </si>
  <si>
    <t>PMF_kgPM2.5_per_MWh</t>
  </si>
  <si>
    <r>
      <t>kg</t>
    </r>
    <r>
      <rPr>
        <vertAlign val="subscript"/>
        <sz val="11"/>
        <color theme="1"/>
        <rFont val="Aptos Narrow"/>
        <family val="2"/>
        <scheme val="minor"/>
      </rPr>
      <t>PM2.5</t>
    </r>
    <r>
      <rPr>
        <sz val="11"/>
        <color theme="1"/>
        <rFont val="Aptos Narrow"/>
        <family val="2"/>
        <scheme val="minor"/>
      </rPr>
      <t>/MWh</t>
    </r>
  </si>
  <si>
    <t>AP_molH+_per_MWh</t>
  </si>
  <si>
    <r>
      <t>mol</t>
    </r>
    <r>
      <rPr>
        <vertAlign val="subscript"/>
        <sz val="11"/>
        <color theme="1"/>
        <rFont val="Aptos Narrow"/>
        <family val="2"/>
        <scheme val="minor"/>
      </rPr>
      <t>H+</t>
    </r>
    <r>
      <rPr>
        <sz val="11"/>
        <color theme="1"/>
        <rFont val="Aptos Narrow"/>
        <family val="2"/>
        <scheme val="minor"/>
      </rPr>
      <t>/MWh</t>
    </r>
  </si>
  <si>
    <t>AP_kgSO2_per_MWh</t>
  </si>
  <si>
    <r>
      <t>kg</t>
    </r>
    <r>
      <rPr>
        <vertAlign val="subscript"/>
        <sz val="11"/>
        <color theme="1"/>
        <rFont val="Aptos Narrow"/>
        <family val="2"/>
        <scheme val="minor"/>
      </rPr>
      <t>SO2</t>
    </r>
    <r>
      <rPr>
        <sz val="11"/>
        <color theme="1"/>
        <rFont val="Aptos Narrow"/>
        <family val="2"/>
        <scheme val="minor"/>
      </rPr>
      <t>/MWh</t>
    </r>
  </si>
  <si>
    <t>FEP_gP_per_MWh</t>
  </si>
  <si>
    <r>
      <t>g</t>
    </r>
    <r>
      <rPr>
        <vertAlign val="subscript"/>
        <sz val="11"/>
        <color theme="1"/>
        <rFont val="Aptos Narrow"/>
        <family val="2"/>
        <scheme val="minor"/>
      </rPr>
      <t>P</t>
    </r>
    <r>
      <rPr>
        <sz val="11"/>
        <color theme="1"/>
        <rFont val="Aptos Narrow"/>
        <family val="2"/>
        <scheme val="minor"/>
      </rPr>
      <t>/MWh</t>
    </r>
  </si>
  <si>
    <t>MEP_gN_per_MWh</t>
  </si>
  <si>
    <r>
      <t>g</t>
    </r>
    <r>
      <rPr>
        <vertAlign val="subscript"/>
        <sz val="11"/>
        <color theme="1"/>
        <rFont val="Aptos Narrow"/>
        <family val="2"/>
        <scheme val="minor"/>
      </rPr>
      <t>N</t>
    </r>
    <r>
      <rPr>
        <sz val="11"/>
        <color theme="1"/>
        <rFont val="Aptos Narrow"/>
        <family val="2"/>
        <scheme val="minor"/>
      </rPr>
      <t>/MWh</t>
    </r>
  </si>
  <si>
    <t>FETP_kgDCB_per_MWh</t>
  </si>
  <si>
    <t>kgDCB/MWh</t>
  </si>
  <si>
    <t>METP_kgDCB_per_MWh</t>
  </si>
  <si>
    <t>TETP_kgDCB_per_MWh</t>
  </si>
  <si>
    <t>IRP_kBqU235_per_MWh</t>
  </si>
  <si>
    <r>
      <t>kBq</t>
    </r>
    <r>
      <rPr>
        <vertAlign val="subscript"/>
        <sz val="11"/>
        <color theme="1"/>
        <rFont val="Aptos Narrow"/>
        <family val="2"/>
        <scheme val="minor"/>
      </rPr>
      <t>U235</t>
    </r>
    <r>
      <rPr>
        <sz val="11"/>
        <color theme="1"/>
        <rFont val="Aptos Narrow"/>
        <family val="2"/>
        <scheme val="minor"/>
      </rPr>
      <t>/MWh</t>
    </r>
  </si>
  <si>
    <t>IRP_kBqCo60_per_MWh</t>
  </si>
  <si>
    <r>
      <t>kBq</t>
    </r>
    <r>
      <rPr>
        <vertAlign val="subscript"/>
        <sz val="11"/>
        <color theme="1"/>
        <rFont val="Aptos Narrow"/>
        <family val="2"/>
        <scheme val="minor"/>
      </rPr>
      <t>Co60</t>
    </r>
    <r>
      <rPr>
        <sz val="11"/>
        <color theme="1"/>
        <rFont val="Aptos Narrow"/>
        <family val="2"/>
        <scheme val="minor"/>
      </rPr>
      <t>/kW</t>
    </r>
  </si>
  <si>
    <r>
      <t>kBq</t>
    </r>
    <r>
      <rPr>
        <vertAlign val="subscript"/>
        <sz val="11"/>
        <color theme="1"/>
        <rFont val="Aptos Narrow"/>
        <family val="2"/>
        <scheme val="minor"/>
      </rPr>
      <t>Co60</t>
    </r>
    <r>
      <rPr>
        <sz val="11"/>
        <color theme="1"/>
        <rFont val="Aptos Narrow"/>
        <family val="2"/>
        <scheme val="minor"/>
      </rPr>
      <t>/MWh</t>
    </r>
  </si>
  <si>
    <t>HTPc_CTUh_per_MWh</t>
  </si>
  <si>
    <t>CTUh/MWh</t>
  </si>
  <si>
    <t>HTPc_kgDBC_per_MWh</t>
  </si>
  <si>
    <r>
      <t>kg</t>
    </r>
    <r>
      <rPr>
        <vertAlign val="subscript"/>
        <sz val="11"/>
        <color theme="1"/>
        <rFont val="Aptos Narrow"/>
        <family val="2"/>
        <scheme val="minor"/>
      </rPr>
      <t>DBC</t>
    </r>
    <r>
      <rPr>
        <sz val="11"/>
        <color theme="1"/>
        <rFont val="Aptos Narrow"/>
        <family val="2"/>
        <scheme val="minor"/>
      </rPr>
      <t>/MWh</t>
    </r>
  </si>
  <si>
    <t>HTPnc_CTUh_per_MWh</t>
  </si>
  <si>
    <t>HTPnc_kgDBC_per_MWh</t>
  </si>
  <si>
    <t>ODP_mgCFC11_MWh</t>
  </si>
  <si>
    <r>
      <t>mg</t>
    </r>
    <r>
      <rPr>
        <vertAlign val="subscript"/>
        <sz val="11"/>
        <color theme="1"/>
        <rFont val="Aptos Narrow"/>
        <family val="2"/>
        <scheme val="minor"/>
      </rPr>
      <t>CFC11</t>
    </r>
    <r>
      <rPr>
        <sz val="11"/>
        <color theme="1"/>
        <rFont val="Aptos Narrow"/>
        <family val="2"/>
        <scheme val="minor"/>
      </rPr>
      <t>/MWh</t>
    </r>
  </si>
  <si>
    <t xml:space="preserve">Climate change impact in terms of CO2 emissions per unit of energy or power </t>
  </si>
  <si>
    <t>Land occupation required for the technology</t>
  </si>
  <si>
    <t>Depletion of mineral resources associated with the technology</t>
  </si>
  <si>
    <t>Fossil fuel energy consumption required for the technology</t>
  </si>
  <si>
    <t>Water consumption associated with the technology</t>
  </si>
  <si>
    <t>Particulate matter emissions associated with the technology</t>
  </si>
  <si>
    <t>Acidification potential emissions from the technology</t>
  </si>
  <si>
    <t>Impact on freshwater ecosystems due to nutrient enrichment</t>
  </si>
  <si>
    <t>Impact on marine ecosystems due to nutrient enrichment</t>
  </si>
  <si>
    <t>Toxicity potential in freshwater environments</t>
  </si>
  <si>
    <t>Toxicity potential in marine environments</t>
  </si>
  <si>
    <t>Toxicity potential in terrestrial environments</t>
  </si>
  <si>
    <t>Ionizing radiation emissions from the technology</t>
  </si>
  <si>
    <t>Human toxicity potential for carcinogenic substances</t>
  </si>
  <si>
    <t>Human toxicity potential for non-carcinogenic substances</t>
  </si>
  <si>
    <t>Contribution to ozone layer depletion</t>
  </si>
  <si>
    <t>Additional considerations regarding data assumptions and methodology</t>
  </si>
  <si>
    <t>https://nilu.com/publication/1881540/</t>
  </si>
  <si>
    <t>R. Frischknecht, L. Krebs, Environmental life cycle assessment of electricity from PV systems, 2021. https://iea-pvps.org/wp-content/uploads/2021/11/IEA-PVPS-Task12-LCA-PV-electricity-_-Fact-Sheet.pdf.</t>
  </si>
  <si>
    <t>https://iea-pvps.org/wp-content/uploads/2021/11/IEA-PVPS-Task12-LCA-PV-electricity-_-Fact-Sheet.pdf.</t>
  </si>
  <si>
    <t>UNECE, Life cycle assessment of electricity generation options, 2021. https://unece.org/sites/default/files/2021-11/LCA_final.pdf.</t>
  </si>
  <si>
    <t>M. Bošnjaković, R. Santa, Z. Crnac, T. Bošnjaković, Environmental Impact of PV Power Systems, Sustainability 15 (2023) 11888. https://doi.org/10.3390/su151511888.</t>
  </si>
  <si>
    <t>X.X. Ehsan Alam, Life cycle assessment of photovoltaic electricity production by mono‑crystalline solar systems: a case study in Canada, (2023). https://link.springer.com/article/10.1007/s11356-022-24077-3.</t>
  </si>
  <si>
    <t>E.R. Sanseverino, M. Cellura, L.Q. Luu, M.A. Cusenza, N. Nguyen Quang, N.H. Nguyen, Life-Cycle Land-Use Requirement for PV in Vietnam, Energies 14 (2021) 861. https://doi.org/10.3390/en14040861.</t>
  </si>
  <si>
    <t>D. Polverini, N. Espinosa, U. Eynard, E. Leccisi, F. Ardente, F. Mathieux, Assessing the carbon footprint of photovoltaic modules through the EU Ecodesign Directive, Solar Energy 257 (2023) 1–9. https://doi.org/10.1016/j.solener.2023.04.001.</t>
  </si>
  <si>
    <t>R. Frischknecht, L. Krebs, Resource Use Footprints of Residential PV Systems, 2022. https://iea-pvps.org/wp-content/uploads/2022/03/Report_IEA_PVPS_T12-22-2022-ResourceUseFootprintsResidentialPV-v1.2.pdf (accessed March 14, 2025).</t>
  </si>
  <si>
    <t>P. Stolz, R. Frischknecht, G. Heath, K. Komoto, J. Macknick, P. Sinha, A. Wade, Water Footprint of European Rooftop Photovoltaic Electricity based on Regionalised Life Cycle Inventories, IEA PVPS Task 12, 2017. https://iea-pvps.org/wp-content/uploads/2020/01/Water_Footprint_of_European_Rooftop_Photovoltaic_Electricity_based_in_Re-giornalised_Life_Cycle_Inventories_by_Task_12.pdf (accessed March 14, 2025).</t>
  </si>
  <si>
    <t>A.-G. Lupu, V.M. Homutescu, D.-T. Bălănescu, A. Popescu, Hybrid PV-TE-T modules: life cycle analysis and end of life assessment, IOP Conf. Ser.: Mater. Sci. Eng. 997 (2020) 012149. https://doi.org/10.1088/1757-899X/997/1/012149.</t>
  </si>
  <si>
    <t>A. Kylili, P.A. Fokaides, A. Ioannides, S. Kalogirou, Environmental assessment of solar thermal systems for the industrial sector, Journal of Cleaner Production 176 (2018) 99–109. https://doi.org/10.1016/j.jclepro.2017.12.150.</t>
  </si>
  <si>
    <t>O. Ariyakhajorn, Life Cycle Assessment of Absolicon solar thermal collector field for district heating in Härnösand, KTH Royal Institute of Technology, 2023. https://kth.diva-portal.org/smash/get/diva2:1801627/FULLTEXT01.pdf.</t>
  </si>
  <si>
    <t>M. Milousi, M. Souliotis, G. Arampatzis, S. Papaefthimiou, Evaluating the Environmental Performance of Solar Energy Systems Through a Combined Life Cycle Assessment and Cost Analysis, Sustainability 11 (2019) 2539. https://doi.org/10.3390/su11092539.</t>
  </si>
  <si>
    <t>B.R. David, S. Spencer, J. Miller, S. Almahmoud, H. Jouhara, Comparative environmental life cycle assessment of conventional energy storage system and innovative thermal energy storage system, International Journal of Thermofluids 12 (2021) 100116. https://doi.org/10.1016/j.ijft.2021.100116.</t>
  </si>
  <si>
    <t>Q. Wang, W. Liu, X. Yuan, H. Tang, Y. Tang, M. Wang, J. Zuo, Z. Song, J. Sun, Environmental impact analysis and process optimization of batteries based on life cycle assessment, Journal of Cleaner Production 174 (2018) 1262–1273. https://doi.org/10.1016/j.jclepro.2017.11.059.</t>
  </si>
  <si>
    <t>F.B. Jasper, J. Späthe, M. Baumann, J.F. Peters, J. Ruhland, M. Weil, Life cycle assessment (LCA) of a battery home storage system based on primary data, Journal of Cleaner Production 366 (2022) 132899. https://doi.org/10.1016/j.jclepro.2022.132899.</t>
  </si>
  <si>
    <t>L. Vandepaer, J. Cloutier, B. Amor, Environmental impacts of Lithium Metal Polymer and Lithium-ion stationary batteries, Renewable and Sustainable Energy Reviews 78 (2017) 46–60. https://doi.org/10.1016/j.rser.2017.04.057.</t>
  </si>
  <si>
    <t>EPRI, Program on Technology Innovation: Life Cycle Assessment of Lithium-ion Batteries in Stationary Energy Storage Systems, 2019. https://www.epri.com/research/products/000000003002017000 (accessed March 14, 2025).</t>
  </si>
  <si>
    <t>L. da Silva Lima, M. Quartier, A. Buchmayr, D. Sanjuan-Delmás, H. Laget, D. Corbisier, J. Mertens, J. Dewulf, Life cycle assessment of lithium-ion batteries and vanadium redox flow batteries-based renewable energy storage systems, Sustainable Energy Technologies and Assessments 46 (2021) 101286. https://doi.org/10.1016/j.seta.2021.101286.</t>
  </si>
  <si>
    <t>M.L. Carvalho, A. Temporelli, P. Girardi, Life Cycle Assessment of Stationary Storage Systems within the Italian Electric Network, Energies 14 (2021). https://doi.org/10.3390/en14082047.</t>
  </si>
  <si>
    <t>B. Sanduru, M. Dhyani, R. Thakur, S. Dixit, N. Bhardwaj, S. Talukdar, Life Cycle Analysis of Energy Storage Technologies: A Comparative Study, E3S Web of Conf. 537 (2024) 08004. https://doi.org/10.1051/e3sconf/202453708004.</t>
  </si>
  <si>
    <t>O.M. Babatunde, B.D. Akintayo, M.U. Emezirinwune, O.A. Olanrewaju, Environmental Impact Assessment of a 1 kW Proton-Exchange Membrane Fuel Cell: A Mid-Point and End-Point Analysis, Hydrogen 5 (2024) 352–373. https://doi.org/10.3390/hydrogen5020020.</t>
  </si>
  <si>
    <t>M. Mori, D. Iribarren, J. Cren, E. Cor, A. Lotrič, J. Gramc, B. Drobnič, L. Rey, F. Campos-Carriedo, G. Puig-Samper, E. Bargiacchi, J. Dufour, R. Stropnik, Life cycle sustainability assessment of a proton exchange membrane fuel cell technology for ecodesign purposes, International Journal of Hydrogen Energy 48 (2023) 39673–39689. https://doi.org/10.1016/j.ijhydene.2023.05.255.</t>
  </si>
  <si>
    <t>R. Stropnik, A. Lotrič, A. Bernad Montenegro, M. Sekavčnik, M. Mori, Critical materials in PEMFC systems and a LCA analysis for the potential reduction of environmental impacts with EoL strategies, Energy Science &amp; Engineering 7 (2019) 2519–2539. https://doi.org/10.1002/ese3.441.</t>
  </si>
  <si>
    <t>M. Pehnt, Life-cycle assessment of fuel cell stacks, International Journal of Hydrogen Energy 26 (2001) 91–101. https://doi.org/10.1016/S0360-3199(00)00053-7.</t>
  </si>
  <si>
    <t>A. Xu, Q. Yang, L. Yang, R. Fan, C. Liu, N. Xie, S. Yang, C. Deng, Life cycle assessment and carbon footprint evaluation of a PEMFC system integrated with different hydrogen production routes, Energy Conversion and Management 312 (2024) 118586. https://doi.org/10.1016/j.enconman.2024.118586.</t>
  </si>
  <si>
    <t>E. Rillo, M. Gandiglio, A. Lanzini, S. Bobba, M. Santarelli, G. Blengini, Life Cycle Assessment (LCA) of biogas-fed Solid Oxide Fuel Cell (SOFC) plant, Energy 126 (2017) 585–602. https://doi.org/10.1016/j.energy.2017.03.041.</t>
  </si>
  <si>
    <t>C. Strazza, A. Del Borghi, P. Costamagna, A. Traverso, M. Santin, Comparative LCA of methanol-fuelled SOFCs as auxiliary power systems on-board ships, Applied Energy 87 (2010) 1670–1678. https://doi.org/10.1016/j.apenergy.2009.10.012.</t>
  </si>
  <si>
    <t>K. Al-Khori, S.G. Al-Ghamdi, S. Boulfrad, M. Koç, Life Cycle Assessment for Integration of Solid Oxide Fuel Cells into Gas Processing Operations, Energies 14 (2021) 4668. https://doi.org/10.3390/en14154668.</t>
  </si>
  <si>
    <t>D. Zhang, S. Evangelisti, P. Lettieri, L.G. Papageorgiou, Optimal design of CHP-based microgrids: Multiobjective optimisation and life cycle assessment, Energy 85 (2015) 181–193. https://doi.org/10.1016/j.energy.2015.03.036.</t>
  </si>
  <si>
    <t>Y. Bicer, F. Khalid, Life cycle environmental impact comparison of solid oxide fuel cells fueled by natural gas, hydrogen, ammonia and methanol for combined heat and power generation, International Journal of Hydrogen Energy 45 (2020) 3670–3685. https://doi.org/10.1016/j.ijhydene.2018.11.122.</t>
  </si>
  <si>
    <t>M. Naeini, J.S. Cotton, T.A. Adams, Dynamic life cycle assessment of solid oxide fuel cell system considering long-term degradation effects, Energy Conversion and Management 255 (2022) 115336. https://doi.org/10.1016/j.enconman.2022.115336.</t>
  </si>
  <si>
    <t>G. Zhao, M.R. Kraglund, H.L. Frandsen, A.C. Wulff, S.H. Jensen, M. Chen, C.R. Graves, Life cycle assessment of H2O electrolysis technologies, International Journal of Hydrogen Energy 45 (2020) 23765–23781. https://doi.org/10.1016/j.ijhydene.2020.05.282.</t>
  </si>
  <si>
    <t>J. Gerhardt-Mörsdorf, F. Peterssen, P. Burfeind, M. Benecke, B. Bensmann, R. Hanke-Rauschenbach, C. Minke, Life Cycle Assessment of a 5 MW Polymer Exchange Membrane Water Electrolysis Plant, Advanced Energy and Sustainability Research 5 (2024) 2300135. https://doi.org/10.1002/aesr.202300135.</t>
  </si>
  <si>
    <t>S. Krishnan, B. Corona, G.J. Kramer, M. Junginger, V. Koning, Prospective LCA of alkaline and PEM electrolyser systems, International Journal of Hydrogen Energy 55 (2024) 26–41. https://doi.org/10.1016/j.ijhydene.2023.10.192.</t>
  </si>
  <si>
    <t>K.V. Vilbergsson, Comparative Life Cycle Assessment of Hydrogen Production via Electrolysis in Austria and Iceland., Reykjavík University, 2021. https://skemman.is/bitstream/1946/39468/1/Comparative%20Life%20Cycle%20Assessment%20of%20Hydrogen%20Production%20via%20Electrolysis%20in%20Austria%20and%20Iceland.pdf.</t>
  </si>
  <si>
    <t>J. Iso-Oja, Comparative Life Cycle Emission Study of Selected Hydrogen Production Technologies, Aalto University, 2024. https://cris.vtt.fi/ws/portalfiles/portal/103979186/eng_2024_iso-oja_jenni.pdf.</t>
  </si>
  <si>
    <t>A. Agostini, N. Belmonte, A. Masala, J. Hu, P. Rizzi, M. Fichtner, P. Moretto, C. Luetto, M. Sgroi, M. Baricco, Role of hydrogen tanks in the life cycle assessment of fuel cell-based auxiliary power units, Applied Energy 215 (2018) 1–12. https://doi.org/10.1016/j.apenergy.2018.01.095.</t>
  </si>
  <si>
    <t>L. Ye, L. Lu, Environmental and economic evaluation of the high-pressured and cryogenic vessels for hydrogen storage on the sedan, International Journal of Low-Carbon Technologies 18 (2023) 144–149. https://doi.org/10.1093/ijlct/ctac126.</t>
  </si>
  <si>
    <t>E. Weiszflog, M. Abbas, Life Cycle Assessment of Hydrogen Storage Systems for Trucks - An assessment of environmental impacts and recycling flows of carbon fiber, CHALMERS UNIVERSITY OF TECHNOLOGY, Sweden, 2022. https://odr.chalmers.se/server/api/core/bitstreams/2a16256f-2858-4f55-972f-a6889d05e252/content.</t>
  </si>
  <si>
    <t>A. Arrigoni, F. Dolci, R. Ortiz Cebolla, E. Weidner, T. D’Agostini, U. Eynard, V. Santucci, F. Mathieux, Environmental life cycle assessment (LCA) comparison of hydrogen delivery options within Europe, Publications Office of the European Union, 2024. https://data.europa.eu/doi/10.2760/5459 (accessed March 14, 2025).</t>
  </si>
  <si>
    <t>J. Havukainen, M.T. Nguyen, S. Väisänen, M. Horttanainen, Life cycle assessment of small-scale combined heat and power plant: Environmental impacts of different forest biofuels and replacing district heat produced from natural gas, Journal of Cleaner Production 172 (2018) 837–846. https://doi.org/10.1016/j.jclepro.2017.10.241.</t>
  </si>
  <si>
    <t>E. Sosnina, O. Masleeva, E. Kryukov, N. Erdili, Mini CHP Plants Life Cycle Ecological Assessment, in: 2020 IEEE PES Innovative Smart Grid Technologies Europe (ISGT-Europe), 2020: pp. 319–323. https://doi.org/10.1109/ISGT-Europe47291.2020.9248873.</t>
  </si>
  <si>
    <t>L. Stamford, B. Greening, A. Azapagic, Life cycle environmental and economic sustainability of Stirling engine micro-CHP systems, Energy Technology 6 (2018) 1119–1138. https://doi.org/10.1002/ente.201700854.</t>
  </si>
  <si>
    <t>J. Famiglietti, T. Toppi, L. Pistocchini, R. Scoccia, M. Motta, A comparative environmental life cycle assessment between a condensing boiler and a gas driven absorption heat pump, Science of The Total Environment 762 (2021) 144392. https://doi.org/10.1016/j.scitotenv.2020.144392.</t>
  </si>
  <si>
    <t>P. Balcombe, D. Rigby, A. Azapagic, Environmental impacts of microgeneration: Integrating solar PV, Stirling engine CHP and battery storage, Applied Energy 139 (2015) 245–259. https://doi.org/10.1016/j.apenergy.2014.11.034.</t>
  </si>
  <si>
    <t>R.G. Raluy, A.C. Dias, Life cycle assessment of a domestic gas-fired water heater: Influence of fuel used and its origin, Journal of Environmental Management 254 (2020) 109786. https://doi.org/10.1016/j.jenvman.2019.109786.</t>
  </si>
  <si>
    <t>B. Greening, A. Azapagic, Domestic heat pumps: Life cycle environmental impacts and potential implications for the UK, Energy 39 (2012) 205–217. https://doi.org/10.1016/j.energy.2012.01.028.</t>
  </si>
  <si>
    <t>S. Sevindik, C. Spataru, T. Domenech Aparisi, R. Bleischwitz, A Comparative Environmental Assessment of Heat Pumps and Gas Boilers towards a Circular Economy in the UK, Energies 14 (2021) 3027. https://doi.org/10.3390/en14113027.</t>
  </si>
  <si>
    <t>H. Lin, J. Clavreul, C. Jeandaux, J. Crawley, I. Butnar, Environmental life cycle assessment of heating systems in the UK: Comparative assessment of hybrid heat pumps vs. condensing gas boilers, Energy and Buildings 240 (2021) 110865. https://doi.org/10.1016/j.enbuild.2021.110865.</t>
  </si>
  <si>
    <t>A.C. Violante, F. Donato, G. Guidi, M. Proposito, Comparative life cycle assessment of the ground source heat pump vs air source heat pump, Renewable Energy 188 (2022) 1029–1037. https://doi.org/10.1016/j.renene.2022.02.075.</t>
  </si>
  <si>
    <t>A.M.M. Reza, A. Rogoža, Life cycle assessment of a condensing gas boiler and compare with an air source heat pump in a residential building, Mokslas – Lietuvos Ateitis / Science – Future of Lithuania 16 (2024). https://doi.org/10.3846/mla.2024.21298.</t>
  </si>
  <si>
    <t>M. Oehler, B.G. Bederna, R.B. Barta, U. Hesse, Life Cycle Assessment (LCA) of an Air-cooled ORC System for Waste Heat Recovery, in: 6 Th International Seminar on ORC Power Systems, Munich, Germany, 2021. https://mediatum.ub.tum.de/doc/1632933/kn0ie8cnj141g3c68c2a0en5n.pdf.</t>
  </si>
  <si>
    <t>Y. Yang, L. Ma, J. Yu, Z. Zhao, P. You, Life Cycle Assessment Introduced by Using Nanorefrigerant of Organic Rankine Cycle System for Waste Heat Recovery, JRM 11 (2022) 1153–1179. https://doi.org/10.32604/jrm.2022.022719.</t>
  </si>
  <si>
    <t>H. Pourrahmani, C. Xu, J. Van herle, The thermodynamic and life-cycle assessments of a novel charging station for electric vehicles in dynamic and steady-state conditions, Sci Rep 13 (2023) 11159. https://doi.org/10.1038/s41598-023-38387-0.</t>
  </si>
  <si>
    <t>F. Heberle, C. Schifflechner, D. Brüggemann, Life cycle assessment of Organic Rankine Cycles for geothermal power generation considering low-GWP working fluids, Geothermics 64 (2016) 392–400. https://doi.org/10.1016/j.geothermics.2016.06.010.</t>
  </si>
  <si>
    <t>H. Khutal, K.M. Kirchner-Ortiz, M. Blackhurst, N. Willems, H.S. Matthews, S. Rai, G. Yanai, K. Chivukula, M.B. Jamieson, T.J. Skone, Life Cycle Analysis Of Natural Gas Extraction And Power Generation: U.S. 2020 Emissions Profile, 2020.</t>
  </si>
  <si>
    <t>T.J. Skone, J. Littlefield, J. Marriott, G. Cooney, M. Jamieson, J. Hakian, G. Schivley, B.A. Hamilton, Life Cycle Analysis of Natural Gas Extraction and Power Generation, NETL, 2014. https://www.energy.gov/sites/prod/files/2019/09/f66/Life%20Cycle%20Analysis%20of%20Natural%20Gas%20Extraction%20and%20Power%20Generation%2005_29_14%20NETL.pdf.</t>
  </si>
  <si>
    <t>Y. Wang, T. Ni, B. He, J. Xu, Life cycle environmental impact assessment of natural gas distributed energy system, Sci Rep 14 (2024) 3292. https://doi.org/10.1038/s41598-024-53495-1.</t>
  </si>
  <si>
    <t>E.A. Bouman, A life cycle perspective on the benefits of renewable electricity generation – Methodology and assumptions, Eionet, 2020. https://nilu.com/publication/1881540/ (accessed March 14, 2025).</t>
  </si>
  <si>
    <t>G. Naumann, J. Famiglietti, E. Schropp, M. Motta, M. Gaderer, Dynamic life cycle assessment of European electricity generation based on a retrospective approach, Energy Conversion and Management 311 (2024) 118520. https://doi.org/10.1016/j.enconman.2024.118520.</t>
  </si>
  <si>
    <t>B. Kiss, E. Kácsor, Z. Szalay, Environmental assessment of future electricity mix – Linking an hourly economic model with LCA, Journal of Cleaner Production 264 (2020) 121536. https://doi.org/10.1016/j.jclepro.2020.121536.</t>
  </si>
  <si>
    <t>A. Gargiulo, M.L. Carvalho, P. Girardi, Life Cycle Assessment of Italian Electricity Scenarios to 2030, Energies 13 (2020) 3852. https://doi.org/10.3390/en13153852.</t>
  </si>
  <si>
    <t>U.I. Amran, A. Arshad, O.M. Rizza, Life Cycle Assessment of Simulated Hydrogen Production by Methane Steam Reforming, Australian Journal of Basic and Applied Sciences 11 (2017).</t>
  </si>
  <si>
    <t>V.P. Aravani, S. Wang, W. Wang, V.G. Papadakis, LCA analysis on the management of typical lignocellulosic agricultural wastes: Case studies and comparison in Greece and China, Biomass and Bioenergy 190 (2024) 107386. https://doi.org/10.1016/j.biombioe.2024.107386.</t>
  </si>
  <si>
    <t>L. Petrescu, C.R. Müller, C.-C. Cormos, Life Cycle Assessment of Natural Gas-based Chemical Looping for Hydrogen Production, Energy Procedia 63 (2014) 7408–7420. https://doi.org/10.1016/j.egypro.2014.11.777.</t>
  </si>
  <si>
    <t>N. Asaro, Comparative Life Cycle Assessment of Hydrogen production by Steam Reforming of Natural gas, Landfill gas and Biomethane, Politecnico di Torino, 2023. https://www.politesi.polimi.it/retrieve/7e7020b4-2364-445d-87bc-59eb9ba6155f/2024_07_Asaro_Tesi.pdf.</t>
  </si>
  <si>
    <t>D. Burchart, M. Gazda-Grzywacz, P. Grzywacz, P. Burmistrz, K. Zarębska, Life Cycle Assessment of Hydrogen Production from Coal Gasification as an Alternative Transport Fuel, Energies 16 (2023) 383. https://doi.org/10.3390/en16010383.</t>
  </si>
  <si>
    <t xml:space="preserve">A. Mehmeti, A. Angelis-Dimakis, G. Arampatzis, S.J. McPhail, S. Ulgiati, Life Cycle Assessment and Water Footprint of Hydrogen Production Methods: From Conventional to Emerging </t>
  </si>
  <si>
    <t>S. Rajabi Hamedani, M. Villarini, A. Colantoni, M. Moretti, E. Bocci, Life Cycle Performance of Hydrogen Production via Agro-Industrial Residue Gasification—A Small Scale Power Plant Study, Energies 11 (2018) 675. https://doi.org/10.3390/en11030675.</t>
  </si>
  <si>
    <t>N. Hajjaji, S. Martinez, E. Trably, J.-P. Steyer, A. Helias, Life cycle assessment of hydrogen production from biogas reforming, International Journal of Hydrogen Energy 41 (2016) 6064–6075. https://doi.org/10.1016/j.ijhydene.2016.03.006.</t>
  </si>
  <si>
    <t>D. Iribarren, A. Susmozas, F. Petrakopoulou, J. Dufour, Environmental and exergetic evaluation of hydrogen production via lignocellulosic biomass gasification, Journal of Cleaner Production 69 (2014) 165–175. https://doi.org/10.1016/j.jclepro.2014.01.068.</t>
  </si>
  <si>
    <t>Chr. Lamnatou, R. Nicolaï, D. Chemisana, C. Cristofari, D. Cancellieri, Biogas production by means of an anaerobic-digestion plant in France: LCA of greenhouse-gas emissions and other environmental indicators, Science of The Total Environment 670 (2019) 1226–1239. https://doi.org/10.1016/j.scitotenv.2019.03.211</t>
  </si>
  <si>
    <t>A.A.E. Sinsuw, T.-H. Chen, P. Dokmaingam, H.S. Suriandjo, C.-Y. Chu, Life cycle assessment of environmental impacts for two-stage anaerobic biogas plant between commercial and pilot scales, International Journal of Hydrogen Energy 52 (2024) 58–70. https://doi.org/10.1016/j.ijhydene.2023.06.331.</t>
  </si>
  <si>
    <t>S.D. Maglio, LIFE CYCLE ASSESSMENT OF BIOGAS SYSTEMS IN THE EUROPEAN CONTEXT, Politecnico di Milano, 2011. https://www.politesi.polimi.it/retrieve/a81cb05a-04cc-616b-e053-1605fe0a889a/2012_04_DonidaMaglio.PDF.</t>
  </si>
  <si>
    <t>A. Prasad, M. Sotenko, T. Blenkinsopp, S.R. Coles, Life cycle assessment of lignocellulosic biomass pretreatment methods in biofuel production, Int J Life Cycle Assess 21 (2016) 44–50. https://doi.org/10.1007/s11367-015-0985-5.</t>
  </si>
  <si>
    <t>T. Pacetti, L. Lombardi, G. Federici, Water–energy Nexus: a case of biogas production from energy crops evaluated by Water Footprint and Life Cycle Assessment (LCA) methods, Journal of Cleaner Production 101 (2015) 278–291. https://doi.org/10.1016/j.jclepro.2015.03.084.</t>
  </si>
  <si>
    <t>A.S. Varling, T.H. Christensen, V. Bisinella, Life cycle assessment of alternative biogas utilisations, including carbon capture and storage or utilisation, Waste Management 157 (2023) 168–179. https://doi.org/10.1016/j.wasman.2022.12.005.</t>
  </si>
  <si>
    <t>F. Pierobon, I.L. Eastin, I. Ganguly, Life cycle assessment of residual lignocellulosic biomass-based jet fuel with activated carbon and lignosulfonate as co-products, Biotechnology for Biofuels 11 (2018) 139. https://doi.org/10.1186/s13068-018-1141-9.</t>
  </si>
  <si>
    <t>Mineral Resource Depletion (MRD)</t>
  </si>
  <si>
    <t>1.0.1</t>
  </si>
  <si>
    <t>May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</si>
</sst>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00"/>
    <numFmt numFmtId="166" formatCode="0.00000"/>
    <numFmt numFmtId="167" formatCode="0.0E+00"/>
    <numFmt numFmtId="168" formatCode="0.000000"/>
    <numFmt numFmtId="169" formatCode="0.0000"/>
    <numFmt numFmtId="170" formatCode="0E+00"/>
  </numFmts>
  <fonts count="27" x14ac:knownFonts="1">
    <font>
      <sz val="11"/>
      <color theme="1"/>
      <name val="Aptos Narrow"/>
      <family val="2"/>
      <scheme val="minor"/>
    </font>
    <font>
      <sz val="8"/>
      <name val="Aptos Narrow"/>
      <family val="2"/>
      <scheme val="minor"/>
    </font>
    <font>
      <b/>
      <sz val="11"/>
      <color theme="1"/>
      <name val="Aptos Narrow"/>
      <family val="2"/>
      <scheme val="minor"/>
    </font>
    <font>
      <b/>
      <sz val="11"/>
      <color rgb="FFFA7D00"/>
      <name val="Aptos Narrow"/>
      <family val="2"/>
      <scheme val="minor"/>
    </font>
    <font>
      <sz val="11"/>
      <name val="Aptos Display"/>
      <family val="2"/>
      <scheme val="major"/>
    </font>
    <font>
      <sz val="11"/>
      <color theme="1"/>
      <name val="Aptos Display"/>
      <family val="2"/>
      <scheme val="major"/>
    </font>
    <font>
      <sz val="12"/>
      <color theme="1"/>
      <name val="Arial Narrow"/>
      <family val="2"/>
    </font>
    <font>
      <u/>
      <sz val="11"/>
      <color theme="10"/>
      <name val="Aptos Narrow"/>
      <family val="2"/>
      <scheme val="minor"/>
    </font>
    <font>
      <sz val="10"/>
      <color rgb="FF222222"/>
      <name val="Arial"/>
      <family val="2"/>
    </font>
    <font>
      <sz val="28"/>
      <color theme="0"/>
      <name val="Calibri"/>
      <family val="2"/>
    </font>
    <font>
      <b/>
      <sz val="14"/>
      <color theme="0"/>
      <name val="Calibri"/>
      <family val="2"/>
    </font>
    <font>
      <sz val="11"/>
      <color theme="1"/>
      <name val="Calibri"/>
      <family val="2"/>
    </font>
    <font>
      <b/>
      <sz val="14"/>
      <color theme="1"/>
      <name val="Calibri"/>
      <family val="2"/>
    </font>
    <font>
      <sz val="14"/>
      <color theme="1"/>
      <name val="Calibri"/>
      <family val="2"/>
    </font>
    <font>
      <vertAlign val="superscript"/>
      <sz val="14"/>
      <color theme="1"/>
      <name val="Calibri"/>
      <family val="2"/>
    </font>
    <font>
      <b/>
      <sz val="11"/>
      <color theme="0"/>
      <name val="Calibri"/>
      <family val="2"/>
    </font>
    <font>
      <u/>
      <sz val="11"/>
      <color theme="10"/>
      <name val="Calibri"/>
      <family val="2"/>
    </font>
    <font>
      <sz val="11"/>
      <name val="Calibri"/>
      <family val="2"/>
    </font>
    <font>
      <b/>
      <sz val="11"/>
      <color theme="1"/>
      <name val="Calibri"/>
      <family val="2"/>
    </font>
    <font>
      <vertAlign val="superscript"/>
      <sz val="11"/>
      <color theme="1"/>
      <name val="Calibri"/>
      <family val="2"/>
    </font>
    <font>
      <b/>
      <sz val="12"/>
      <color theme="1"/>
      <name val="Aptos Display"/>
      <family val="2"/>
      <scheme val="major"/>
    </font>
    <font>
      <sz val="12"/>
      <color theme="1"/>
      <name val="Aptos Display"/>
      <family val="2"/>
      <scheme val="major"/>
    </font>
    <font>
      <vertAlign val="superscript"/>
      <sz val="11"/>
      <color theme="1"/>
      <name val="Aptos Narrow"/>
      <family val="2"/>
      <scheme val="minor"/>
    </font>
    <font>
      <vertAlign val="subscript"/>
      <sz val="11"/>
      <color theme="1"/>
      <name val="Aptos Narrow"/>
      <family val="2"/>
      <scheme val="minor"/>
    </font>
    <font>
      <sz val="9"/>
      <color theme="1"/>
      <name val="Segoe UI"/>
      <family val="2"/>
    </font>
    <font>
      <sz val="11"/>
      <name val="Aptos Narrow"/>
      <family val="2"/>
      <scheme val="minor"/>
    </font>
    <font>
      <b/>
      <sz val="11"/>
      <color theme="1"/>
      <name val="Aptos Display"/>
      <family val="2"/>
      <scheme val="major"/>
    </font>
  </fonts>
  <fills count="6">
    <fill>
      <patternFill patternType="none"/>
    </fill>
    <fill>
      <patternFill patternType="gray125"/>
    </fill>
    <fill>
      <patternFill patternType="solid">
        <fgColor rgb="FFF2F2F2"/>
      </patternFill>
    </fill>
    <fill>
      <patternFill patternType="solid">
        <fgColor rgb="FFC1BECA"/>
        <bgColor indexed="64"/>
      </patternFill>
    </fill>
    <fill>
      <patternFill patternType="solid">
        <fgColor theme="0"/>
        <bgColor indexed="64"/>
      </patternFill>
    </fill>
    <fill>
      <patternFill patternType="solid">
        <fgColor rgb="FF0C2A46"/>
        <bgColor indexed="64"/>
      </patternFill>
    </fill>
  </fills>
  <borders count="21">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rgb="FF7F7F7F"/>
      </left>
      <right style="thin">
        <color rgb="FF7F7F7F"/>
      </right>
      <top style="thin">
        <color rgb="FF7F7F7F"/>
      </top>
      <bottom style="thin">
        <color rgb="FF7F7F7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3" fillId="2" borderId="12" applyNumberFormat="0" applyAlignment="0" applyProtection="0"/>
    <xf numFmtId="0" fontId="7" fillId="0" borderId="0" applyNumberFormat="0" applyFill="0" applyBorder="0" applyAlignment="0" applyProtection="0"/>
  </cellStyleXfs>
  <cellXfs count="144">
    <xf numFmtId="0" fontId="0" fillId="0" borderId="0" xfId="0"/>
    <xf numFmtId="0" fontId="0" fillId="0" borderId="0" xfId="0" applyAlignment="1">
      <alignment horizontal="center"/>
    </xf>
    <xf numFmtId="11" fontId="0" fillId="0" borderId="0" xfId="0" applyNumberFormat="1" applyAlignment="1">
      <alignment horizontal="center"/>
    </xf>
    <xf numFmtId="0" fontId="2" fillId="0" borderId="0" xfId="0" applyFont="1" applyAlignment="1">
      <alignment horizontal="center" vertical="center"/>
    </xf>
    <xf numFmtId="0" fontId="2" fillId="0" borderId="0" xfId="0" applyFont="1" applyAlignment="1">
      <alignment horizontal="center"/>
    </xf>
    <xf numFmtId="165" fontId="0" fillId="0" borderId="0" xfId="0" applyNumberFormat="1" applyAlignment="1">
      <alignment horizontal="center"/>
    </xf>
    <xf numFmtId="2" fontId="0" fillId="0" borderId="0" xfId="0" applyNumberFormat="1" applyAlignment="1">
      <alignment horizontal="center"/>
    </xf>
    <xf numFmtId="164" fontId="0" fillId="0" borderId="0" xfId="0" applyNumberFormat="1" applyAlignment="1">
      <alignment horizontal="center"/>
    </xf>
    <xf numFmtId="0" fontId="5" fillId="0" borderId="0" xfId="0" applyFont="1" applyAlignment="1">
      <alignment horizontal="center" vertical="center"/>
    </xf>
    <xf numFmtId="0" fontId="0" fillId="0" borderId="0" xfId="0" quotePrefix="1" applyAlignment="1">
      <alignment horizontal="center"/>
    </xf>
    <xf numFmtId="2" fontId="5" fillId="0" borderId="0" xfId="0" applyNumberFormat="1" applyFont="1" applyAlignment="1">
      <alignment horizontal="center" vertical="center"/>
    </xf>
    <xf numFmtId="0" fontId="6" fillId="0" borderId="0" xfId="0" applyFont="1" applyAlignment="1">
      <alignment vertical="center"/>
    </xf>
    <xf numFmtId="0" fontId="6" fillId="0" borderId="0" xfId="0" applyFont="1"/>
    <xf numFmtId="166" fontId="0" fillId="0" borderId="0" xfId="0" applyNumberFormat="1" applyAlignment="1">
      <alignment horizontal="center"/>
    </xf>
    <xf numFmtId="1" fontId="0" fillId="0" borderId="0" xfId="0" applyNumberFormat="1" applyAlignment="1">
      <alignment horizontal="center"/>
    </xf>
    <xf numFmtId="1" fontId="0" fillId="0" borderId="0" xfId="0" applyNumberFormat="1" applyAlignment="1">
      <alignment horizontal="center" vertical="center"/>
    </xf>
    <xf numFmtId="1" fontId="0" fillId="0" borderId="0" xfId="0" applyNumberFormat="1"/>
    <xf numFmtId="167" fontId="0" fillId="0" borderId="0" xfId="0" applyNumberFormat="1" applyAlignment="1">
      <alignment horizontal="center"/>
    </xf>
    <xf numFmtId="11" fontId="0" fillId="0" borderId="0" xfId="0" applyNumberFormat="1"/>
    <xf numFmtId="0" fontId="0" fillId="3" borderId="0" xfId="0" applyFill="1" applyAlignment="1">
      <alignment horizontal="center"/>
    </xf>
    <xf numFmtId="0" fontId="2" fillId="0" borderId="16" xfId="0" applyFont="1" applyBorder="1" applyAlignment="1">
      <alignment horizontal="center" vertical="center"/>
    </xf>
    <xf numFmtId="0" fontId="8" fillId="0" borderId="0" xfId="0" applyFont="1"/>
    <xf numFmtId="0" fontId="0" fillId="4" borderId="0" xfId="0" applyFill="1"/>
    <xf numFmtId="0" fontId="9" fillId="4" borderId="0" xfId="0" applyFont="1" applyFill="1"/>
    <xf numFmtId="0" fontId="11" fillId="4" borderId="0" xfId="0" applyFont="1" applyFill="1"/>
    <xf numFmtId="0" fontId="11" fillId="4" borderId="1" xfId="0" applyFont="1" applyFill="1" applyBorder="1"/>
    <xf numFmtId="0" fontId="11" fillId="4" borderId="2" xfId="0" applyFont="1" applyFill="1" applyBorder="1"/>
    <xf numFmtId="0" fontId="12" fillId="4" borderId="1" xfId="0" applyFont="1" applyFill="1" applyBorder="1"/>
    <xf numFmtId="0" fontId="13" fillId="4" borderId="1" xfId="0" applyFont="1" applyFill="1" applyBorder="1"/>
    <xf numFmtId="0" fontId="13" fillId="4" borderId="0" xfId="0" applyFont="1" applyFill="1"/>
    <xf numFmtId="0" fontId="13" fillId="4" borderId="2" xfId="0" applyFont="1" applyFill="1" applyBorder="1"/>
    <xf numFmtId="0" fontId="12" fillId="4" borderId="1" xfId="0" applyFont="1" applyFill="1" applyBorder="1" applyAlignment="1">
      <alignment horizontal="justify" vertical="center"/>
    </xf>
    <xf numFmtId="0" fontId="14" fillId="4" borderId="1" xfId="0" applyFont="1" applyFill="1" applyBorder="1" applyAlignment="1">
      <alignment horizontal="justify" vertical="center"/>
    </xf>
    <xf numFmtId="0" fontId="12" fillId="4" borderId="0" xfId="0" applyFont="1" applyFill="1"/>
    <xf numFmtId="49" fontId="13" fillId="4" borderId="0" xfId="0" applyNumberFormat="1" applyFont="1" applyFill="1"/>
    <xf numFmtId="0" fontId="12" fillId="4" borderId="3" xfId="0" applyFont="1" applyFill="1" applyBorder="1"/>
    <xf numFmtId="49" fontId="13" fillId="4" borderId="4" xfId="0" applyNumberFormat="1" applyFont="1" applyFill="1" applyBorder="1"/>
    <xf numFmtId="0" fontId="13" fillId="4" borderId="4" xfId="0" applyFont="1" applyFill="1" applyBorder="1"/>
    <xf numFmtId="0" fontId="13" fillId="4" borderId="5" xfId="0" applyFont="1" applyFill="1" applyBorder="1"/>
    <xf numFmtId="0" fontId="10" fillId="4" borderId="0" xfId="0" applyFont="1" applyFill="1"/>
    <xf numFmtId="0" fontId="15" fillId="4" borderId="0" xfId="0" applyFont="1" applyFill="1"/>
    <xf numFmtId="0" fontId="10" fillId="4" borderId="0" xfId="0" applyFont="1" applyFill="1" applyAlignment="1">
      <alignment horizontal="center"/>
    </xf>
    <xf numFmtId="0" fontId="17" fillId="4" borderId="0" xfId="0" applyFont="1" applyFill="1"/>
    <xf numFmtId="0" fontId="16" fillId="4" borderId="0" xfId="2" applyFont="1" applyFill="1" applyBorder="1"/>
    <xf numFmtId="0" fontId="16" fillId="4" borderId="0" xfId="2" applyFont="1" applyFill="1"/>
    <xf numFmtId="0" fontId="10" fillId="5" borderId="13" xfId="0" applyFont="1" applyFill="1" applyBorder="1" applyAlignment="1">
      <alignment horizontal="center" vertical="center" wrapText="1"/>
    </xf>
    <xf numFmtId="0" fontId="10" fillId="5" borderId="14" xfId="0" applyFont="1" applyFill="1" applyBorder="1" applyAlignment="1">
      <alignment horizontal="center" vertical="center" wrapText="1"/>
    </xf>
    <xf numFmtId="0" fontId="10" fillId="5" borderId="15"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7" xfId="0" applyFont="1" applyFill="1" applyBorder="1" applyAlignment="1">
      <alignment horizontal="center" vertical="center"/>
    </xf>
    <xf numFmtId="0" fontId="18" fillId="4" borderId="17"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11" fillId="4" borderId="19" xfId="0" applyFont="1" applyFill="1" applyBorder="1" applyAlignment="1">
      <alignment horizontal="center" vertical="center"/>
    </xf>
    <xf numFmtId="0" fontId="7" fillId="4" borderId="6" xfId="2" applyFill="1" applyBorder="1"/>
    <xf numFmtId="0" fontId="11" fillId="4" borderId="8" xfId="0" applyFont="1" applyFill="1" applyBorder="1"/>
    <xf numFmtId="0" fontId="20" fillId="0" borderId="0" xfId="0" applyFont="1" applyAlignment="1">
      <alignment horizontal="center"/>
    </xf>
    <xf numFmtId="0" fontId="21" fillId="0" borderId="0" xfId="0" applyFont="1"/>
    <xf numFmtId="0" fontId="21" fillId="0" borderId="0" xfId="0" applyFont="1" applyAlignment="1">
      <alignment horizontal="center"/>
    </xf>
    <xf numFmtId="0" fontId="0" fillId="0" borderId="0" xfId="0" applyAlignment="1">
      <alignment horizontal="center" vertical="center"/>
    </xf>
    <xf numFmtId="1" fontId="2" fillId="0" borderId="0" xfId="0" applyNumberFormat="1" applyFont="1" applyAlignment="1">
      <alignment horizontal="center" vertical="center"/>
    </xf>
    <xf numFmtId="0" fontId="2" fillId="4" borderId="0" xfId="0" applyFont="1" applyFill="1" applyAlignment="1">
      <alignment horizontal="center"/>
    </xf>
    <xf numFmtId="0" fontId="0" fillId="0" borderId="0" xfId="0" applyAlignment="1">
      <alignment horizontal="left"/>
    </xf>
    <xf numFmtId="1" fontId="4" fillId="0" borderId="0" xfId="1" applyNumberFormat="1" applyFont="1" applyFill="1" applyBorder="1" applyAlignment="1">
      <alignment horizontal="center" vertical="center"/>
    </xf>
    <xf numFmtId="164" fontId="4" fillId="0" borderId="0" xfId="1" applyNumberFormat="1" applyFont="1" applyFill="1" applyBorder="1" applyAlignment="1">
      <alignment horizontal="center" vertical="center"/>
    </xf>
    <xf numFmtId="168" fontId="0" fillId="0" borderId="0" xfId="0" applyNumberFormat="1" applyAlignment="1">
      <alignment horizontal="center"/>
    </xf>
    <xf numFmtId="164" fontId="5" fillId="0" borderId="0" xfId="0" applyNumberFormat="1" applyFont="1" applyAlignment="1">
      <alignment horizontal="center" vertical="center"/>
    </xf>
    <xf numFmtId="167" fontId="4" fillId="0" borderId="0" xfId="1" applyNumberFormat="1" applyFont="1" applyFill="1" applyBorder="1" applyAlignment="1">
      <alignment horizontal="center" vertical="center"/>
    </xf>
    <xf numFmtId="169" fontId="0" fillId="0" borderId="0" xfId="0" applyNumberFormat="1" applyAlignment="1">
      <alignment horizontal="center"/>
    </xf>
    <xf numFmtId="164" fontId="0" fillId="0" borderId="0" xfId="0" applyNumberFormat="1" applyAlignment="1">
      <alignment horizontal="center" vertical="center"/>
    </xf>
    <xf numFmtId="0" fontId="2" fillId="4" borderId="0" xfId="0" applyFont="1" applyFill="1" applyAlignment="1">
      <alignment horizontal="center" vertical="center"/>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25" fillId="4" borderId="10" xfId="0" applyFont="1" applyFill="1" applyBorder="1" applyAlignment="1">
      <alignment horizontal="center"/>
    </xf>
    <xf numFmtId="0" fontId="0" fillId="4" borderId="11" xfId="0" applyFill="1" applyBorder="1" applyAlignment="1">
      <alignment horizontal="center"/>
    </xf>
    <xf numFmtId="0" fontId="24" fillId="0" borderId="0" xfId="0" applyFont="1" applyAlignment="1">
      <alignment horizontal="center" vertical="center"/>
    </xf>
    <xf numFmtId="0" fontId="24" fillId="0" borderId="0" xfId="0" applyFont="1" applyAlignment="1">
      <alignment horizontal="center"/>
    </xf>
    <xf numFmtId="170" fontId="0" fillId="0" borderId="0" xfId="0" applyNumberFormat="1" applyAlignment="1">
      <alignment horizontal="center"/>
    </xf>
    <xf numFmtId="0" fontId="0" fillId="4" borderId="8" xfId="0" applyFill="1" applyBorder="1" applyAlignment="1">
      <alignment horizontal="center"/>
    </xf>
    <xf numFmtId="0" fontId="0" fillId="4" borderId="0" xfId="0" applyFill="1" applyAlignment="1">
      <alignment horizontal="center"/>
    </xf>
    <xf numFmtId="0" fontId="0" fillId="4" borderId="4" xfId="0" applyFill="1" applyBorder="1" applyAlignment="1">
      <alignment horizontal="center"/>
    </xf>
    <xf numFmtId="0" fontId="0" fillId="4" borderId="7" xfId="0" applyFill="1" applyBorder="1" applyAlignment="1">
      <alignment horizontal="center"/>
    </xf>
    <xf numFmtId="0" fontId="0" fillId="4" borderId="2" xfId="0" applyFill="1" applyBorder="1" applyAlignment="1">
      <alignment horizontal="center"/>
    </xf>
    <xf numFmtId="0" fontId="0" fillId="4" borderId="5" xfId="0" applyFill="1" applyBorder="1" applyAlignment="1">
      <alignment horizontal="center"/>
    </xf>
    <xf numFmtId="0" fontId="0" fillId="0" borderId="11" xfId="0" applyBorder="1" applyAlignment="1">
      <alignment horizontal="center" vertical="center"/>
    </xf>
    <xf numFmtId="0" fontId="2" fillId="4" borderId="20" xfId="0" applyFont="1" applyFill="1" applyBorder="1" applyAlignment="1">
      <alignment horizontal="center" vertical="center"/>
    </xf>
    <xf numFmtId="0" fontId="0" fillId="4" borderId="14" xfId="0" applyFill="1" applyBorder="1" applyAlignment="1">
      <alignment horizontal="center"/>
    </xf>
    <xf numFmtId="1" fontId="0" fillId="4" borderId="9" xfId="0" applyNumberFormat="1" applyFill="1" applyBorder="1" applyAlignment="1">
      <alignment horizontal="center" vertical="center"/>
    </xf>
    <xf numFmtId="1" fontId="0" fillId="4" borderId="10" xfId="0" applyNumberFormat="1" applyFill="1" applyBorder="1" applyAlignment="1">
      <alignment horizontal="center" vertical="center"/>
    </xf>
    <xf numFmtId="0" fontId="0" fillId="4" borderId="10" xfId="0" applyFill="1" applyBorder="1" applyAlignment="1">
      <alignment horizontal="center"/>
    </xf>
    <xf numFmtId="0" fontId="0" fillId="4" borderId="9" xfId="0" applyFill="1" applyBorder="1" applyAlignment="1">
      <alignment horizontal="center"/>
    </xf>
    <xf numFmtId="0" fontId="0" fillId="4" borderId="20" xfId="0" applyFill="1" applyBorder="1" applyAlignment="1">
      <alignment horizontal="center"/>
    </xf>
    <xf numFmtId="0" fontId="0" fillId="0" borderId="20" xfId="0" applyBorder="1" applyAlignment="1">
      <alignment horizontal="center" vertical="center"/>
    </xf>
    <xf numFmtId="0" fontId="5" fillId="0" borderId="0" xfId="0" applyFont="1" applyAlignment="1">
      <alignment vertical="center"/>
    </xf>
    <xf numFmtId="0" fontId="5" fillId="0" borderId="0" xfId="0" applyFont="1"/>
    <xf numFmtId="0" fontId="26" fillId="0" borderId="0" xfId="0" applyFont="1" applyAlignment="1">
      <alignment horizontal="center"/>
    </xf>
    <xf numFmtId="0" fontId="10" fillId="5" borderId="13" xfId="0" applyFont="1" applyFill="1" applyBorder="1" applyAlignment="1">
      <alignment horizontal="center"/>
    </xf>
    <xf numFmtId="0" fontId="10" fillId="5" borderId="14" xfId="0" applyFont="1" applyFill="1" applyBorder="1" applyAlignment="1">
      <alignment horizontal="center"/>
    </xf>
    <xf numFmtId="0" fontId="10" fillId="5" borderId="15" xfId="0" applyFont="1" applyFill="1" applyBorder="1" applyAlignment="1">
      <alignment horizontal="center"/>
    </xf>
    <xf numFmtId="0" fontId="17" fillId="4" borderId="1" xfId="0" applyFont="1" applyFill="1" applyBorder="1" applyAlignment="1">
      <alignment horizontal="left"/>
    </xf>
    <xf numFmtId="0" fontId="17" fillId="4" borderId="2" xfId="0" applyFont="1" applyFill="1" applyBorder="1" applyAlignment="1">
      <alignment horizontal="left"/>
    </xf>
    <xf numFmtId="0" fontId="11" fillId="4" borderId="6" xfId="0" applyFont="1" applyFill="1" applyBorder="1" applyAlignment="1">
      <alignment horizontal="left"/>
    </xf>
    <xf numFmtId="0" fontId="11" fillId="4" borderId="7" xfId="0" applyFont="1" applyFill="1" applyBorder="1" applyAlignment="1">
      <alignment horizontal="left"/>
    </xf>
    <xf numFmtId="0" fontId="11" fillId="4" borderId="1" xfId="0" applyFont="1" applyFill="1" applyBorder="1" applyAlignment="1">
      <alignment horizontal="left"/>
    </xf>
    <xf numFmtId="0" fontId="11" fillId="4" borderId="0" xfId="0" applyFont="1" applyFill="1" applyAlignment="1">
      <alignment horizontal="left"/>
    </xf>
    <xf numFmtId="0" fontId="10" fillId="5" borderId="6" xfId="0" applyFont="1" applyFill="1" applyBorder="1" applyAlignment="1">
      <alignment horizontal="center"/>
    </xf>
    <xf numFmtId="0" fontId="10" fillId="5" borderId="7" xfId="0" applyFont="1" applyFill="1" applyBorder="1" applyAlignment="1">
      <alignment horizontal="center"/>
    </xf>
    <xf numFmtId="0" fontId="7" fillId="4" borderId="1" xfId="2" applyFill="1" applyBorder="1" applyAlignment="1">
      <alignment horizontal="left"/>
    </xf>
    <xf numFmtId="0" fontId="7" fillId="4" borderId="0" xfId="2" applyFill="1" applyBorder="1" applyAlignment="1">
      <alignment horizontal="left"/>
    </xf>
    <xf numFmtId="0" fontId="9" fillId="5" borderId="13" xfId="0" applyFont="1" applyFill="1" applyBorder="1" applyAlignment="1">
      <alignment horizontal="center"/>
    </xf>
    <xf numFmtId="0" fontId="9" fillId="5" borderId="14" xfId="0" applyFont="1" applyFill="1" applyBorder="1" applyAlignment="1">
      <alignment horizontal="center"/>
    </xf>
    <xf numFmtId="0" fontId="9" fillId="5" borderId="15" xfId="0" applyFont="1" applyFill="1" applyBorder="1" applyAlignment="1">
      <alignment horizontal="center"/>
    </xf>
    <xf numFmtId="0" fontId="13" fillId="4" borderId="0" xfId="0" applyFont="1" applyFill="1" applyAlignment="1">
      <alignment horizontal="left"/>
    </xf>
    <xf numFmtId="0" fontId="13" fillId="4" borderId="2" xfId="0" applyFont="1" applyFill="1" applyBorder="1" applyAlignment="1">
      <alignment horizontal="left"/>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3" xfId="0" applyFont="1" applyFill="1" applyBorder="1" applyAlignment="1">
      <alignment horizontal="center" vertical="center"/>
    </xf>
    <xf numFmtId="0" fontId="0" fillId="4" borderId="7" xfId="0" applyFill="1" applyBorder="1" applyAlignment="1">
      <alignment horizontal="center" vertical="center"/>
    </xf>
    <xf numFmtId="0" fontId="0" fillId="4" borderId="2" xfId="0" applyFill="1" applyBorder="1" applyAlignment="1">
      <alignment horizontal="center" vertical="center"/>
    </xf>
    <xf numFmtId="0" fontId="0" fillId="4" borderId="5" xfId="0" applyFill="1" applyBorder="1" applyAlignment="1">
      <alignment horizontal="center" vertical="center"/>
    </xf>
    <xf numFmtId="0" fontId="17" fillId="4" borderId="3" xfId="0" applyFont="1" applyFill="1" applyBorder="1" applyAlignment="1">
      <alignment horizontal="left"/>
    </xf>
    <xf numFmtId="0" fontId="17" fillId="4" borderId="5" xfId="0" applyFont="1" applyFill="1" applyBorder="1" applyAlignment="1">
      <alignment horizontal="left"/>
    </xf>
    <xf numFmtId="0" fontId="11" fillId="4" borderId="7"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18" fillId="4" borderId="6" xfId="0" applyFont="1" applyFill="1" applyBorder="1" applyAlignment="1">
      <alignment horizontal="center" vertical="center" wrapText="1"/>
    </xf>
    <xf numFmtId="0" fontId="18" fillId="4" borderId="1"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1" fillId="4" borderId="9" xfId="0" applyFont="1" applyFill="1" applyBorder="1" applyAlignment="1">
      <alignment horizontal="center" vertical="center"/>
    </xf>
    <xf numFmtId="0" fontId="11" fillId="4" borderId="10" xfId="0" applyFont="1" applyFill="1" applyBorder="1" applyAlignment="1">
      <alignment horizontal="center" vertical="center"/>
    </xf>
    <xf numFmtId="0" fontId="11" fillId="4" borderId="11" xfId="0" applyFont="1" applyFill="1" applyBorder="1" applyAlignment="1">
      <alignment horizontal="center" vertical="center"/>
    </xf>
    <xf numFmtId="0" fontId="7" fillId="4" borderId="3" xfId="2" applyFill="1" applyBorder="1" applyAlignment="1">
      <alignment horizontal="left"/>
    </xf>
    <xf numFmtId="0" fontId="7" fillId="4" borderId="4" xfId="2" applyFill="1" applyBorder="1" applyAlignment="1">
      <alignment horizontal="left"/>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4" borderId="9" xfId="0" applyFill="1" applyBorder="1" applyAlignment="1">
      <alignment horizontal="center" vertical="center"/>
    </xf>
    <xf numFmtId="0" fontId="0" fillId="4" borderId="10" xfId="0" applyFill="1" applyBorder="1" applyAlignment="1">
      <alignment horizontal="center" vertical="center"/>
    </xf>
    <xf numFmtId="0" fontId="0" fillId="4" borderId="11" xfId="0" applyFill="1" applyBorder="1" applyAlignment="1">
      <alignment horizontal="center" vertical="center"/>
    </xf>
    <xf numFmtId="0" fontId="0" fillId="0" borderId="0" xfId="0" applyFill="1"/>
  </cellXfs>
  <cellStyles count="3">
    <cellStyle name="Calculation" xfId="1" builtinId="22"/>
    <cellStyle name="Hyperlink" xfId="2" builtinId="8"/>
    <cellStyle name="Normal" xfId="0" builtinId="0"/>
  </cellStyles>
  <dxfs count="0"/>
  <tableStyles count="0" defaultTableStyle="TableStyleMedium2" defaultPivotStyle="PivotStyleLight16"/>
  <colors>
    <mruColors>
      <color rgb="FF156082"/>
      <color rgb="FFC1BECA"/>
      <color rgb="FFFFF093"/>
      <color rgb="FFFECC90"/>
      <color rgb="FFE1DBF1"/>
      <color rgb="FFB6D2CD"/>
      <color rgb="FF80ECB3"/>
      <color rgb="FFAFFFFF"/>
      <color rgb="FFA2D5F4"/>
      <color rgb="FFFDB5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2441217</xdr:colOff>
      <xdr:row>0</xdr:row>
      <xdr:rowOff>70162</xdr:rowOff>
    </xdr:from>
    <xdr:to>
      <xdr:col>2</xdr:col>
      <xdr:colOff>1184450</xdr:colOff>
      <xdr:row>12</xdr:row>
      <xdr:rowOff>60637</xdr:rowOff>
    </xdr:to>
    <xdr:pic>
      <xdr:nvPicPr>
        <xdr:cNvPr id="2" name="Picture 1">
          <a:extLst>
            <a:ext uri="{FF2B5EF4-FFF2-40B4-BE49-F238E27FC236}">
              <a16:creationId xmlns:a16="http://schemas.microsoft.com/office/drawing/2014/main" id="{29609971-1B9F-4779-AAFD-DEACEBE9E1F1}"/>
            </a:ext>
          </a:extLst>
        </xdr:cNvPr>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9560" b="16541"/>
        <a:stretch/>
      </xdr:blipFill>
      <xdr:spPr bwMode="auto">
        <a:xfrm>
          <a:off x="2441217" y="70162"/>
          <a:ext cx="5029733" cy="2276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AEEBF1-5300-40F3-AAA5-0FC014D2C58D}">
  <sheetPr>
    <tabColor rgb="FF156082"/>
  </sheetPr>
  <dimension ref="A6:S129"/>
  <sheetViews>
    <sheetView topLeftCell="A119" zoomScale="55" zoomScaleNormal="55" workbookViewId="0">
      <selection activeCell="G18" sqref="G18"/>
    </sheetView>
  </sheetViews>
  <sheetFormatPr defaultColWidth="9.140625" defaultRowHeight="15" x14ac:dyDescent="0.25"/>
  <cols>
    <col min="1" max="1" width="48.28515625" style="22" bestFit="1" customWidth="1"/>
    <col min="2" max="2" width="46" style="22" bestFit="1" customWidth="1"/>
    <col min="3" max="3" width="26.5703125" style="22" customWidth="1"/>
    <col min="4" max="4" width="93.5703125" style="22" customWidth="1"/>
    <col min="5" max="5" width="9.140625" style="22"/>
    <col min="6" max="6" width="13" style="22" customWidth="1"/>
    <col min="7" max="7" width="42.42578125" style="22" customWidth="1"/>
    <col min="8" max="8" width="25.85546875" style="22" bestFit="1" customWidth="1"/>
    <col min="9" max="9" width="23.85546875" style="22" bestFit="1" customWidth="1"/>
    <col min="10" max="10" width="63.85546875" style="22" bestFit="1" customWidth="1"/>
    <col min="11" max="16384" width="9.140625" style="22"/>
  </cols>
  <sheetData>
    <row r="6" spans="1:19" x14ac:dyDescent="0.25">
      <c r="D6"/>
    </row>
    <row r="13" spans="1:19" ht="15.75" thickBot="1" x14ac:dyDescent="0.3"/>
    <row r="14" spans="1:19" ht="36.75" thickBot="1" x14ac:dyDescent="0.6">
      <c r="A14" s="110" t="s">
        <v>283</v>
      </c>
      <c r="B14" s="111"/>
      <c r="C14" s="111"/>
      <c r="D14" s="112"/>
      <c r="E14" s="23"/>
      <c r="F14" s="23"/>
      <c r="G14" s="23"/>
      <c r="H14" s="23"/>
      <c r="I14" s="23"/>
      <c r="J14" s="23"/>
      <c r="K14" s="23"/>
      <c r="L14" s="23"/>
      <c r="M14" s="23"/>
      <c r="N14" s="23"/>
      <c r="O14" s="23"/>
      <c r="P14" s="23"/>
      <c r="Q14" s="23"/>
      <c r="R14" s="23"/>
      <c r="S14" s="23"/>
    </row>
    <row r="15" spans="1:19" ht="15.75" thickBot="1" x14ac:dyDescent="0.3"/>
    <row r="16" spans="1:19" s="24" customFormat="1" ht="19.5" thickBot="1" x14ac:dyDescent="0.35">
      <c r="A16" s="97" t="s">
        <v>262</v>
      </c>
      <c r="B16" s="98"/>
      <c r="C16" s="98"/>
      <c r="D16" s="99"/>
    </row>
    <row r="17" spans="1:17" s="24" customFormat="1" x14ac:dyDescent="0.25">
      <c r="A17" s="25"/>
      <c r="D17" s="26"/>
    </row>
    <row r="18" spans="1:17" s="24" customFormat="1" ht="21" x14ac:dyDescent="0.3">
      <c r="A18" s="27" t="s">
        <v>263</v>
      </c>
      <c r="B18" s="113" t="s">
        <v>295</v>
      </c>
      <c r="C18" s="113"/>
      <c r="D18" s="114"/>
    </row>
    <row r="19" spans="1:17" s="24" customFormat="1" ht="18.75" x14ac:dyDescent="0.3">
      <c r="A19" s="28"/>
      <c r="B19" s="29"/>
      <c r="C19" s="29"/>
      <c r="D19" s="30"/>
    </row>
    <row r="20" spans="1:17" s="24" customFormat="1" ht="13.5" customHeight="1" x14ac:dyDescent="0.3">
      <c r="A20" s="28"/>
      <c r="B20" s="29"/>
      <c r="C20" s="29"/>
      <c r="D20" s="30"/>
    </row>
    <row r="21" spans="1:17" s="24" customFormat="1" ht="21" x14ac:dyDescent="0.3">
      <c r="A21" s="31" t="s">
        <v>264</v>
      </c>
      <c r="B21" s="113" t="s">
        <v>296</v>
      </c>
      <c r="C21" s="113"/>
      <c r="D21" s="114"/>
    </row>
    <row r="22" spans="1:17" s="24" customFormat="1" ht="21" x14ac:dyDescent="0.3">
      <c r="A22" s="32"/>
      <c r="B22" s="113" t="s">
        <v>297</v>
      </c>
      <c r="C22" s="113"/>
      <c r="D22" s="114"/>
    </row>
    <row r="23" spans="1:17" s="24" customFormat="1" ht="18.75" x14ac:dyDescent="0.3">
      <c r="A23" s="28"/>
      <c r="B23" s="29"/>
      <c r="C23" s="29"/>
      <c r="D23" s="30"/>
    </row>
    <row r="24" spans="1:17" s="24" customFormat="1" ht="18.75" x14ac:dyDescent="0.3">
      <c r="A24" s="33" t="s">
        <v>265</v>
      </c>
      <c r="B24" s="34" t="s">
        <v>619</v>
      </c>
      <c r="C24" s="29"/>
      <c r="D24" s="30"/>
    </row>
    <row r="25" spans="1:17" s="24" customFormat="1" ht="19.5" thickBot="1" x14ac:dyDescent="0.35">
      <c r="A25" s="35" t="s">
        <v>266</v>
      </c>
      <c r="B25" s="36" t="s">
        <v>618</v>
      </c>
      <c r="C25" s="37"/>
      <c r="D25" s="38"/>
    </row>
    <row r="26" spans="1:17" s="24" customFormat="1" x14ac:dyDescent="0.25"/>
    <row r="27" spans="1:17" s="24" customFormat="1" ht="15.75" thickBot="1" x14ac:dyDescent="0.3"/>
    <row r="28" spans="1:17" s="24" customFormat="1" ht="19.5" thickBot="1" x14ac:dyDescent="0.35">
      <c r="A28" s="97" t="s">
        <v>267</v>
      </c>
      <c r="B28" s="98"/>
      <c r="C28" s="98"/>
      <c r="D28" s="99"/>
      <c r="E28" s="39"/>
      <c r="F28" s="39"/>
      <c r="G28" s="39"/>
      <c r="H28" s="40"/>
      <c r="I28" s="40"/>
      <c r="J28" s="40"/>
    </row>
    <row r="29" spans="1:17" s="24" customFormat="1" x14ac:dyDescent="0.25">
      <c r="A29" s="104" t="s">
        <v>268</v>
      </c>
      <c r="B29" s="105"/>
      <c r="C29" s="105"/>
      <c r="D29" s="26"/>
    </row>
    <row r="30" spans="1:17" s="24" customFormat="1" ht="15.75" thickBot="1" x14ac:dyDescent="0.3">
      <c r="A30" s="25"/>
      <c r="D30" s="26"/>
    </row>
    <row r="31" spans="1:17" s="24" customFormat="1" ht="19.5" thickBot="1" x14ac:dyDescent="0.35">
      <c r="A31" s="106" t="s">
        <v>269</v>
      </c>
      <c r="B31" s="107"/>
      <c r="C31" s="106" t="s">
        <v>270</v>
      </c>
      <c r="D31" s="107"/>
      <c r="E31" s="41"/>
      <c r="F31" s="41"/>
      <c r="H31" s="40"/>
      <c r="K31" s="40"/>
      <c r="L31" s="40"/>
      <c r="M31" s="40"/>
      <c r="N31" s="40"/>
      <c r="O31" s="40"/>
      <c r="P31" s="40"/>
      <c r="Q31" s="40"/>
    </row>
    <row r="32" spans="1:17" s="24" customFormat="1" x14ac:dyDescent="0.25">
      <c r="A32" s="54" t="s">
        <v>271</v>
      </c>
      <c r="B32" s="55"/>
      <c r="C32" s="102" t="s">
        <v>272</v>
      </c>
      <c r="D32" s="103"/>
    </row>
    <row r="33" spans="1:6" s="24" customFormat="1" x14ac:dyDescent="0.25">
      <c r="A33" s="108" t="s">
        <v>284</v>
      </c>
      <c r="B33" s="109"/>
      <c r="C33" s="100" t="s">
        <v>301</v>
      </c>
      <c r="D33" s="101"/>
    </row>
    <row r="34" spans="1:6" s="24" customFormat="1" x14ac:dyDescent="0.25">
      <c r="A34" s="108" t="s">
        <v>285</v>
      </c>
      <c r="B34" s="109"/>
      <c r="C34" s="100" t="s">
        <v>302</v>
      </c>
      <c r="D34" s="101"/>
    </row>
    <row r="35" spans="1:6" s="24" customFormat="1" x14ac:dyDescent="0.25">
      <c r="A35" s="108" t="s">
        <v>286</v>
      </c>
      <c r="B35" s="109"/>
      <c r="C35" s="100" t="s">
        <v>303</v>
      </c>
      <c r="D35" s="101"/>
    </row>
    <row r="36" spans="1:6" s="24" customFormat="1" x14ac:dyDescent="0.25">
      <c r="A36" s="108" t="s">
        <v>287</v>
      </c>
      <c r="B36" s="109"/>
      <c r="C36" s="100" t="s">
        <v>304</v>
      </c>
      <c r="D36" s="101"/>
    </row>
    <row r="37" spans="1:6" s="24" customFormat="1" x14ac:dyDescent="0.25">
      <c r="A37" s="108" t="s">
        <v>288</v>
      </c>
      <c r="B37" s="109"/>
      <c r="C37" s="100" t="s">
        <v>305</v>
      </c>
      <c r="D37" s="101"/>
    </row>
    <row r="38" spans="1:6" s="24" customFormat="1" x14ac:dyDescent="0.25">
      <c r="A38" s="108" t="s">
        <v>289</v>
      </c>
      <c r="B38" s="109"/>
      <c r="C38" s="100" t="s">
        <v>306</v>
      </c>
      <c r="D38" s="101"/>
    </row>
    <row r="39" spans="1:6" s="24" customFormat="1" x14ac:dyDescent="0.25">
      <c r="A39" s="108" t="s">
        <v>290</v>
      </c>
      <c r="B39" s="109"/>
      <c r="C39" s="100" t="s">
        <v>307</v>
      </c>
      <c r="D39" s="101"/>
    </row>
    <row r="40" spans="1:6" s="24" customFormat="1" x14ac:dyDescent="0.25">
      <c r="A40" s="108" t="s">
        <v>291</v>
      </c>
      <c r="B40" s="109"/>
      <c r="C40" s="100" t="s">
        <v>308</v>
      </c>
      <c r="D40" s="101"/>
    </row>
    <row r="41" spans="1:6" s="24" customFormat="1" x14ac:dyDescent="0.25">
      <c r="A41" s="108" t="s">
        <v>292</v>
      </c>
      <c r="B41" s="109"/>
      <c r="C41" s="100" t="s">
        <v>309</v>
      </c>
      <c r="D41" s="101"/>
    </row>
    <row r="42" spans="1:6" s="24" customFormat="1" x14ac:dyDescent="0.25">
      <c r="A42" s="108" t="s">
        <v>293</v>
      </c>
      <c r="B42" s="109"/>
      <c r="C42" s="100" t="s">
        <v>310</v>
      </c>
      <c r="D42" s="101"/>
    </row>
    <row r="43" spans="1:6" s="24" customFormat="1" x14ac:dyDescent="0.25">
      <c r="A43" s="108" t="s">
        <v>294</v>
      </c>
      <c r="B43" s="109"/>
      <c r="C43" s="100" t="s">
        <v>311</v>
      </c>
      <c r="D43" s="101"/>
    </row>
    <row r="44" spans="1:6" s="24" customFormat="1" x14ac:dyDescent="0.25">
      <c r="A44" s="108" t="s">
        <v>298</v>
      </c>
      <c r="B44" s="109"/>
      <c r="C44" s="100" t="s">
        <v>312</v>
      </c>
      <c r="D44" s="101"/>
    </row>
    <row r="45" spans="1:6" s="24" customFormat="1" x14ac:dyDescent="0.25">
      <c r="A45" s="108" t="s">
        <v>299</v>
      </c>
      <c r="B45" s="109"/>
      <c r="C45" s="100" t="s">
        <v>313</v>
      </c>
      <c r="D45" s="101"/>
    </row>
    <row r="46" spans="1:6" s="24" customFormat="1" ht="15.75" thickBot="1" x14ac:dyDescent="0.3">
      <c r="A46" s="135" t="s">
        <v>300</v>
      </c>
      <c r="B46" s="136"/>
      <c r="C46" s="124" t="s">
        <v>314</v>
      </c>
      <c r="D46" s="125"/>
    </row>
    <row r="47" spans="1:6" s="24" customFormat="1" x14ac:dyDescent="0.25">
      <c r="A47" s="43"/>
      <c r="B47" s="43"/>
      <c r="D47" s="42"/>
    </row>
    <row r="48" spans="1:6" s="24" customFormat="1" ht="15.75" thickBot="1" x14ac:dyDescent="0.3">
      <c r="A48" s="44"/>
      <c r="B48" s="44"/>
      <c r="F48" s="42"/>
    </row>
    <row r="49" spans="1:4" s="24" customFormat="1" ht="19.5" thickBot="1" x14ac:dyDescent="0.3">
      <c r="A49" s="45" t="s">
        <v>273</v>
      </c>
      <c r="B49" s="46" t="s">
        <v>274</v>
      </c>
      <c r="C49" s="46" t="s">
        <v>275</v>
      </c>
      <c r="D49" s="47" t="s">
        <v>276</v>
      </c>
    </row>
    <row r="50" spans="1:4" s="24" customFormat="1" ht="15.75" thickBot="1" x14ac:dyDescent="0.3">
      <c r="A50" s="48" t="s">
        <v>315</v>
      </c>
      <c r="B50" s="49" t="s">
        <v>7</v>
      </c>
      <c r="C50" s="49" t="s">
        <v>3</v>
      </c>
      <c r="D50" s="50" t="s">
        <v>277</v>
      </c>
    </row>
    <row r="51" spans="1:4" s="24" customFormat="1" ht="15.75" thickBot="1" x14ac:dyDescent="0.3">
      <c r="A51" s="51" t="s">
        <v>278</v>
      </c>
      <c r="B51" s="52" t="s">
        <v>4</v>
      </c>
      <c r="C51" s="52" t="s">
        <v>3</v>
      </c>
      <c r="D51" s="53" t="s">
        <v>317</v>
      </c>
    </row>
    <row r="52" spans="1:4" ht="15.75" thickBot="1" x14ac:dyDescent="0.3">
      <c r="A52" s="48" t="s">
        <v>279</v>
      </c>
      <c r="B52" s="49" t="s">
        <v>5</v>
      </c>
      <c r="C52" s="49" t="s">
        <v>3</v>
      </c>
      <c r="D52" s="50" t="s">
        <v>280</v>
      </c>
    </row>
    <row r="53" spans="1:4" ht="15" customHeight="1" x14ac:dyDescent="0.25">
      <c r="A53" s="129" t="s">
        <v>281</v>
      </c>
      <c r="B53" s="71" t="s">
        <v>320</v>
      </c>
      <c r="C53" s="126" t="s">
        <v>318</v>
      </c>
      <c r="D53" s="132" t="s">
        <v>282</v>
      </c>
    </row>
    <row r="54" spans="1:4" x14ac:dyDescent="0.25">
      <c r="A54" s="130"/>
      <c r="B54" s="72" t="s">
        <v>321</v>
      </c>
      <c r="C54" s="127"/>
      <c r="D54" s="133"/>
    </row>
    <row r="55" spans="1:4" ht="16.5" customHeight="1" thickBot="1" x14ac:dyDescent="0.3">
      <c r="A55" s="131"/>
      <c r="B55" s="73" t="s">
        <v>322</v>
      </c>
      <c r="C55" s="128"/>
      <c r="D55" s="134"/>
    </row>
    <row r="56" spans="1:4" x14ac:dyDescent="0.25">
      <c r="A56" s="115" t="s">
        <v>319</v>
      </c>
      <c r="B56" s="71" t="s">
        <v>323</v>
      </c>
      <c r="C56" s="82" t="s">
        <v>384</v>
      </c>
      <c r="D56" s="71" t="s">
        <v>386</v>
      </c>
    </row>
    <row r="57" spans="1:4" x14ac:dyDescent="0.25">
      <c r="A57" s="116"/>
      <c r="B57" s="72" t="s">
        <v>82</v>
      </c>
      <c r="C57" s="83" t="s">
        <v>3</v>
      </c>
      <c r="D57" s="72" t="s">
        <v>385</v>
      </c>
    </row>
    <row r="58" spans="1:4" x14ac:dyDescent="0.25">
      <c r="A58" s="116"/>
      <c r="B58" s="72" t="s">
        <v>236</v>
      </c>
      <c r="C58" s="83" t="s">
        <v>3</v>
      </c>
      <c r="D58" s="72" t="s">
        <v>447</v>
      </c>
    </row>
    <row r="59" spans="1:4" customFormat="1" x14ac:dyDescent="0.25">
      <c r="A59" s="116"/>
      <c r="B59" s="74" t="s">
        <v>326</v>
      </c>
      <c r="C59" s="83" t="s">
        <v>3</v>
      </c>
      <c r="D59" s="72" t="s">
        <v>469</v>
      </c>
    </row>
    <row r="60" spans="1:4" ht="15.75" thickBot="1" x14ac:dyDescent="0.3">
      <c r="A60" s="117"/>
      <c r="B60" s="75" t="s">
        <v>316</v>
      </c>
      <c r="C60" s="84" t="s">
        <v>3</v>
      </c>
      <c r="D60" s="73" t="s">
        <v>476</v>
      </c>
    </row>
    <row r="61" spans="1:4" ht="18" x14ac:dyDescent="0.35">
      <c r="A61" s="118" t="s">
        <v>344</v>
      </c>
      <c r="B61" s="71" t="s">
        <v>345</v>
      </c>
      <c r="C61" s="82" t="s">
        <v>366</v>
      </c>
      <c r="D61" s="121" t="s">
        <v>520</v>
      </c>
    </row>
    <row r="62" spans="1:4" ht="18" x14ac:dyDescent="0.35">
      <c r="A62" s="119"/>
      <c r="B62" s="72" t="s">
        <v>387</v>
      </c>
      <c r="C62" s="83" t="s">
        <v>365</v>
      </c>
      <c r="D62" s="122"/>
    </row>
    <row r="63" spans="1:4" ht="18" x14ac:dyDescent="0.35">
      <c r="A63" s="119"/>
      <c r="B63" s="72" t="s">
        <v>346</v>
      </c>
      <c r="C63" s="83" t="s">
        <v>365</v>
      </c>
      <c r="D63" s="122"/>
    </row>
    <row r="64" spans="1:4" ht="18" x14ac:dyDescent="0.35">
      <c r="A64" s="119"/>
      <c r="B64" s="72" t="s">
        <v>478</v>
      </c>
      <c r="C64" s="83" t="s">
        <v>479</v>
      </c>
      <c r="D64" s="122"/>
    </row>
    <row r="65" spans="1:4" ht="18.75" thickBot="1" x14ac:dyDescent="0.4">
      <c r="A65" s="120"/>
      <c r="B65" s="73" t="s">
        <v>480</v>
      </c>
      <c r="C65" s="84" t="s">
        <v>479</v>
      </c>
      <c r="D65" s="123"/>
    </row>
    <row r="66" spans="1:4" ht="16.5" x14ac:dyDescent="0.25">
      <c r="A66" s="115" t="s">
        <v>331</v>
      </c>
      <c r="B66" s="71" t="s">
        <v>347</v>
      </c>
      <c r="C66" s="82" t="s">
        <v>364</v>
      </c>
      <c r="D66" s="137" t="s">
        <v>521</v>
      </c>
    </row>
    <row r="67" spans="1:4" ht="16.5" x14ac:dyDescent="0.25">
      <c r="A67" s="116"/>
      <c r="B67" s="72" t="s">
        <v>388</v>
      </c>
      <c r="C67" s="83" t="s">
        <v>389</v>
      </c>
      <c r="D67" s="138"/>
    </row>
    <row r="68" spans="1:4" ht="18" x14ac:dyDescent="0.35">
      <c r="A68" s="116"/>
      <c r="B68" s="72" t="s">
        <v>435</v>
      </c>
      <c r="C68" s="83" t="s">
        <v>366</v>
      </c>
      <c r="D68" s="138"/>
    </row>
    <row r="69" spans="1:4" ht="17.25" thickBot="1" x14ac:dyDescent="0.3">
      <c r="A69" s="117"/>
      <c r="B69" s="73" t="s">
        <v>483</v>
      </c>
      <c r="C69" s="84" t="s">
        <v>484</v>
      </c>
      <c r="D69" s="139"/>
    </row>
    <row r="70" spans="1:4" ht="18" x14ac:dyDescent="0.35">
      <c r="A70" s="115" t="s">
        <v>617</v>
      </c>
      <c r="B70" s="71" t="s">
        <v>348</v>
      </c>
      <c r="C70" s="82" t="s">
        <v>370</v>
      </c>
      <c r="D70" s="137" t="s">
        <v>522</v>
      </c>
    </row>
    <row r="71" spans="1:4" ht="18" x14ac:dyDescent="0.35">
      <c r="A71" s="116"/>
      <c r="B71" s="72" t="s">
        <v>390</v>
      </c>
      <c r="C71" s="83" t="s">
        <v>392</v>
      </c>
      <c r="D71" s="138"/>
    </row>
    <row r="72" spans="1:4" ht="18" x14ac:dyDescent="0.35">
      <c r="A72" s="116"/>
      <c r="B72" s="72" t="s">
        <v>367</v>
      </c>
      <c r="C72" s="83" t="s">
        <v>371</v>
      </c>
      <c r="D72" s="138"/>
    </row>
    <row r="73" spans="1:4" ht="18" x14ac:dyDescent="0.35">
      <c r="A73" s="116"/>
      <c r="B73" s="72" t="s">
        <v>391</v>
      </c>
      <c r="C73" s="83" t="s">
        <v>393</v>
      </c>
      <c r="D73" s="138"/>
    </row>
    <row r="74" spans="1:4" ht="18" x14ac:dyDescent="0.35">
      <c r="A74" s="116"/>
      <c r="B74" s="72" t="s">
        <v>394</v>
      </c>
      <c r="C74" s="83" t="s">
        <v>395</v>
      </c>
      <c r="D74" s="138"/>
    </row>
    <row r="75" spans="1:4" ht="18" x14ac:dyDescent="0.35">
      <c r="A75" s="116"/>
      <c r="B75" s="72" t="s">
        <v>485</v>
      </c>
      <c r="C75" s="83" t="s">
        <v>486</v>
      </c>
      <c r="D75" s="138"/>
    </row>
    <row r="76" spans="1:4" ht="18.75" thickBot="1" x14ac:dyDescent="0.4">
      <c r="A76" s="117"/>
      <c r="B76" s="73" t="s">
        <v>487</v>
      </c>
      <c r="C76" s="84" t="s">
        <v>488</v>
      </c>
      <c r="D76" s="139"/>
    </row>
    <row r="77" spans="1:4" x14ac:dyDescent="0.25">
      <c r="A77" s="115" t="s">
        <v>332</v>
      </c>
      <c r="B77" s="71" t="s">
        <v>349</v>
      </c>
      <c r="C77" s="82" t="s">
        <v>361</v>
      </c>
      <c r="D77" s="140" t="s">
        <v>523</v>
      </c>
    </row>
    <row r="78" spans="1:4" x14ac:dyDescent="0.25">
      <c r="A78" s="116"/>
      <c r="B78" s="72" t="s">
        <v>396</v>
      </c>
      <c r="C78" s="83" t="s">
        <v>397</v>
      </c>
      <c r="D78" s="141"/>
    </row>
    <row r="79" spans="1:4" ht="15.75" thickBot="1" x14ac:dyDescent="0.3">
      <c r="A79" s="117"/>
      <c r="B79" s="73" t="s">
        <v>489</v>
      </c>
      <c r="C79" s="84" t="s">
        <v>490</v>
      </c>
      <c r="D79" s="142"/>
    </row>
    <row r="80" spans="1:4" ht="16.5" x14ac:dyDescent="0.25">
      <c r="A80" s="115" t="s">
        <v>333</v>
      </c>
      <c r="B80" s="71" t="s">
        <v>350</v>
      </c>
      <c r="C80" s="82" t="s">
        <v>368</v>
      </c>
      <c r="D80" s="137" t="s">
        <v>524</v>
      </c>
    </row>
    <row r="81" spans="1:4" ht="16.5" x14ac:dyDescent="0.25">
      <c r="A81" s="116"/>
      <c r="B81" s="72" t="s">
        <v>398</v>
      </c>
      <c r="C81" s="83" t="s">
        <v>399</v>
      </c>
      <c r="D81" s="138"/>
    </row>
    <row r="82" spans="1:4" ht="17.25" thickBot="1" x14ac:dyDescent="0.3">
      <c r="A82" s="117"/>
      <c r="B82" s="73" t="s">
        <v>491</v>
      </c>
      <c r="C82" s="84" t="s">
        <v>492</v>
      </c>
      <c r="D82" s="139"/>
    </row>
    <row r="83" spans="1:4" x14ac:dyDescent="0.25">
      <c r="A83" s="115" t="s">
        <v>334</v>
      </c>
      <c r="B83" s="71" t="s">
        <v>351</v>
      </c>
      <c r="C83" s="79" t="s">
        <v>362</v>
      </c>
      <c r="D83" s="140" t="s">
        <v>525</v>
      </c>
    </row>
    <row r="84" spans="1:4" ht="18" x14ac:dyDescent="0.35">
      <c r="A84" s="116"/>
      <c r="B84" s="72" t="s">
        <v>352</v>
      </c>
      <c r="C84" s="80" t="s">
        <v>369</v>
      </c>
      <c r="D84" s="141"/>
    </row>
    <row r="85" spans="1:4" ht="18" x14ac:dyDescent="0.35">
      <c r="A85" s="116"/>
      <c r="B85" s="72" t="s">
        <v>400</v>
      </c>
      <c r="C85" s="80" t="s">
        <v>404</v>
      </c>
      <c r="D85" s="141"/>
    </row>
    <row r="86" spans="1:4" ht="18.75" thickBot="1" x14ac:dyDescent="0.4">
      <c r="A86" s="117"/>
      <c r="B86" s="85" t="s">
        <v>493</v>
      </c>
      <c r="C86" s="81" t="s">
        <v>494</v>
      </c>
      <c r="D86" s="142"/>
    </row>
    <row r="87" spans="1:4" ht="18" x14ac:dyDescent="0.35">
      <c r="A87" s="115" t="s">
        <v>335</v>
      </c>
      <c r="B87" s="71" t="s">
        <v>353</v>
      </c>
      <c r="C87" s="79" t="s">
        <v>372</v>
      </c>
      <c r="D87" s="140" t="s">
        <v>526</v>
      </c>
    </row>
    <row r="88" spans="1:4" ht="18" x14ac:dyDescent="0.35">
      <c r="A88" s="116"/>
      <c r="B88" s="72" t="s">
        <v>456</v>
      </c>
      <c r="C88" s="80" t="s">
        <v>457</v>
      </c>
      <c r="D88" s="141"/>
    </row>
    <row r="89" spans="1:4" ht="18" x14ac:dyDescent="0.35">
      <c r="A89" s="116"/>
      <c r="B89" s="72" t="s">
        <v>354</v>
      </c>
      <c r="C89" s="80" t="s">
        <v>373</v>
      </c>
      <c r="D89" s="141"/>
    </row>
    <row r="90" spans="1:4" ht="18" x14ac:dyDescent="0.35">
      <c r="A90" s="116"/>
      <c r="B90" s="72" t="s">
        <v>401</v>
      </c>
      <c r="C90" s="80" t="s">
        <v>403</v>
      </c>
      <c r="D90" s="141"/>
    </row>
    <row r="91" spans="1:4" ht="18" x14ac:dyDescent="0.35">
      <c r="A91" s="116"/>
      <c r="B91" s="72" t="s">
        <v>495</v>
      </c>
      <c r="C91" s="80" t="s">
        <v>496</v>
      </c>
      <c r="D91" s="141"/>
    </row>
    <row r="92" spans="1:4" ht="18.75" thickBot="1" x14ac:dyDescent="0.4">
      <c r="A92" s="117"/>
      <c r="B92" s="73" t="s">
        <v>497</v>
      </c>
      <c r="C92" s="81" t="s">
        <v>498</v>
      </c>
      <c r="D92" s="142"/>
    </row>
    <row r="93" spans="1:4" ht="18" x14ac:dyDescent="0.35">
      <c r="A93" s="115" t="s">
        <v>336</v>
      </c>
      <c r="B93" s="88" t="s">
        <v>355</v>
      </c>
      <c r="C93" s="79" t="s">
        <v>374</v>
      </c>
      <c r="D93" s="140" t="s">
        <v>527</v>
      </c>
    </row>
    <row r="94" spans="1:4" ht="18" x14ac:dyDescent="0.35">
      <c r="A94" s="116"/>
      <c r="B94" s="89" t="s">
        <v>402</v>
      </c>
      <c r="C94" s="80" t="s">
        <v>405</v>
      </c>
      <c r="D94" s="141"/>
    </row>
    <row r="95" spans="1:4" ht="18.75" thickBot="1" x14ac:dyDescent="0.4">
      <c r="A95" s="117"/>
      <c r="B95" s="85" t="s">
        <v>499</v>
      </c>
      <c r="C95" s="81" t="s">
        <v>500</v>
      </c>
      <c r="D95" s="142"/>
    </row>
    <row r="96" spans="1:4" ht="18" x14ac:dyDescent="0.35">
      <c r="A96" s="115" t="s">
        <v>337</v>
      </c>
      <c r="B96" s="71" t="s">
        <v>356</v>
      </c>
      <c r="C96" s="79" t="s">
        <v>375</v>
      </c>
      <c r="D96" s="140" t="s">
        <v>528</v>
      </c>
    </row>
    <row r="97" spans="1:4" ht="18" x14ac:dyDescent="0.35">
      <c r="A97" s="116"/>
      <c r="B97" s="72" t="s">
        <v>406</v>
      </c>
      <c r="C97" s="80" t="s">
        <v>407</v>
      </c>
      <c r="D97" s="141"/>
    </row>
    <row r="98" spans="1:4" ht="18.75" thickBot="1" x14ac:dyDescent="0.4">
      <c r="A98" s="117"/>
      <c r="B98" s="73" t="s">
        <v>501</v>
      </c>
      <c r="C98" s="81" t="s">
        <v>502</v>
      </c>
      <c r="D98" s="142"/>
    </row>
    <row r="99" spans="1:4" x14ac:dyDescent="0.25">
      <c r="A99" s="115" t="s">
        <v>338</v>
      </c>
      <c r="B99" s="71" t="s">
        <v>380</v>
      </c>
      <c r="C99" s="79" t="s">
        <v>379</v>
      </c>
      <c r="D99" s="140" t="s">
        <v>529</v>
      </c>
    </row>
    <row r="100" spans="1:4" x14ac:dyDescent="0.25">
      <c r="A100" s="116"/>
      <c r="B100" s="72" t="s">
        <v>408</v>
      </c>
      <c r="C100" s="80" t="s">
        <v>409</v>
      </c>
      <c r="D100" s="141"/>
    </row>
    <row r="101" spans="1:4" x14ac:dyDescent="0.25">
      <c r="A101" s="116"/>
      <c r="B101" s="90" t="s">
        <v>429</v>
      </c>
      <c r="C101" s="80" t="s">
        <v>430</v>
      </c>
      <c r="D101" s="141"/>
    </row>
    <row r="102" spans="1:4" x14ac:dyDescent="0.25">
      <c r="A102" s="116"/>
      <c r="B102" s="90" t="s">
        <v>410</v>
      </c>
      <c r="C102" s="80" t="s">
        <v>411</v>
      </c>
      <c r="D102" s="141"/>
    </row>
    <row r="103" spans="1:4" ht="15.75" thickBot="1" x14ac:dyDescent="0.3">
      <c r="A103" s="117"/>
      <c r="B103" s="85" t="s">
        <v>503</v>
      </c>
      <c r="C103" s="81" t="s">
        <v>504</v>
      </c>
      <c r="D103" s="142"/>
    </row>
    <row r="104" spans="1:4" x14ac:dyDescent="0.25">
      <c r="A104" s="115" t="s">
        <v>339</v>
      </c>
      <c r="B104" s="91" t="s">
        <v>437</v>
      </c>
      <c r="C104" s="79" t="s">
        <v>430</v>
      </c>
      <c r="D104" s="140" t="s">
        <v>530</v>
      </c>
    </row>
    <row r="105" spans="1:4" ht="15.75" thickBot="1" x14ac:dyDescent="0.3">
      <c r="A105" s="117"/>
      <c r="B105" s="85" t="s">
        <v>505</v>
      </c>
      <c r="C105" s="81" t="s">
        <v>504</v>
      </c>
      <c r="D105" s="142"/>
    </row>
    <row r="106" spans="1:4" x14ac:dyDescent="0.25">
      <c r="A106" s="115" t="s">
        <v>439</v>
      </c>
      <c r="B106" s="91" t="s">
        <v>440</v>
      </c>
      <c r="C106" s="79" t="s">
        <v>430</v>
      </c>
      <c r="D106" s="140" t="s">
        <v>531</v>
      </c>
    </row>
    <row r="107" spans="1:4" x14ac:dyDescent="0.25">
      <c r="A107" s="116"/>
      <c r="B107" s="90" t="s">
        <v>445</v>
      </c>
      <c r="C107" s="80" t="s">
        <v>379</v>
      </c>
      <c r="D107" s="141"/>
    </row>
    <row r="108" spans="1:4" x14ac:dyDescent="0.25">
      <c r="A108" s="116"/>
      <c r="B108" s="90" t="s">
        <v>446</v>
      </c>
      <c r="C108" s="80" t="s">
        <v>411</v>
      </c>
      <c r="D108" s="141"/>
    </row>
    <row r="109" spans="1:4" ht="15.75" thickBot="1" x14ac:dyDescent="0.3">
      <c r="A109" s="117"/>
      <c r="B109" s="85" t="s">
        <v>506</v>
      </c>
      <c r="C109" s="81" t="s">
        <v>504</v>
      </c>
      <c r="D109" s="142"/>
    </row>
    <row r="110" spans="1:4" ht="18" x14ac:dyDescent="0.35">
      <c r="A110" s="115" t="s">
        <v>340</v>
      </c>
      <c r="B110" s="71" t="s">
        <v>357</v>
      </c>
      <c r="C110" s="79" t="s">
        <v>376</v>
      </c>
      <c r="D110" s="140" t="s">
        <v>532</v>
      </c>
    </row>
    <row r="111" spans="1:4" ht="18" x14ac:dyDescent="0.35">
      <c r="A111" s="116"/>
      <c r="B111" s="72" t="s">
        <v>412</v>
      </c>
      <c r="C111" s="80" t="s">
        <v>432</v>
      </c>
      <c r="D111" s="141"/>
    </row>
    <row r="112" spans="1:4" ht="18" x14ac:dyDescent="0.35">
      <c r="A112" s="116"/>
      <c r="B112" s="72" t="s">
        <v>431</v>
      </c>
      <c r="C112" s="80" t="s">
        <v>510</v>
      </c>
      <c r="D112" s="141"/>
    </row>
    <row r="113" spans="1:4" ht="18" x14ac:dyDescent="0.35">
      <c r="A113" s="116"/>
      <c r="B113" s="72" t="s">
        <v>507</v>
      </c>
      <c r="C113" s="80" t="s">
        <v>508</v>
      </c>
      <c r="D113" s="141"/>
    </row>
    <row r="114" spans="1:4" ht="18.75" thickBot="1" x14ac:dyDescent="0.4">
      <c r="A114" s="117"/>
      <c r="B114" s="73" t="s">
        <v>509</v>
      </c>
      <c r="C114" s="81" t="s">
        <v>511</v>
      </c>
      <c r="D114" s="142"/>
    </row>
    <row r="115" spans="1:4" x14ac:dyDescent="0.25">
      <c r="A115" s="115" t="s">
        <v>341</v>
      </c>
      <c r="B115" s="71" t="s">
        <v>358</v>
      </c>
      <c r="C115" s="79" t="s">
        <v>363</v>
      </c>
      <c r="D115" s="140" t="s">
        <v>533</v>
      </c>
    </row>
    <row r="116" spans="1:4" x14ac:dyDescent="0.25">
      <c r="A116" s="116"/>
      <c r="B116" s="72" t="s">
        <v>414</v>
      </c>
      <c r="C116" s="80" t="s">
        <v>413</v>
      </c>
      <c r="D116" s="141"/>
    </row>
    <row r="117" spans="1:4" ht="18" x14ac:dyDescent="0.35">
      <c r="A117" s="116"/>
      <c r="B117" s="72" t="s">
        <v>359</v>
      </c>
      <c r="C117" s="80" t="s">
        <v>377</v>
      </c>
      <c r="D117" s="141"/>
    </row>
    <row r="118" spans="1:4" ht="18" x14ac:dyDescent="0.35">
      <c r="A118" s="116"/>
      <c r="B118" s="72" t="s">
        <v>416</v>
      </c>
      <c r="C118" s="80" t="s">
        <v>417</v>
      </c>
      <c r="D118" s="141"/>
    </row>
    <row r="119" spans="1:4" x14ac:dyDescent="0.25">
      <c r="A119" s="116"/>
      <c r="B119" s="72" t="s">
        <v>512</v>
      </c>
      <c r="C119" s="80" t="s">
        <v>513</v>
      </c>
      <c r="D119" s="141"/>
    </row>
    <row r="120" spans="1:4" ht="18.75" thickBot="1" x14ac:dyDescent="0.4">
      <c r="A120" s="117"/>
      <c r="B120" s="73" t="s">
        <v>514</v>
      </c>
      <c r="C120" s="81" t="s">
        <v>515</v>
      </c>
      <c r="D120" s="142"/>
    </row>
    <row r="121" spans="1:4" ht="18" x14ac:dyDescent="0.35">
      <c r="A121" s="115" t="s">
        <v>342</v>
      </c>
      <c r="B121" s="71" t="s">
        <v>418</v>
      </c>
      <c r="C121" s="79" t="s">
        <v>417</v>
      </c>
      <c r="D121" s="140" t="s">
        <v>534</v>
      </c>
    </row>
    <row r="122" spans="1:4" x14ac:dyDescent="0.25">
      <c r="A122" s="116"/>
      <c r="B122" s="72" t="s">
        <v>415</v>
      </c>
      <c r="C122" s="80" t="s">
        <v>413</v>
      </c>
      <c r="D122" s="141"/>
    </row>
    <row r="123" spans="1:4" ht="18" x14ac:dyDescent="0.35">
      <c r="A123" s="116"/>
      <c r="B123" s="72" t="s">
        <v>441</v>
      </c>
      <c r="C123" s="80" t="s">
        <v>377</v>
      </c>
      <c r="D123" s="141"/>
    </row>
    <row r="124" spans="1:4" x14ac:dyDescent="0.25">
      <c r="A124" s="116"/>
      <c r="B124" s="72" t="s">
        <v>516</v>
      </c>
      <c r="C124" s="80" t="s">
        <v>513</v>
      </c>
      <c r="D124" s="141"/>
    </row>
    <row r="125" spans="1:4" ht="18.75" thickBot="1" x14ac:dyDescent="0.4">
      <c r="A125" s="117"/>
      <c r="B125" s="73" t="s">
        <v>517</v>
      </c>
      <c r="C125" s="81" t="s">
        <v>515</v>
      </c>
      <c r="D125" s="142"/>
    </row>
    <row r="126" spans="1:4" ht="18" x14ac:dyDescent="0.35">
      <c r="A126" s="115" t="s">
        <v>343</v>
      </c>
      <c r="B126" s="71" t="s">
        <v>360</v>
      </c>
      <c r="C126" s="79" t="s">
        <v>378</v>
      </c>
      <c r="D126" s="140" t="s">
        <v>535</v>
      </c>
    </row>
    <row r="127" spans="1:4" ht="18" x14ac:dyDescent="0.35">
      <c r="A127" s="116"/>
      <c r="B127" s="72" t="s">
        <v>421</v>
      </c>
      <c r="C127" s="80" t="s">
        <v>420</v>
      </c>
      <c r="D127" s="141"/>
    </row>
    <row r="128" spans="1:4" ht="18.75" thickBot="1" x14ac:dyDescent="0.4">
      <c r="A128" s="117"/>
      <c r="B128" s="73" t="s">
        <v>518</v>
      </c>
      <c r="C128" s="81" t="s">
        <v>519</v>
      </c>
      <c r="D128" s="142"/>
    </row>
    <row r="129" spans="1:4" ht="15.75" thickBot="1" x14ac:dyDescent="0.3">
      <c r="A129" s="86" t="s">
        <v>330</v>
      </c>
      <c r="B129" s="92" t="s">
        <v>14</v>
      </c>
      <c r="C129" s="87" t="s">
        <v>3</v>
      </c>
      <c r="D129" s="93" t="s">
        <v>536</v>
      </c>
    </row>
  </sheetData>
  <mergeCells count="74">
    <mergeCell ref="D106:D109"/>
    <mergeCell ref="D110:D114"/>
    <mergeCell ref="D115:D120"/>
    <mergeCell ref="D121:D125"/>
    <mergeCell ref="D126:D128"/>
    <mergeCell ref="A106:A109"/>
    <mergeCell ref="A110:A114"/>
    <mergeCell ref="A115:A120"/>
    <mergeCell ref="A121:A125"/>
    <mergeCell ref="A126:A128"/>
    <mergeCell ref="A93:A95"/>
    <mergeCell ref="D93:D95"/>
    <mergeCell ref="A96:A98"/>
    <mergeCell ref="A99:A103"/>
    <mergeCell ref="A104:A105"/>
    <mergeCell ref="D96:D98"/>
    <mergeCell ref="D99:D103"/>
    <mergeCell ref="D104:D105"/>
    <mergeCell ref="D80:D82"/>
    <mergeCell ref="A80:A82"/>
    <mergeCell ref="A83:A86"/>
    <mergeCell ref="D83:D86"/>
    <mergeCell ref="A87:A92"/>
    <mergeCell ref="D87:D92"/>
    <mergeCell ref="D66:D69"/>
    <mergeCell ref="A66:A69"/>
    <mergeCell ref="D70:D76"/>
    <mergeCell ref="A70:A76"/>
    <mergeCell ref="A77:A79"/>
    <mergeCell ref="D77:D79"/>
    <mergeCell ref="A56:A60"/>
    <mergeCell ref="A61:A65"/>
    <mergeCell ref="D61:D65"/>
    <mergeCell ref="C41:D41"/>
    <mergeCell ref="C42:D42"/>
    <mergeCell ref="C43:D43"/>
    <mergeCell ref="C44:D44"/>
    <mergeCell ref="C45:D45"/>
    <mergeCell ref="C46:D46"/>
    <mergeCell ref="C53:C55"/>
    <mergeCell ref="A53:A55"/>
    <mergeCell ref="D53:D55"/>
    <mergeCell ref="A46:B46"/>
    <mergeCell ref="A44:B44"/>
    <mergeCell ref="A45:B45"/>
    <mergeCell ref="A40:B40"/>
    <mergeCell ref="A41:B41"/>
    <mergeCell ref="A42:B42"/>
    <mergeCell ref="A43:B43"/>
    <mergeCell ref="C36:D36"/>
    <mergeCell ref="C37:D37"/>
    <mergeCell ref="C38:D38"/>
    <mergeCell ref="C39:D39"/>
    <mergeCell ref="C40:D40"/>
    <mergeCell ref="A39:B39"/>
    <mergeCell ref="A36:B36"/>
    <mergeCell ref="A37:B37"/>
    <mergeCell ref="A38:B38"/>
    <mergeCell ref="A14:D14"/>
    <mergeCell ref="A16:D16"/>
    <mergeCell ref="B18:D18"/>
    <mergeCell ref="B21:D21"/>
    <mergeCell ref="B22:D22"/>
    <mergeCell ref="A28:D28"/>
    <mergeCell ref="C35:D35"/>
    <mergeCell ref="C34:D34"/>
    <mergeCell ref="C33:D33"/>
    <mergeCell ref="C32:D32"/>
    <mergeCell ref="A29:C29"/>
    <mergeCell ref="A31:B31"/>
    <mergeCell ref="C31:D31"/>
    <mergeCell ref="A33:B33"/>
    <mergeCell ref="A34:B34"/>
    <mergeCell ref="A35:B35"/>
  </mergeCells>
  <hyperlinks>
    <hyperlink ref="A32" location="References!A1" display="References" xr:uid="{01798F9B-A3D6-4D0C-A1B7-274345981EEC}"/>
    <hyperlink ref="A33" location="PEMEC_raw!A1" display="PEMEC_raw" xr:uid="{7EFCC2F8-D72E-4593-9AE9-27C616B3B2CF}"/>
    <hyperlink ref="A46" location="Li_BESS_raw!A1" display="Li_BESS_raw" xr:uid="{3B3DE49F-342E-4B78-9D45-DCB9C20B49AB}"/>
    <hyperlink ref="A40" location="H2_tank_raw!A1" display="H2_tank_raw" xr:uid="{CE68B4C3-3997-4D53-9A05-974E2F050D49}"/>
    <hyperlink ref="A39" location="compressor_raw!A1" display="compressor_raw" xr:uid="{4EF6F852-69B5-47B7-B1C1-DFD8DE44B9E4}"/>
    <hyperlink ref="A38" location="other_FC_raw!A1" display="other_FC_raw" xr:uid="{8D508CC2-E19E-4408-8F06-A380C63ABFD8}"/>
    <hyperlink ref="A37" location="SOFC_raw!A1" display="SOFC_raw" xr:uid="{9F588275-DF14-4ADE-9F96-4085C059EA55}"/>
    <hyperlink ref="A36" location="PEMFC_raw!A1" display="PEMFC_raw" xr:uid="{F25B4528-4236-41C2-9466-45C00A9EA454}"/>
    <hyperlink ref="A35" location="other_EL_raw!A1" display="other_EL_raw" xr:uid="{5471EBB3-2321-4BA2-B274-8DD74F86C4A2}"/>
    <hyperlink ref="A34" location="AEL_raw!A1" display="AEL_raw" xr:uid="{909AA741-0AFF-4062-9BFF-FA2585555F55}"/>
    <hyperlink ref="A33:B33" location="PV!A1" display="PV" xr:uid="{64DCCBDF-809C-4048-B71E-44D83F45F02A}"/>
    <hyperlink ref="A34:B34" location="BESS!A1" display="BESS" xr:uid="{B7F18FB0-2701-464E-B09A-95C07E28D773}"/>
    <hyperlink ref="A35:B35" location="STE!A1" display="STE" xr:uid="{2FF4A8BA-6D9F-4A60-96C5-471D4EE31FCB}"/>
    <hyperlink ref="A36:B36" location="TES!A1" display="TES" xr:uid="{A393EA17-F26B-48CD-B809-169AAB6607D1}"/>
    <hyperlink ref="A37:B37" location="PEMFC!A1" display="PEMFC" xr:uid="{952071C8-283E-4E31-897C-EC3EFBC7ADDF}"/>
    <hyperlink ref="A38:B38" location="SOFC!A1" display="SOFC" xr:uid="{951969F1-DC1D-4DAA-963B-1AFCF6896D50}"/>
    <hyperlink ref="A39:B39" location="PEMEC!A1" display="PEMEC" xr:uid="{AE4FA512-50A3-4900-A611-71F8E0991E23}"/>
    <hyperlink ref="A40:B40" location="AEL!A1" display="AEL" xr:uid="{48AD4DF1-DE7C-4BFC-BCC0-CB9A43703B69}"/>
    <hyperlink ref="A44" location="Li_BESS_raw!A1" display="Li_BESS_raw" xr:uid="{43FD5432-039B-4D8E-A02F-490B51DB2A9F}"/>
    <hyperlink ref="A45" location="Li_BESS_raw!A1" display="Li_BESS_raw" xr:uid="{F1E94C50-238C-4618-8EF0-2514D7F69F46}"/>
    <hyperlink ref="A43" location="Li_BESS_raw!A1" display="Li_BESS_raw" xr:uid="{1973C3D0-7A69-4513-96B8-2A0627C608AD}"/>
    <hyperlink ref="A41" location="Li_BESS_raw!A1" display="Li_BESS_raw" xr:uid="{DA622FB7-53B4-4D47-868D-922415F64338}"/>
    <hyperlink ref="A42" location="Li_BESS_raw!A1" display="Li_BESS_raw" xr:uid="{AFDEEBDF-7B5E-4F6A-AE30-C328EDE0C91B}"/>
    <hyperlink ref="A41:B41" location="'CGH2'!A1" display="CGH2" xr:uid="{0416B7EF-C8AB-4E55-A9AC-458A8258DF67}"/>
    <hyperlink ref="A42:B42" location="ICE!A1" display="ICE" xr:uid="{7DDD62A8-C7A2-4A5E-8A38-DACB271DB5C6}"/>
    <hyperlink ref="A43:B43" location="Boiler!A1" display="Boiler" xr:uid="{4F153E0F-0221-412D-A8D9-AE2BECD7692A}"/>
    <hyperlink ref="A44:B44" location="HP!A1" display="HP" xr:uid="{540ABE47-6767-40FA-8256-AF9799BC95B8}"/>
    <hyperlink ref="A45:B45" location="ORC!A1" display="ORC" xr:uid="{CB7C7071-838B-4BD0-BCF2-CAAD012AEF1D}"/>
    <hyperlink ref="A46:B46" location="'Energy carriers'!A1" display="Energy Carriers" xr:uid="{665859C1-3E9B-4E40-95F9-ECCAAC50DBD9}"/>
  </hyperlink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11797B-B168-42B4-827F-06FDB8647118}">
  <sheetPr>
    <tabColor rgb="FFA2D5F4"/>
  </sheetPr>
  <dimension ref="A1:X11"/>
  <sheetViews>
    <sheetView zoomScaleNormal="100" workbookViewId="0">
      <pane xSplit="4" ySplit="1" topLeftCell="E2" activePane="bottomRight" state="frozen"/>
      <selection pane="topRight" activeCell="E1" sqref="E1"/>
      <selection pane="bottomLeft" activeCell="A2" sqref="A2"/>
      <selection pane="bottomRight" activeCell="F19" sqref="F19"/>
    </sheetView>
  </sheetViews>
  <sheetFormatPr defaultColWidth="9.140625" defaultRowHeight="15" x14ac:dyDescent="0.25"/>
  <cols>
    <col min="1" max="1" width="18" style="1" bestFit="1" customWidth="1"/>
    <col min="2" max="2" width="11.28515625" style="1" bestFit="1" customWidth="1"/>
    <col min="3" max="3" width="11" style="1" bestFit="1" customWidth="1"/>
    <col min="4" max="4" width="10" style="1" bestFit="1" customWidth="1"/>
    <col min="5" max="5" width="31" style="1" bestFit="1" customWidth="1"/>
    <col min="6" max="6" width="30.140625" style="1" bestFit="1" customWidth="1"/>
    <col min="7" max="7" width="15.85546875" style="1" bestFit="1" customWidth="1"/>
    <col min="8" max="8" width="17.28515625" style="1" bestFit="1" customWidth="1"/>
    <col min="9" max="9" width="18.5703125" style="1" bestFit="1" customWidth="1"/>
    <col min="10" max="11" width="15.5703125" style="1" bestFit="1" customWidth="1"/>
    <col min="12" max="12" width="20.7109375" style="1" bestFit="1" customWidth="1"/>
    <col min="13" max="13" width="17.85546875" style="1" bestFit="1" customWidth="1"/>
    <col min="14" max="14" width="17.5703125" style="1" bestFit="1" customWidth="1"/>
    <col min="15" max="15" width="15" style="1" bestFit="1" customWidth="1"/>
    <col min="16" max="16" width="15.85546875" style="1" bestFit="1" customWidth="1"/>
    <col min="17" max="17" width="20" style="1" bestFit="1" customWidth="1"/>
    <col min="18" max="18" width="20.5703125" style="1" bestFit="1" customWidth="1"/>
    <col min="19" max="19" width="20" style="1" bestFit="1" customWidth="1"/>
    <col min="20" max="20" width="20.5703125" style="1" bestFit="1" customWidth="1"/>
    <col min="21" max="21" width="20.28515625" style="1" bestFit="1" customWidth="1"/>
    <col min="22" max="22" width="21.5703125" style="1" bestFit="1" customWidth="1"/>
    <col min="23" max="23" width="18.42578125" style="1" bestFit="1" customWidth="1"/>
    <col min="24" max="24" width="72.5703125" style="1" bestFit="1" customWidth="1"/>
    <col min="25" max="16384" width="9.140625" style="1"/>
  </cols>
  <sheetData>
    <row r="1" spans="1:24" s="4" customFormat="1" x14ac:dyDescent="0.25">
      <c r="A1" s="3" t="s">
        <v>7</v>
      </c>
      <c r="B1" s="3" t="s">
        <v>4</v>
      </c>
      <c r="C1" s="3" t="s">
        <v>5</v>
      </c>
      <c r="D1" s="3" t="s">
        <v>324</v>
      </c>
      <c r="E1" s="3" t="s">
        <v>345</v>
      </c>
      <c r="F1" s="3" t="s">
        <v>346</v>
      </c>
      <c r="G1" s="3" t="s">
        <v>347</v>
      </c>
      <c r="H1" s="3" t="s">
        <v>348</v>
      </c>
      <c r="I1" s="3" t="s">
        <v>367</v>
      </c>
      <c r="J1" s="3" t="s">
        <v>349</v>
      </c>
      <c r="K1" s="3" t="s">
        <v>350</v>
      </c>
      <c r="L1" s="3" t="s">
        <v>352</v>
      </c>
      <c r="M1" s="3" t="s">
        <v>353</v>
      </c>
      <c r="N1" s="3" t="s">
        <v>354</v>
      </c>
      <c r="O1" s="60" t="s">
        <v>355</v>
      </c>
      <c r="P1" s="3" t="s">
        <v>356</v>
      </c>
      <c r="Q1" s="61" t="s">
        <v>429</v>
      </c>
      <c r="R1" s="61" t="s">
        <v>437</v>
      </c>
      <c r="S1" s="61" t="s">
        <v>440</v>
      </c>
      <c r="T1" s="3" t="s">
        <v>431</v>
      </c>
      <c r="U1" s="3" t="s">
        <v>359</v>
      </c>
      <c r="V1" s="3" t="s">
        <v>441</v>
      </c>
      <c r="W1" s="3" t="s">
        <v>360</v>
      </c>
      <c r="X1" s="4" t="s">
        <v>14</v>
      </c>
    </row>
    <row r="2" spans="1:24" x14ac:dyDescent="0.25">
      <c r="A2" s="1" t="s">
        <v>112</v>
      </c>
      <c r="B2" s="1">
        <v>2021</v>
      </c>
      <c r="C2" s="1" t="s">
        <v>88</v>
      </c>
      <c r="D2" s="1">
        <v>1436</v>
      </c>
      <c r="E2" s="14">
        <f>200*200/D2</f>
        <v>27.855153203342617</v>
      </c>
      <c r="F2" s="1" t="s">
        <v>3</v>
      </c>
      <c r="G2" s="1" t="s">
        <v>3</v>
      </c>
      <c r="H2" s="14">
        <f>I2*2.5</f>
        <v>8.0083565459610035</v>
      </c>
      <c r="I2" s="14">
        <f>23*200/D2</f>
        <v>3.2033426183844012</v>
      </c>
      <c r="J2" s="14">
        <f>29*200/D2*41.87</f>
        <v>169.11281337047353</v>
      </c>
      <c r="K2" s="1" t="s">
        <v>3</v>
      </c>
      <c r="L2" s="7">
        <f>0.5*200/D2</f>
        <v>6.9637883008356549E-2</v>
      </c>
      <c r="M2" s="14" t="s">
        <v>3</v>
      </c>
      <c r="N2" s="7">
        <f>18*200/D2</f>
        <v>2.5069637883008355</v>
      </c>
      <c r="O2" s="14">
        <f>0.2*200/D2*1000</f>
        <v>27.855153203342617</v>
      </c>
      <c r="P2" s="14">
        <f>0.01*200/D2*1000</f>
        <v>1.392757660167131</v>
      </c>
      <c r="Q2" s="7">
        <f>40*200/D2</f>
        <v>5.5710306406685239</v>
      </c>
      <c r="R2" s="7">
        <f>57*200/D2</f>
        <v>7.9387186629526463</v>
      </c>
      <c r="S2" s="14">
        <f>4100*200/D2</f>
        <v>571.03064066852369</v>
      </c>
      <c r="T2" s="1" t="s">
        <v>3</v>
      </c>
      <c r="U2" s="7">
        <f>16*200/D2</f>
        <v>2.2284122562674096</v>
      </c>
      <c r="V2" s="14">
        <f>1300*200/D2</f>
        <v>181.05849582172701</v>
      </c>
      <c r="W2" s="14">
        <f>0.0001*200/D2*10^6</f>
        <v>13.927576601671309</v>
      </c>
      <c r="X2" s="1" t="s">
        <v>450</v>
      </c>
    </row>
    <row r="3" spans="1:24" x14ac:dyDescent="0.25">
      <c r="A3" s="1" t="s">
        <v>116</v>
      </c>
      <c r="B3" s="1">
        <v>2024</v>
      </c>
      <c r="C3" s="1" t="s">
        <v>87</v>
      </c>
      <c r="D3" s="1">
        <v>2200</v>
      </c>
      <c r="E3" s="14">
        <v>141.80156881427612</v>
      </c>
      <c r="F3" s="1" t="s">
        <v>3</v>
      </c>
      <c r="G3" s="1" t="s">
        <v>3</v>
      </c>
      <c r="H3" s="14">
        <v>5.3215556103972022</v>
      </c>
      <c r="I3" s="14" t="s">
        <v>3</v>
      </c>
      <c r="J3" s="14">
        <v>1694.7458204985046</v>
      </c>
      <c r="K3" s="1" t="s">
        <v>3</v>
      </c>
      <c r="L3" s="1" t="s">
        <v>3</v>
      </c>
      <c r="M3" s="7">
        <f>4127.30517254367/1000</f>
        <v>4.1273051725436698</v>
      </c>
      <c r="N3" s="7" t="s">
        <v>3</v>
      </c>
      <c r="O3" s="7">
        <v>8.7831564133750586</v>
      </c>
      <c r="P3" s="14">
        <v>174.73054761889756</v>
      </c>
      <c r="Q3" s="7" t="s">
        <v>3</v>
      </c>
      <c r="R3" s="7" t="s">
        <v>3</v>
      </c>
      <c r="S3" s="14" t="s">
        <v>3</v>
      </c>
      <c r="T3" s="1" t="s">
        <v>3</v>
      </c>
      <c r="U3" s="7" t="s">
        <v>3</v>
      </c>
      <c r="V3" s="14" t="s">
        <v>3</v>
      </c>
      <c r="W3" s="14" t="s">
        <v>3</v>
      </c>
      <c r="X3" s="1" t="s">
        <v>3</v>
      </c>
    </row>
    <row r="4" spans="1:24" x14ac:dyDescent="0.25">
      <c r="A4" s="1" t="s">
        <v>116</v>
      </c>
      <c r="B4" s="1">
        <v>2024</v>
      </c>
      <c r="C4" s="1" t="s">
        <v>87</v>
      </c>
      <c r="D4" s="1">
        <v>20000</v>
      </c>
      <c r="E4" s="14">
        <v>39.402289127859248</v>
      </c>
      <c r="F4" s="1" t="s">
        <v>3</v>
      </c>
      <c r="G4" s="1" t="s">
        <v>3</v>
      </c>
      <c r="H4" s="14">
        <v>1.6666889088647456</v>
      </c>
      <c r="I4" s="14" t="s">
        <v>3</v>
      </c>
      <c r="J4" s="14">
        <v>483.57408887626059</v>
      </c>
      <c r="K4" s="1" t="s">
        <v>3</v>
      </c>
      <c r="L4" s="1" t="s">
        <v>3</v>
      </c>
      <c r="M4" s="7">
        <f>473.033881303358/1000</f>
        <v>0.47303388130335799</v>
      </c>
      <c r="N4" s="7" t="s">
        <v>3</v>
      </c>
      <c r="O4" s="7">
        <v>2.7776235900977921</v>
      </c>
      <c r="P4" s="14">
        <v>64.075103878275485</v>
      </c>
      <c r="Q4" s="7" t="s">
        <v>3</v>
      </c>
      <c r="R4" s="7" t="s">
        <v>3</v>
      </c>
      <c r="S4" s="14" t="s">
        <v>3</v>
      </c>
      <c r="T4" s="1" t="s">
        <v>3</v>
      </c>
      <c r="U4" s="7" t="s">
        <v>3</v>
      </c>
      <c r="V4" s="14" t="s">
        <v>3</v>
      </c>
      <c r="W4" s="14" t="s">
        <v>3</v>
      </c>
      <c r="X4" s="1" t="s">
        <v>3</v>
      </c>
    </row>
    <row r="5" spans="1:24" x14ac:dyDescent="0.25">
      <c r="A5" s="1" t="s">
        <v>120</v>
      </c>
      <c r="B5" s="1">
        <v>2021</v>
      </c>
      <c r="C5" s="1" t="s">
        <v>87</v>
      </c>
      <c r="D5" s="1">
        <v>1000</v>
      </c>
      <c r="E5" s="15">
        <f>0.0226*15.5*240000/D5</f>
        <v>84.072000000000003</v>
      </c>
      <c r="F5" s="1" t="s">
        <v>3</v>
      </c>
      <c r="G5" s="7">
        <f>0.00202*15.5*240000/D5</f>
        <v>7.5144000000000011</v>
      </c>
      <c r="H5" s="14">
        <f>I5*2.5</f>
        <v>35.433000000000007</v>
      </c>
      <c r="I5" s="14">
        <f>0.00381*15.5*240000/D5</f>
        <v>14.173200000000001</v>
      </c>
      <c r="J5" s="14">
        <f>0.00573*15.5*240000/D5*41.87</f>
        <v>892.48417199999994</v>
      </c>
      <c r="K5" s="7">
        <f>0.000228*15.5*240000/D5</f>
        <v>0.84816000000000014</v>
      </c>
      <c r="L5" s="7">
        <f>0.0000467*15.5*240000/D5</f>
        <v>0.17372399999999999</v>
      </c>
      <c r="M5" s="14" t="s">
        <v>3</v>
      </c>
      <c r="N5" s="7">
        <f>0.00015*15.5*240000/D5</f>
        <v>0.55800000000000005</v>
      </c>
      <c r="O5" s="7">
        <f>0.000000153*15.5*240000*1000/D5</f>
        <v>0.56916</v>
      </c>
      <c r="P5" s="14">
        <f>0.00000073*15.5*240000/D5*1000</f>
        <v>2.7155999999999998</v>
      </c>
      <c r="Q5" s="7">
        <f>0.0000606*15.5*240000/D5</f>
        <v>0.22543200000000002</v>
      </c>
      <c r="R5" s="7">
        <f>0.000378*15.5*240000/D5</f>
        <v>1.4061600000000001</v>
      </c>
      <c r="S5" s="14">
        <f>0.66*15.5*240000/D5</f>
        <v>2455.1999999999998</v>
      </c>
      <c r="T5" s="7">
        <f>0.0000937*15.5*240000/D5</f>
        <v>0.34856400000000004</v>
      </c>
      <c r="U5" s="7">
        <f>0.000103*15.5*240000/D5</f>
        <v>0.38316</v>
      </c>
      <c r="V5" s="14">
        <f>0.0166*15.5*240000/D5</f>
        <v>61.75200000000001</v>
      </c>
      <c r="W5" s="14">
        <f>0.00000000526*10^6*15.5*240000/D5</f>
        <v>19.5672</v>
      </c>
      <c r="X5" s="1" t="s">
        <v>451</v>
      </c>
    </row>
    <row r="6" spans="1:24" x14ac:dyDescent="0.25">
      <c r="A6" s="1" t="s">
        <v>121</v>
      </c>
      <c r="B6" s="1">
        <v>2024</v>
      </c>
      <c r="C6" s="1" t="s">
        <v>87</v>
      </c>
      <c r="D6" s="1" t="s">
        <v>3</v>
      </c>
      <c r="E6" s="14" t="s">
        <v>3</v>
      </c>
      <c r="F6" s="6">
        <f>0.21 / 33.33</f>
        <v>6.3006300630063005E-3</v>
      </c>
      <c r="G6" s="7">
        <v>4.0999999999999996</v>
      </c>
      <c r="H6" s="14" t="s">
        <v>3</v>
      </c>
      <c r="I6" s="14" t="s">
        <v>3</v>
      </c>
      <c r="J6" s="1" t="s">
        <v>3</v>
      </c>
      <c r="K6" s="7" t="s">
        <v>3</v>
      </c>
      <c r="L6" s="1" t="s">
        <v>3</v>
      </c>
      <c r="M6" s="14" t="s">
        <v>3</v>
      </c>
      <c r="N6" s="7" t="s">
        <v>3</v>
      </c>
      <c r="O6" s="14" t="s">
        <v>3</v>
      </c>
      <c r="P6" s="14" t="s">
        <v>3</v>
      </c>
      <c r="Q6" s="7" t="s">
        <v>3</v>
      </c>
      <c r="R6" s="1" t="s">
        <v>3</v>
      </c>
      <c r="S6" s="14" t="s">
        <v>3</v>
      </c>
      <c r="T6" s="1" t="s">
        <v>3</v>
      </c>
      <c r="U6" s="7" t="s">
        <v>3</v>
      </c>
      <c r="V6" s="14" t="s">
        <v>3</v>
      </c>
      <c r="W6" s="14" t="s">
        <v>3</v>
      </c>
      <c r="X6" s="1" t="s">
        <v>3</v>
      </c>
    </row>
    <row r="7" spans="1:24" x14ac:dyDescent="0.25">
      <c r="A7" s="1" t="s">
        <v>185</v>
      </c>
      <c r="B7" s="1">
        <v>2023</v>
      </c>
      <c r="C7" s="1" t="s">
        <v>87</v>
      </c>
      <c r="D7" s="1">
        <v>1000</v>
      </c>
      <c r="E7" s="1">
        <f>476000/D7</f>
        <v>476</v>
      </c>
      <c r="F7" s="1" t="s">
        <v>3</v>
      </c>
      <c r="G7" s="14">
        <f>12400/D7</f>
        <v>12.4</v>
      </c>
      <c r="H7" s="14">
        <f>I7*2.5</f>
        <v>42.75</v>
      </c>
      <c r="I7" s="14">
        <f>17100/D7</f>
        <v>17.100000000000001</v>
      </c>
      <c r="J7" s="14">
        <f>122000/D7*41.87</f>
        <v>5108.1399999999994</v>
      </c>
      <c r="K7" s="7">
        <f>4340/D7</f>
        <v>4.34</v>
      </c>
      <c r="L7" s="7">
        <f>1520/D7</f>
        <v>1.52</v>
      </c>
      <c r="M7" s="14" t="s">
        <v>3</v>
      </c>
      <c r="N7" s="7">
        <f>3.47/D7*1000</f>
        <v>3.47</v>
      </c>
      <c r="O7" s="14">
        <f>310/D7*1000</f>
        <v>310</v>
      </c>
      <c r="P7" s="14">
        <f>17.1/D7*1000</f>
        <v>17.100000000000001</v>
      </c>
      <c r="Q7" s="14">
        <f>137000/D7</f>
        <v>137</v>
      </c>
      <c r="R7" s="1">
        <f>176000/D7</f>
        <v>176</v>
      </c>
      <c r="S7" s="14">
        <f>7100000/D7</f>
        <v>7100</v>
      </c>
      <c r="T7" s="1">
        <f>27000/D7</f>
        <v>27</v>
      </c>
      <c r="U7" s="14">
        <f>145000/D7</f>
        <v>145</v>
      </c>
      <c r="V7" s="14">
        <f>1310000/D7</f>
        <v>1310</v>
      </c>
      <c r="W7" s="14">
        <f>0.958*10^6/D7</f>
        <v>958</v>
      </c>
      <c r="X7" s="1" t="s">
        <v>3</v>
      </c>
    </row>
    <row r="8" spans="1:24" x14ac:dyDescent="0.25">
      <c r="U8" s="7"/>
      <c r="W8" s="14"/>
    </row>
    <row r="9" spans="1:24" x14ac:dyDescent="0.25">
      <c r="E9" s="14"/>
      <c r="F9" s="14"/>
      <c r="G9" s="14"/>
      <c r="H9" s="14"/>
      <c r="I9" s="14"/>
      <c r="J9" s="14"/>
      <c r="K9" s="14"/>
      <c r="L9" s="14"/>
      <c r="M9" s="14"/>
      <c r="N9" s="14"/>
      <c r="O9" s="14"/>
      <c r="P9" s="14"/>
      <c r="Q9" s="14"/>
      <c r="R9" s="14"/>
      <c r="S9" s="14"/>
      <c r="T9" s="14"/>
      <c r="U9" s="14"/>
      <c r="V9" s="14"/>
      <c r="W9" s="14"/>
    </row>
    <row r="10" spans="1:24" x14ac:dyDescent="0.25">
      <c r="E10" s="14"/>
      <c r="F10" s="14"/>
      <c r="G10" s="14"/>
      <c r="H10" s="14"/>
      <c r="I10" s="14"/>
      <c r="J10" s="14"/>
      <c r="K10" s="14"/>
      <c r="L10" s="14"/>
      <c r="M10" s="14"/>
      <c r="N10" s="14"/>
      <c r="O10" s="14"/>
      <c r="P10" s="14"/>
      <c r="Q10" s="14"/>
      <c r="R10" s="14"/>
      <c r="S10" s="14"/>
      <c r="T10" s="14"/>
      <c r="U10" s="14"/>
      <c r="V10" s="14"/>
      <c r="W10" s="14"/>
    </row>
    <row r="11" spans="1:24" x14ac:dyDescent="0.25">
      <c r="E11" s="14"/>
      <c r="F11" s="14"/>
      <c r="G11" s="14"/>
      <c r="H11" s="14"/>
      <c r="I11" s="14"/>
      <c r="J11" s="14"/>
      <c r="K11" s="14"/>
      <c r="L11" s="14"/>
      <c r="M11" s="14"/>
      <c r="N11" s="14"/>
      <c r="O11" s="14"/>
      <c r="P11" s="14"/>
      <c r="Q11" s="14"/>
      <c r="R11" s="14"/>
      <c r="S11" s="14"/>
      <c r="T11" s="14"/>
      <c r="U11" s="14"/>
      <c r="V11" s="14"/>
      <c r="W11" s="1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54CE4-21AF-4C4B-8D37-09F63F9EA57D}">
  <sheetPr>
    <tabColor rgb="FFA2D5F4"/>
  </sheetPr>
  <dimension ref="A1:U22"/>
  <sheetViews>
    <sheetView zoomScaleNormal="100" workbookViewId="0">
      <pane xSplit="5" ySplit="1" topLeftCell="F2" activePane="bottomRight" state="frozen"/>
      <selection pane="topRight" activeCell="H1" sqref="H1"/>
      <selection pane="bottomLeft" activeCell="A2" sqref="A2"/>
      <selection pane="bottomRight" activeCell="E23" sqref="E23"/>
    </sheetView>
  </sheetViews>
  <sheetFormatPr defaultRowHeight="15" x14ac:dyDescent="0.25"/>
  <cols>
    <col min="1" max="1" width="18" bestFit="1" customWidth="1"/>
    <col min="2" max="2" width="11.28515625" bestFit="1" customWidth="1"/>
    <col min="3" max="3" width="11" bestFit="1" customWidth="1"/>
    <col min="4" max="4" width="10" bestFit="1" customWidth="1"/>
    <col min="5" max="5" width="10.140625" bestFit="1" customWidth="1"/>
    <col min="6" max="6" width="32.140625" bestFit="1" customWidth="1"/>
    <col min="7" max="7" width="18.42578125" bestFit="1" customWidth="1"/>
    <col min="8" max="8" width="19.7109375" bestFit="1" customWidth="1"/>
    <col min="9" max="10" width="16.7109375" bestFit="1" customWidth="1"/>
    <col min="11" max="11" width="22" bestFit="1" customWidth="1"/>
    <col min="12" max="12" width="19" bestFit="1" customWidth="1"/>
    <col min="13" max="13" width="18.7109375" bestFit="1" customWidth="1"/>
    <col min="14" max="14" width="16.140625" bestFit="1" customWidth="1"/>
    <col min="15" max="15" width="17" bestFit="1" customWidth="1"/>
    <col min="16" max="16" width="20" bestFit="1" customWidth="1"/>
    <col min="17" max="17" width="21.7109375" bestFit="1" customWidth="1"/>
    <col min="18" max="18" width="20.28515625" bestFit="1" customWidth="1"/>
    <col min="19" max="19" width="21.5703125" bestFit="1" customWidth="1"/>
    <col min="20" max="20" width="19.5703125" bestFit="1" customWidth="1"/>
    <col min="21" max="21" width="160.28515625" style="62" customWidth="1"/>
  </cols>
  <sheetData>
    <row r="1" spans="1:21" s="4" customFormat="1" x14ac:dyDescent="0.25">
      <c r="A1" s="3" t="s">
        <v>7</v>
      </c>
      <c r="B1" s="3" t="s">
        <v>4</v>
      </c>
      <c r="C1" s="3" t="s">
        <v>5</v>
      </c>
      <c r="D1" s="3" t="s">
        <v>324</v>
      </c>
      <c r="E1" s="3" t="s">
        <v>51</v>
      </c>
      <c r="F1" s="3" t="s">
        <v>387</v>
      </c>
      <c r="G1" s="3" t="s">
        <v>390</v>
      </c>
      <c r="H1" s="3" t="s">
        <v>391</v>
      </c>
      <c r="I1" s="3" t="s">
        <v>396</v>
      </c>
      <c r="J1" s="3" t="s">
        <v>398</v>
      </c>
      <c r="K1" s="3" t="s">
        <v>400</v>
      </c>
      <c r="L1" s="3" t="s">
        <v>456</v>
      </c>
      <c r="M1" s="3" t="s">
        <v>401</v>
      </c>
      <c r="N1" s="60" t="s">
        <v>402</v>
      </c>
      <c r="O1" s="3" t="s">
        <v>406</v>
      </c>
      <c r="P1" s="3" t="s">
        <v>408</v>
      </c>
      <c r="Q1" s="3" t="s">
        <v>412</v>
      </c>
      <c r="R1" s="3" t="s">
        <v>414</v>
      </c>
      <c r="S1" s="3" t="s">
        <v>415</v>
      </c>
      <c r="T1" s="3" t="s">
        <v>421</v>
      </c>
      <c r="U1" s="4" t="s">
        <v>14</v>
      </c>
    </row>
    <row r="2" spans="1:21" s="1" customFormat="1" x14ac:dyDescent="0.25">
      <c r="A2" s="1" t="s">
        <v>126</v>
      </c>
      <c r="B2" s="1">
        <v>2018</v>
      </c>
      <c r="C2" s="1" t="s">
        <v>123</v>
      </c>
      <c r="D2" s="1">
        <v>1</v>
      </c>
      <c r="E2" s="1">
        <v>2</v>
      </c>
      <c r="F2" s="14">
        <v>49.32</v>
      </c>
      <c r="G2" s="7">
        <v>0.39950000000000008</v>
      </c>
      <c r="H2" s="1" t="s">
        <v>3</v>
      </c>
      <c r="I2" s="14">
        <v>913.3</v>
      </c>
      <c r="J2" s="1" t="s">
        <v>3</v>
      </c>
      <c r="K2" s="1" t="s">
        <v>3</v>
      </c>
      <c r="L2" s="7">
        <f>190/1000</f>
        <v>0.19</v>
      </c>
      <c r="M2" s="1" t="s">
        <v>3</v>
      </c>
      <c r="N2" s="7">
        <v>5.8250000000000002</v>
      </c>
      <c r="O2" s="14">
        <v>21.465</v>
      </c>
      <c r="P2" s="1" t="s">
        <v>3</v>
      </c>
      <c r="Q2" s="1" t="s">
        <v>3</v>
      </c>
      <c r="R2" s="1" t="s">
        <v>3</v>
      </c>
      <c r="S2" s="1" t="s">
        <v>3</v>
      </c>
      <c r="T2" s="1" t="s">
        <v>3</v>
      </c>
      <c r="U2" s="1" t="s">
        <v>3</v>
      </c>
    </row>
    <row r="3" spans="1:21" s="1" customFormat="1" x14ac:dyDescent="0.25">
      <c r="A3" s="1" t="s">
        <v>126</v>
      </c>
      <c r="B3" s="1">
        <v>2018</v>
      </c>
      <c r="C3" s="1" t="s">
        <v>124</v>
      </c>
      <c r="D3" s="1">
        <v>1</v>
      </c>
      <c r="E3" s="1">
        <v>2</v>
      </c>
      <c r="F3" s="14">
        <v>16.774999999999999</v>
      </c>
      <c r="G3" s="7">
        <v>0.13500000000000001</v>
      </c>
      <c r="H3" s="1" t="s">
        <v>3</v>
      </c>
      <c r="I3" s="14">
        <v>359.4</v>
      </c>
      <c r="J3" s="1" t="s">
        <v>3</v>
      </c>
      <c r="K3" s="1" t="s">
        <v>3</v>
      </c>
      <c r="L3" s="6">
        <f>49.05/1000</f>
        <v>4.9049999999999996E-2</v>
      </c>
      <c r="M3" s="1" t="s">
        <v>3</v>
      </c>
      <c r="N3" s="7">
        <v>0.50350000000000006</v>
      </c>
      <c r="O3" s="14">
        <v>10.163019999999999</v>
      </c>
      <c r="P3" s="1" t="s">
        <v>3</v>
      </c>
      <c r="Q3" s="1" t="s">
        <v>3</v>
      </c>
      <c r="R3" s="1" t="s">
        <v>3</v>
      </c>
      <c r="S3" s="1" t="s">
        <v>3</v>
      </c>
      <c r="T3" s="1" t="s">
        <v>3</v>
      </c>
      <c r="U3" s="1" t="s">
        <v>3</v>
      </c>
    </row>
    <row r="4" spans="1:21" s="1" customFormat="1" x14ac:dyDescent="0.25">
      <c r="A4" s="1" t="s">
        <v>126</v>
      </c>
      <c r="B4" s="1">
        <v>2018</v>
      </c>
      <c r="C4" s="1" t="s">
        <v>123</v>
      </c>
      <c r="D4" s="1">
        <v>1</v>
      </c>
      <c r="E4" s="1">
        <v>8</v>
      </c>
      <c r="F4" s="14">
        <v>45.28125</v>
      </c>
      <c r="G4" s="7">
        <v>0.40474999999999994</v>
      </c>
      <c r="H4" s="1" t="s">
        <v>3</v>
      </c>
      <c r="I4" s="14">
        <v>819.57500000000005</v>
      </c>
      <c r="J4" s="1" t="s">
        <v>3</v>
      </c>
      <c r="K4" s="1" t="s">
        <v>3</v>
      </c>
      <c r="L4" s="7">
        <f>185/1000</f>
        <v>0.185</v>
      </c>
      <c r="M4" s="1" t="s">
        <v>3</v>
      </c>
      <c r="N4" s="7">
        <v>9.1050000000000022</v>
      </c>
      <c r="O4" s="14">
        <v>17.643750000000001</v>
      </c>
      <c r="P4" s="1" t="s">
        <v>3</v>
      </c>
      <c r="Q4" s="1" t="s">
        <v>3</v>
      </c>
      <c r="R4" s="1" t="s">
        <v>3</v>
      </c>
      <c r="S4" s="1" t="s">
        <v>3</v>
      </c>
      <c r="T4" s="1" t="s">
        <v>3</v>
      </c>
      <c r="U4" s="1" t="s">
        <v>3</v>
      </c>
    </row>
    <row r="5" spans="1:21" s="1" customFormat="1" x14ac:dyDescent="0.25">
      <c r="A5" s="1" t="s">
        <v>126</v>
      </c>
      <c r="B5" s="1">
        <v>2018</v>
      </c>
      <c r="C5" s="1" t="s">
        <v>124</v>
      </c>
      <c r="D5" s="1">
        <v>1</v>
      </c>
      <c r="E5" s="1">
        <v>8</v>
      </c>
      <c r="F5" s="14">
        <v>15.033749999999998</v>
      </c>
      <c r="G5" s="7">
        <v>0.19625000000000001</v>
      </c>
      <c r="H5" s="1" t="s">
        <v>3</v>
      </c>
      <c r="I5" s="14">
        <v>325.63749999999999</v>
      </c>
      <c r="J5" s="1" t="s">
        <v>3</v>
      </c>
      <c r="K5" s="1" t="s">
        <v>3</v>
      </c>
      <c r="L5" s="7">
        <f>77.5/1000</f>
        <v>7.7499999999999999E-2</v>
      </c>
      <c r="M5" s="1" t="s">
        <v>3</v>
      </c>
      <c r="N5" s="7">
        <v>0.31375000000000003</v>
      </c>
      <c r="O5" s="14">
        <v>8.843</v>
      </c>
      <c r="P5" s="1" t="s">
        <v>3</v>
      </c>
      <c r="Q5" s="1" t="s">
        <v>3</v>
      </c>
      <c r="R5" s="1" t="s">
        <v>3</v>
      </c>
      <c r="S5" s="1" t="s">
        <v>3</v>
      </c>
      <c r="T5" s="1" t="s">
        <v>3</v>
      </c>
      <c r="U5" s="1" t="s">
        <v>3</v>
      </c>
    </row>
    <row r="6" spans="1:21" s="1" customFormat="1" x14ac:dyDescent="0.25">
      <c r="A6" s="1" t="s">
        <v>126</v>
      </c>
      <c r="B6" s="1">
        <v>2018</v>
      </c>
      <c r="C6" s="1" t="s">
        <v>123</v>
      </c>
      <c r="D6" s="1">
        <v>5</v>
      </c>
      <c r="E6" s="1">
        <v>2</v>
      </c>
      <c r="F6" s="14">
        <v>53.585000000000001</v>
      </c>
      <c r="G6" s="7">
        <v>0.42030000000000001</v>
      </c>
      <c r="H6" s="1" t="s">
        <v>3</v>
      </c>
      <c r="I6" s="14">
        <v>847.36</v>
      </c>
      <c r="J6" s="1" t="s">
        <v>3</v>
      </c>
      <c r="K6" s="1" t="s">
        <v>3</v>
      </c>
      <c r="L6" s="7">
        <f>219/1000</f>
        <v>0.219</v>
      </c>
      <c r="M6" s="1" t="s">
        <v>3</v>
      </c>
      <c r="N6" s="14">
        <v>10.370000000000001</v>
      </c>
      <c r="O6" s="14">
        <v>26.164000000000001</v>
      </c>
      <c r="P6" s="1" t="s">
        <v>3</v>
      </c>
      <c r="Q6" s="1" t="s">
        <v>3</v>
      </c>
      <c r="R6" s="1" t="s">
        <v>3</v>
      </c>
      <c r="S6" s="1" t="s">
        <v>3</v>
      </c>
      <c r="T6" s="1" t="s">
        <v>3</v>
      </c>
      <c r="U6" s="1" t="s">
        <v>3</v>
      </c>
    </row>
    <row r="7" spans="1:21" s="1" customFormat="1" x14ac:dyDescent="0.25">
      <c r="A7" s="1" t="s">
        <v>126</v>
      </c>
      <c r="B7" s="1">
        <v>2018</v>
      </c>
      <c r="C7" s="1" t="s">
        <v>124</v>
      </c>
      <c r="D7" s="1">
        <v>5</v>
      </c>
      <c r="E7" s="1">
        <v>2</v>
      </c>
      <c r="F7" s="14">
        <v>15.372999999999999</v>
      </c>
      <c r="G7" s="7">
        <v>0.29700000000000004</v>
      </c>
      <c r="H7" s="1" t="s">
        <v>3</v>
      </c>
      <c r="I7" s="14">
        <v>357.13</v>
      </c>
      <c r="J7" s="1" t="s">
        <v>3</v>
      </c>
      <c r="K7" s="1" t="s">
        <v>3</v>
      </c>
      <c r="L7" s="7">
        <f>47/1000</f>
        <v>4.7E-2</v>
      </c>
      <c r="M7" s="1" t="s">
        <v>3</v>
      </c>
      <c r="N7" s="7">
        <v>9.1776</v>
      </c>
      <c r="O7" s="14">
        <v>7.2910000000000003E-2</v>
      </c>
      <c r="P7" s="1" t="s">
        <v>3</v>
      </c>
      <c r="Q7" s="1" t="s">
        <v>3</v>
      </c>
      <c r="R7" s="1" t="s">
        <v>3</v>
      </c>
      <c r="S7" s="1" t="s">
        <v>3</v>
      </c>
      <c r="T7" s="1" t="s">
        <v>3</v>
      </c>
      <c r="U7" s="1" t="s">
        <v>3</v>
      </c>
    </row>
    <row r="8" spans="1:21" s="1" customFormat="1" x14ac:dyDescent="0.25">
      <c r="A8" s="1" t="s">
        <v>126</v>
      </c>
      <c r="B8" s="1">
        <v>2018</v>
      </c>
      <c r="C8" s="1" t="s">
        <v>125</v>
      </c>
      <c r="D8" s="1">
        <v>5</v>
      </c>
      <c r="E8" s="1">
        <v>2</v>
      </c>
      <c r="F8" s="14">
        <v>195.13299999999998</v>
      </c>
      <c r="G8" s="14">
        <v>38.510178000000003</v>
      </c>
      <c r="H8" s="1" t="s">
        <v>3</v>
      </c>
      <c r="I8" s="14">
        <v>2620.62</v>
      </c>
      <c r="J8" s="1" t="s">
        <v>3</v>
      </c>
      <c r="K8" s="1" t="s">
        <v>3</v>
      </c>
      <c r="L8" s="7">
        <f>1211/1000</f>
        <v>1.2110000000000001</v>
      </c>
      <c r="M8" s="1" t="s">
        <v>3</v>
      </c>
      <c r="N8" s="14">
        <v>103.58500000000001</v>
      </c>
      <c r="O8" s="14">
        <v>25.360790000000005</v>
      </c>
      <c r="P8" s="1" t="s">
        <v>3</v>
      </c>
      <c r="Q8" s="1" t="s">
        <v>3</v>
      </c>
      <c r="R8" s="1" t="s">
        <v>3</v>
      </c>
      <c r="S8" s="1" t="s">
        <v>3</v>
      </c>
      <c r="T8" s="1" t="s">
        <v>3</v>
      </c>
      <c r="U8" s="1" t="s">
        <v>3</v>
      </c>
    </row>
    <row r="9" spans="1:21" s="1" customFormat="1" x14ac:dyDescent="0.25">
      <c r="A9" s="1" t="s">
        <v>126</v>
      </c>
      <c r="B9" s="1">
        <v>2018</v>
      </c>
      <c r="C9" s="1" t="s">
        <v>125</v>
      </c>
      <c r="D9" s="1">
        <v>1</v>
      </c>
      <c r="E9" s="1">
        <v>8</v>
      </c>
      <c r="F9" s="14">
        <v>193.16625000000002</v>
      </c>
      <c r="G9" s="14">
        <v>37.870222500000004</v>
      </c>
      <c r="H9" s="1" t="s">
        <v>3</v>
      </c>
      <c r="I9" s="14">
        <v>2584.4</v>
      </c>
      <c r="J9" s="1" t="s">
        <v>3</v>
      </c>
      <c r="K9" s="1" t="s">
        <v>3</v>
      </c>
      <c r="L9" s="7">
        <f>1212.5/1000</f>
        <v>1.2124999999999999</v>
      </c>
      <c r="M9" s="1" t="s">
        <v>3</v>
      </c>
      <c r="N9" s="14">
        <v>102.85625000000002</v>
      </c>
      <c r="O9" s="14">
        <v>15.688487500000001</v>
      </c>
      <c r="P9" s="1" t="s">
        <v>3</v>
      </c>
      <c r="Q9" s="1" t="s">
        <v>3</v>
      </c>
      <c r="R9" s="1" t="s">
        <v>3</v>
      </c>
      <c r="S9" s="1" t="s">
        <v>3</v>
      </c>
      <c r="T9" s="1" t="s">
        <v>3</v>
      </c>
      <c r="U9" s="1" t="s">
        <v>3</v>
      </c>
    </row>
    <row r="10" spans="1:21" s="1" customFormat="1" x14ac:dyDescent="0.25">
      <c r="A10" s="1" t="s">
        <v>126</v>
      </c>
      <c r="B10" s="1">
        <v>2018</v>
      </c>
      <c r="C10" s="1" t="s">
        <v>125</v>
      </c>
      <c r="D10" s="1">
        <v>1</v>
      </c>
      <c r="E10" s="1">
        <v>2</v>
      </c>
      <c r="F10" s="14">
        <v>240.5</v>
      </c>
      <c r="G10" s="14">
        <v>59.655890000000007</v>
      </c>
      <c r="H10" s="1" t="s">
        <v>3</v>
      </c>
      <c r="I10" s="14">
        <v>3384.1</v>
      </c>
      <c r="J10" s="1" t="s">
        <v>3</v>
      </c>
      <c r="K10" s="1" t="s">
        <v>3</v>
      </c>
      <c r="L10" s="7">
        <f>1570/1000</f>
        <v>1.57</v>
      </c>
      <c r="M10" s="1" t="s">
        <v>3</v>
      </c>
      <c r="N10" s="14">
        <v>70.625000000000014</v>
      </c>
      <c r="O10" s="14">
        <v>26.353950000000001</v>
      </c>
      <c r="P10" s="1" t="s">
        <v>3</v>
      </c>
      <c r="Q10" s="1" t="s">
        <v>3</v>
      </c>
      <c r="R10" s="1" t="s">
        <v>3</v>
      </c>
      <c r="S10" s="1" t="s">
        <v>3</v>
      </c>
      <c r="T10" s="1" t="s">
        <v>3</v>
      </c>
      <c r="U10" s="1" t="s">
        <v>3</v>
      </c>
    </row>
    <row r="11" spans="1:21" s="1" customFormat="1" x14ac:dyDescent="0.25">
      <c r="A11" s="1" t="s">
        <v>128</v>
      </c>
      <c r="B11" s="1">
        <v>2023</v>
      </c>
      <c r="C11" s="1" t="s">
        <v>123</v>
      </c>
      <c r="D11" s="1" t="s">
        <v>3</v>
      </c>
      <c r="E11" s="1">
        <v>240</v>
      </c>
      <c r="F11" s="14">
        <f>6280/E11</f>
        <v>26.166666666666668</v>
      </c>
      <c r="G11" s="7" t="s">
        <v>3</v>
      </c>
      <c r="H11" s="1" t="s">
        <v>3</v>
      </c>
      <c r="I11" s="7" t="s">
        <v>3</v>
      </c>
      <c r="J11" s="1" t="s">
        <v>3</v>
      </c>
      <c r="K11" s="6" t="s">
        <v>3</v>
      </c>
      <c r="L11" s="7" t="s">
        <v>3</v>
      </c>
      <c r="M11" s="13" t="s">
        <v>3</v>
      </c>
      <c r="N11" s="14" t="s">
        <v>3</v>
      </c>
      <c r="O11" s="14" t="s">
        <v>3</v>
      </c>
      <c r="P11" s="1" t="s">
        <v>3</v>
      </c>
      <c r="Q11" s="1" t="s">
        <v>3</v>
      </c>
      <c r="R11" s="1" t="s">
        <v>3</v>
      </c>
      <c r="S11" s="1" t="s">
        <v>3</v>
      </c>
      <c r="T11" s="1" t="s">
        <v>3</v>
      </c>
      <c r="U11" s="1" t="s">
        <v>3</v>
      </c>
    </row>
    <row r="12" spans="1:21" s="1" customFormat="1" x14ac:dyDescent="0.25">
      <c r="A12" s="1" t="s">
        <v>128</v>
      </c>
      <c r="B12" s="1">
        <v>2023</v>
      </c>
      <c r="C12" s="1" t="s">
        <v>124</v>
      </c>
      <c r="D12" s="1" t="s">
        <v>3</v>
      </c>
      <c r="E12" s="1">
        <v>240</v>
      </c>
      <c r="F12" s="14">
        <f>4600/E12</f>
        <v>19.166666666666668</v>
      </c>
      <c r="G12" s="7" t="s">
        <v>3</v>
      </c>
      <c r="H12" s="1" t="s">
        <v>3</v>
      </c>
      <c r="I12" s="6" t="s">
        <v>3</v>
      </c>
      <c r="J12" s="1" t="s">
        <v>3</v>
      </c>
      <c r="K12" s="6" t="s">
        <v>3</v>
      </c>
      <c r="L12" s="7" t="s">
        <v>3</v>
      </c>
      <c r="M12" s="13" t="s">
        <v>3</v>
      </c>
      <c r="N12" s="14" t="s">
        <v>3</v>
      </c>
      <c r="O12" s="14" t="s">
        <v>3</v>
      </c>
      <c r="P12" s="1" t="s">
        <v>3</v>
      </c>
      <c r="Q12" s="1" t="s">
        <v>3</v>
      </c>
      <c r="R12" s="1" t="s">
        <v>3</v>
      </c>
      <c r="S12" s="1" t="s">
        <v>3</v>
      </c>
      <c r="T12" s="1" t="s">
        <v>3</v>
      </c>
      <c r="U12" s="1" t="s">
        <v>3</v>
      </c>
    </row>
    <row r="13" spans="1:21" s="1" customFormat="1" x14ac:dyDescent="0.25">
      <c r="A13" s="1" t="s">
        <v>128</v>
      </c>
      <c r="B13" s="1">
        <v>2023</v>
      </c>
      <c r="C13" s="1" t="s">
        <v>132</v>
      </c>
      <c r="D13" s="1" t="s">
        <v>3</v>
      </c>
      <c r="E13" s="1">
        <v>240</v>
      </c>
      <c r="F13" s="14">
        <f>3060/E13</f>
        <v>12.75</v>
      </c>
      <c r="G13" s="7" t="s">
        <v>3</v>
      </c>
      <c r="H13" s="1" t="s">
        <v>3</v>
      </c>
      <c r="I13" s="6" t="s">
        <v>3</v>
      </c>
      <c r="J13" s="1" t="s">
        <v>3</v>
      </c>
      <c r="K13" s="6" t="s">
        <v>3</v>
      </c>
      <c r="L13" s="7" t="s">
        <v>3</v>
      </c>
      <c r="M13" s="13" t="s">
        <v>3</v>
      </c>
      <c r="N13" s="14" t="s">
        <v>3</v>
      </c>
      <c r="O13" s="14" t="s">
        <v>3</v>
      </c>
      <c r="P13" s="1" t="s">
        <v>3</v>
      </c>
      <c r="Q13" s="1" t="s">
        <v>3</v>
      </c>
      <c r="R13" s="1" t="s">
        <v>3</v>
      </c>
      <c r="S13" s="1" t="s">
        <v>3</v>
      </c>
      <c r="T13" s="1" t="s">
        <v>3</v>
      </c>
      <c r="U13" s="1" t="s">
        <v>454</v>
      </c>
    </row>
    <row r="14" spans="1:21" s="1" customFormat="1" x14ac:dyDescent="0.25">
      <c r="A14" s="1" t="s">
        <v>130</v>
      </c>
      <c r="B14" s="1">
        <v>2022</v>
      </c>
      <c r="C14" s="1" t="s">
        <v>124</v>
      </c>
      <c r="D14" s="1" t="s">
        <v>3</v>
      </c>
      <c r="E14" s="1">
        <v>2700</v>
      </c>
      <c r="F14" s="14">
        <f>(0.189+0.0122)*3650*80/E14</f>
        <v>21.759407407407409</v>
      </c>
      <c r="G14" s="7" t="s">
        <v>3</v>
      </c>
      <c r="H14" s="7">
        <f>0.00507*80*3650/E14</f>
        <v>0.54831111111111108</v>
      </c>
      <c r="I14" s="1" t="s">
        <v>3</v>
      </c>
      <c r="J14" s="1" t="s">
        <v>3</v>
      </c>
      <c r="K14" s="6">
        <f>0.000386*80*3650/E14</f>
        <v>4.1745185185185184E-2</v>
      </c>
      <c r="L14" s="7" t="s">
        <v>3</v>
      </c>
      <c r="M14" s="7">
        <f>0.000877*80*3650/E14</f>
        <v>9.4845925925925931E-2</v>
      </c>
      <c r="N14" s="14" t="s">
        <v>3</v>
      </c>
      <c r="O14" s="14" t="s">
        <v>3</v>
      </c>
      <c r="P14" s="1" t="s">
        <v>3</v>
      </c>
      <c r="Q14" s="1" t="s">
        <v>3</v>
      </c>
      <c r="R14" s="1" t="s">
        <v>3</v>
      </c>
      <c r="S14" s="1" t="s">
        <v>3</v>
      </c>
      <c r="T14" s="1" t="s">
        <v>3</v>
      </c>
      <c r="U14" s="1" t="s">
        <v>453</v>
      </c>
    </row>
    <row r="15" spans="1:21" s="1" customFormat="1" x14ac:dyDescent="0.25">
      <c r="A15" s="1" t="s">
        <v>130</v>
      </c>
      <c r="B15" s="1">
        <v>2022</v>
      </c>
      <c r="C15" s="1" t="s">
        <v>132</v>
      </c>
      <c r="D15" s="1" t="s">
        <v>3</v>
      </c>
      <c r="E15" s="1">
        <v>2700</v>
      </c>
      <c r="F15" s="14">
        <f>(0.0202+0.000222)*3650*80/E15</f>
        <v>2.2086014814814816</v>
      </c>
      <c r="G15" s="7" t="s">
        <v>3</v>
      </c>
      <c r="H15" s="7">
        <f t="shared" ref="H15:H16" si="0">0.00507*80*3650/E15</f>
        <v>0.54831111111111108</v>
      </c>
      <c r="I15" s="1" t="s">
        <v>3</v>
      </c>
      <c r="J15" s="1" t="s">
        <v>3</v>
      </c>
      <c r="K15" s="6">
        <f>0.000368*80*3650/E15</f>
        <v>3.9798518518518518E-2</v>
      </c>
      <c r="L15" s="7" t="s">
        <v>3</v>
      </c>
      <c r="M15" s="7">
        <f>0.000732*80*3650/E15</f>
        <v>7.916444444444444E-2</v>
      </c>
      <c r="N15" s="14" t="s">
        <v>3</v>
      </c>
      <c r="O15" s="14" t="s">
        <v>3</v>
      </c>
      <c r="P15" s="1" t="s">
        <v>3</v>
      </c>
      <c r="Q15" s="1" t="s">
        <v>3</v>
      </c>
      <c r="R15" s="1" t="s">
        <v>3</v>
      </c>
      <c r="S15" s="1" t="s">
        <v>3</v>
      </c>
      <c r="T15" s="1" t="s">
        <v>3</v>
      </c>
      <c r="U15" s="1" t="s">
        <v>3</v>
      </c>
    </row>
    <row r="16" spans="1:21" s="1" customFormat="1" x14ac:dyDescent="0.25">
      <c r="A16" s="1" t="s">
        <v>130</v>
      </c>
      <c r="B16" s="1">
        <v>2022</v>
      </c>
      <c r="C16" s="1" t="s">
        <v>133</v>
      </c>
      <c r="D16" s="1" t="s">
        <v>3</v>
      </c>
      <c r="E16" s="1">
        <v>2700</v>
      </c>
      <c r="F16" s="14">
        <f t="shared" ref="F16" si="1">(0.189+0.0122)*3650*80/E16</f>
        <v>21.759407407407409</v>
      </c>
      <c r="G16" s="7" t="s">
        <v>3</v>
      </c>
      <c r="H16" s="7">
        <f t="shared" si="0"/>
        <v>0.54831111111111108</v>
      </c>
      <c r="I16" s="1" t="s">
        <v>3</v>
      </c>
      <c r="J16" s="1" t="s">
        <v>3</v>
      </c>
      <c r="K16" s="6">
        <f>0.00033*80*3650/E16</f>
        <v>3.5688888888888888E-2</v>
      </c>
      <c r="L16" s="7" t="s">
        <v>3</v>
      </c>
      <c r="M16" s="7">
        <f>0.000647*80*3650/E16</f>
        <v>6.9971851851851855E-2</v>
      </c>
      <c r="N16" s="14" t="s">
        <v>3</v>
      </c>
      <c r="O16" s="14" t="s">
        <v>3</v>
      </c>
      <c r="P16" s="1" t="s">
        <v>3</v>
      </c>
      <c r="Q16" s="1" t="s">
        <v>3</v>
      </c>
      <c r="R16" s="1" t="s">
        <v>3</v>
      </c>
      <c r="S16" s="1" t="s">
        <v>3</v>
      </c>
      <c r="T16" s="1" t="s">
        <v>3</v>
      </c>
      <c r="U16" s="1" t="s">
        <v>3</v>
      </c>
    </row>
    <row r="17" spans="1:21" s="1" customFormat="1" x14ac:dyDescent="0.25">
      <c r="A17" s="1" t="s">
        <v>134</v>
      </c>
      <c r="B17" s="1">
        <v>2024</v>
      </c>
      <c r="C17" s="1" t="s">
        <v>133</v>
      </c>
      <c r="D17" s="1" t="s">
        <v>3</v>
      </c>
      <c r="E17" s="14">
        <f>342465*33.33</f>
        <v>11414358.449999999</v>
      </c>
      <c r="F17" s="14">
        <f>0.16*10^9/E17</f>
        <v>14.017432578525691</v>
      </c>
      <c r="G17" s="7">
        <f>0.0045*10^9/E17</f>
        <v>0.39424029127103505</v>
      </c>
      <c r="H17" s="1" t="s">
        <v>3</v>
      </c>
      <c r="I17" s="14">
        <f>20*10^9/E17</f>
        <v>1752.1790723157114</v>
      </c>
      <c r="J17" s="7">
        <f>2.5*10^9/E17*0.02</f>
        <v>4.3804476807892785</v>
      </c>
      <c r="K17" s="1" t="s">
        <v>3</v>
      </c>
      <c r="L17" s="7">
        <f>0.012*10^9/E17</f>
        <v>1.0513074433894267</v>
      </c>
      <c r="M17" s="13" t="s">
        <v>3</v>
      </c>
      <c r="N17" s="14">
        <f>1.25*10^9/E17</f>
        <v>109.51119201973196</v>
      </c>
      <c r="O17" s="14">
        <f>2*10^9/E17</f>
        <v>175.21790723157113</v>
      </c>
      <c r="P17" s="14">
        <f>12*10^9/E17</f>
        <v>1051.3074433894269</v>
      </c>
      <c r="Q17" s="14">
        <f>0.1*10^9/E17</f>
        <v>8.760895361578557</v>
      </c>
      <c r="R17" s="6">
        <f>0.0000000018*10^9/E17</f>
        <v>1.5769611650841404E-7</v>
      </c>
      <c r="S17" s="6">
        <f>0.0000000425*10^9/E17</f>
        <v>3.7233805286708868E-6</v>
      </c>
      <c r="T17" s="14">
        <f>0.00000025*10^9/E17*10^6</f>
        <v>21.902238403946392</v>
      </c>
      <c r="U17" s="1" t="s">
        <v>455</v>
      </c>
    </row>
    <row r="18" spans="1:21" s="1" customFormat="1" x14ac:dyDescent="0.25">
      <c r="A18" s="1" t="s">
        <v>134</v>
      </c>
      <c r="B18" s="1">
        <v>2024</v>
      </c>
      <c r="C18" s="1" t="s">
        <v>132</v>
      </c>
      <c r="D18" s="1" t="s">
        <v>3</v>
      </c>
      <c r="E18" s="14">
        <f>342465*33.33</f>
        <v>11414358.449999999</v>
      </c>
      <c r="F18" s="14">
        <f>0.42*10^9/E18</f>
        <v>36.79576051862994</v>
      </c>
      <c r="G18" s="7">
        <f>0.005*10^9/E18</f>
        <v>0.43804476807892784</v>
      </c>
      <c r="H18" s="1" t="s">
        <v>3</v>
      </c>
      <c r="I18" s="14">
        <f>15*10^9/E17</f>
        <v>1314.1343042367835</v>
      </c>
      <c r="J18" s="7">
        <f>2.1*10^9/E17*0.02</f>
        <v>3.6795760518629943</v>
      </c>
      <c r="K18" s="1" t="s">
        <v>3</v>
      </c>
      <c r="L18" s="7">
        <f>0.011*10^9/E18</f>
        <v>0.96369848977364125</v>
      </c>
      <c r="M18" s="13" t="s">
        <v>3</v>
      </c>
      <c r="N18" s="14">
        <f>1.15*10^9/E18</f>
        <v>100.7502966581534</v>
      </c>
      <c r="O18" s="14">
        <f>2.1*10^9/E18</f>
        <v>183.97880259314971</v>
      </c>
      <c r="P18" s="14">
        <f>11*10^9/E18</f>
        <v>963.69848977364131</v>
      </c>
      <c r="Q18" s="14">
        <f>0.11*10^9/E18</f>
        <v>9.6369848977364132</v>
      </c>
      <c r="R18" s="6">
        <f>0.0000000022*10^9/E18</f>
        <v>1.9273969795472824E-7</v>
      </c>
      <c r="S18" s="6">
        <f>0.000000049*10^9/E18</f>
        <v>4.2928387271734929E-6</v>
      </c>
      <c r="T18" s="14">
        <f>0.0000004*10^9/E18*10^6</f>
        <v>35.043581446314228</v>
      </c>
      <c r="U18" s="1" t="s">
        <v>452</v>
      </c>
    </row>
    <row r="19" spans="1:21" x14ac:dyDescent="0.25">
      <c r="L19" s="16"/>
      <c r="U19" s="1"/>
    </row>
    <row r="20" spans="1:21" x14ac:dyDescent="0.25">
      <c r="F20" s="14"/>
      <c r="G20" s="14"/>
      <c r="H20" s="14"/>
      <c r="I20" s="14"/>
      <c r="J20" s="14"/>
      <c r="K20" s="14"/>
      <c r="L20" s="14"/>
      <c r="M20" s="14"/>
      <c r="N20" s="14"/>
      <c r="O20" s="14"/>
      <c r="P20" s="14"/>
      <c r="Q20" s="14"/>
      <c r="R20" s="14"/>
      <c r="S20" s="14"/>
      <c r="T20" s="14"/>
    </row>
    <row r="21" spans="1:21" x14ac:dyDescent="0.25">
      <c r="F21" s="14"/>
      <c r="G21" s="14"/>
      <c r="H21" s="14"/>
      <c r="I21" s="14"/>
      <c r="J21" s="14"/>
      <c r="K21" s="14"/>
      <c r="L21" s="14"/>
      <c r="M21" s="14"/>
      <c r="N21" s="14"/>
      <c r="O21" s="14"/>
      <c r="P21" s="14"/>
      <c r="Q21" s="14"/>
      <c r="R21" s="14"/>
      <c r="S21" s="14"/>
      <c r="T21" s="14"/>
    </row>
    <row r="22" spans="1:21" x14ac:dyDescent="0.25">
      <c r="F22" s="14"/>
      <c r="G22" s="14"/>
      <c r="H22" s="14"/>
      <c r="I22" s="14"/>
      <c r="J22" s="14"/>
      <c r="K22" s="14"/>
      <c r="L22" s="14"/>
      <c r="M22" s="14"/>
      <c r="N22" s="14"/>
      <c r="O22" s="14"/>
      <c r="P22" s="14"/>
      <c r="Q22" s="14"/>
      <c r="R22" s="14"/>
      <c r="S22" s="14"/>
      <c r="T22" s="14"/>
    </row>
  </sheetData>
  <phoneticPr fontId="1"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7EC40-FA80-4D60-8799-BF7498AA064E}">
  <sheetPr>
    <tabColor rgb="FFFECC90"/>
  </sheetPr>
  <dimension ref="A1:P15"/>
  <sheetViews>
    <sheetView zoomScaleNormal="100" workbookViewId="0">
      <pane xSplit="6" ySplit="1" topLeftCell="G2" activePane="bottomRight" state="frozen"/>
      <selection pane="topRight" activeCell="G1" sqref="G1"/>
      <selection pane="bottomLeft" activeCell="A2" sqref="A2"/>
      <selection pane="bottomRight" activeCell="G21" sqref="G21"/>
    </sheetView>
  </sheetViews>
  <sheetFormatPr defaultColWidth="9.140625" defaultRowHeight="15" x14ac:dyDescent="0.25"/>
  <cols>
    <col min="1" max="1" width="9.85546875" style="1" bestFit="1" customWidth="1"/>
    <col min="2" max="2" width="11.28515625" style="1" bestFit="1" customWidth="1"/>
    <col min="3" max="3" width="14.5703125" style="1" bestFit="1" customWidth="1"/>
    <col min="4" max="4" width="19.7109375" style="1" customWidth="1"/>
    <col min="5" max="5" width="14.85546875" style="1" bestFit="1" customWidth="1"/>
    <col min="6" max="6" width="10" style="1" bestFit="1" customWidth="1"/>
    <col min="7" max="7" width="42.5703125" style="1" bestFit="1" customWidth="1"/>
    <col min="8" max="8" width="42.7109375" style="1" bestFit="1" customWidth="1"/>
    <col min="9" max="9" width="35.28515625" style="1" customWidth="1"/>
    <col min="10" max="10" width="46.5703125" style="1" bestFit="1" customWidth="1"/>
    <col min="11" max="11" width="27" style="1" bestFit="1" customWidth="1"/>
    <col min="12" max="12" width="21.7109375" style="1" bestFit="1" customWidth="1"/>
    <col min="13" max="13" width="30" style="1" bestFit="1" customWidth="1"/>
    <col min="14" max="14" width="36.28515625" style="1" bestFit="1" customWidth="1"/>
    <col min="15" max="15" width="39.85546875" style="1" bestFit="1" customWidth="1"/>
    <col min="16" max="16" width="201" style="1" bestFit="1" customWidth="1"/>
    <col min="17" max="16384" width="9.140625" style="1"/>
  </cols>
  <sheetData>
    <row r="1" spans="1:16" s="4" customFormat="1" x14ac:dyDescent="0.25">
      <c r="A1" s="3" t="s">
        <v>7</v>
      </c>
      <c r="B1" s="3" t="s">
        <v>4</v>
      </c>
      <c r="C1" s="3" t="s">
        <v>5</v>
      </c>
      <c r="D1" s="3" t="s">
        <v>325</v>
      </c>
      <c r="E1" s="3" t="s">
        <v>324</v>
      </c>
      <c r="F1" s="20" t="s">
        <v>236</v>
      </c>
      <c r="G1" s="3" t="s">
        <v>345</v>
      </c>
      <c r="H1" s="3" t="s">
        <v>346</v>
      </c>
      <c r="I1" s="3" t="s">
        <v>347</v>
      </c>
      <c r="J1" s="3" t="s">
        <v>348</v>
      </c>
      <c r="K1" s="3" t="s">
        <v>349</v>
      </c>
      <c r="L1" s="3" t="s">
        <v>350</v>
      </c>
      <c r="M1" s="3" t="s">
        <v>354</v>
      </c>
      <c r="N1" s="60" t="s">
        <v>355</v>
      </c>
      <c r="O1" s="3" t="s">
        <v>360</v>
      </c>
      <c r="P1" s="4" t="s">
        <v>14</v>
      </c>
    </row>
    <row r="2" spans="1:16" ht="24.75" customHeight="1" x14ac:dyDescent="0.25">
      <c r="A2" s="1" t="s">
        <v>135</v>
      </c>
      <c r="B2" s="1">
        <v>2018</v>
      </c>
      <c r="C2" s="1" t="s">
        <v>142</v>
      </c>
      <c r="D2" s="1">
        <v>400</v>
      </c>
      <c r="E2" s="1">
        <v>106</v>
      </c>
      <c r="F2" s="1" t="s">
        <v>136</v>
      </c>
      <c r="G2" s="14">
        <f t="shared" ref="G2:G7" si="0">0.3/1000*13644000/E2*20</f>
        <v>772.30188679245271</v>
      </c>
      <c r="H2" s="14">
        <f>(2.2-0.3)*3600/1000</f>
        <v>6.8400000000000007</v>
      </c>
      <c r="I2" s="1" t="s">
        <v>3</v>
      </c>
      <c r="J2" s="1" t="s">
        <v>3</v>
      </c>
      <c r="K2" s="1" t="s">
        <v>3</v>
      </c>
      <c r="L2" s="1" t="s">
        <v>3</v>
      </c>
      <c r="M2" s="14">
        <f>(141-133)/10^6*13644000/E2*20</f>
        <v>20.594716981132073</v>
      </c>
      <c r="N2" s="14">
        <f>(19-17.1)*13644000/E2/1000*20</f>
        <v>4891.2452830188649</v>
      </c>
      <c r="O2" s="1" t="s">
        <v>3</v>
      </c>
      <c r="P2" s="1" t="s">
        <v>460</v>
      </c>
    </row>
    <row r="3" spans="1:16" x14ac:dyDescent="0.25">
      <c r="A3" s="1" t="s">
        <v>135</v>
      </c>
      <c r="B3" s="1">
        <v>2018</v>
      </c>
      <c r="C3" s="1" t="s">
        <v>145</v>
      </c>
      <c r="D3" s="1">
        <v>400</v>
      </c>
      <c r="E3" s="1">
        <v>106</v>
      </c>
      <c r="F3" s="1" t="s">
        <v>136</v>
      </c>
      <c r="G3" s="14">
        <f t="shared" si="0"/>
        <v>772.30188679245271</v>
      </c>
      <c r="H3" s="14">
        <f>(2.3-0.3)*3600/1000</f>
        <v>7.1999999999999993</v>
      </c>
      <c r="I3" s="1" t="s">
        <v>3</v>
      </c>
      <c r="J3" s="1" t="s">
        <v>3</v>
      </c>
      <c r="K3" s="1" t="s">
        <v>3</v>
      </c>
      <c r="L3" s="1" t="s">
        <v>3</v>
      </c>
      <c r="M3" s="14">
        <f>(136-128)/10^6*13644000/E3*20</f>
        <v>20.594716981132073</v>
      </c>
      <c r="N3" s="14">
        <f>(19-17.1)*13644000/E3/1000*20</f>
        <v>4891.2452830188649</v>
      </c>
      <c r="O3" s="1" t="s">
        <v>3</v>
      </c>
      <c r="P3" s="1" t="s">
        <v>137</v>
      </c>
    </row>
    <row r="4" spans="1:16" x14ac:dyDescent="0.25">
      <c r="A4" s="1" t="s">
        <v>135</v>
      </c>
      <c r="B4" s="1">
        <v>2018</v>
      </c>
      <c r="C4" s="1" t="s">
        <v>145</v>
      </c>
      <c r="D4" s="1">
        <v>400</v>
      </c>
      <c r="E4" s="1">
        <v>106</v>
      </c>
      <c r="F4" s="1" t="s">
        <v>136</v>
      </c>
      <c r="G4" s="14">
        <f t="shared" si="0"/>
        <v>772.30188679245271</v>
      </c>
      <c r="H4" s="14">
        <f>(3.4-0.3)*3600/1000</f>
        <v>11.16</v>
      </c>
      <c r="I4" s="1" t="s">
        <v>3</v>
      </c>
      <c r="J4" s="1" t="s">
        <v>3</v>
      </c>
      <c r="K4" s="1" t="s">
        <v>3</v>
      </c>
      <c r="L4" s="1" t="s">
        <v>3</v>
      </c>
      <c r="M4" s="14">
        <f>(139-128)/10^6*13644000/E4*20</f>
        <v>28.317735849056604</v>
      </c>
      <c r="N4" s="14">
        <f>(19-17.1)*13644000/E4/1000*20</f>
        <v>4891.2452830188649</v>
      </c>
      <c r="O4" s="1" t="s">
        <v>3</v>
      </c>
      <c r="P4" s="1" t="s">
        <v>138</v>
      </c>
    </row>
    <row r="5" spans="1:16" x14ac:dyDescent="0.25">
      <c r="A5" s="1" t="s">
        <v>135</v>
      </c>
      <c r="B5" s="1">
        <v>2018</v>
      </c>
      <c r="C5" s="1" t="s">
        <v>145</v>
      </c>
      <c r="D5" s="1">
        <v>400</v>
      </c>
      <c r="E5" s="1">
        <v>106</v>
      </c>
      <c r="F5" s="1" t="s">
        <v>136</v>
      </c>
      <c r="G5" s="14">
        <f t="shared" si="0"/>
        <v>772.30188679245271</v>
      </c>
      <c r="H5" s="14">
        <f>(2.7-0.3)*3600/1000</f>
        <v>8.6400000000000023</v>
      </c>
      <c r="I5" s="1" t="s">
        <v>3</v>
      </c>
      <c r="J5" s="1" t="s">
        <v>3</v>
      </c>
      <c r="K5" s="1" t="s">
        <v>3</v>
      </c>
      <c r="L5" s="1" t="s">
        <v>3</v>
      </c>
      <c r="M5" s="14">
        <f>(137-128)/10^6*13644000/E5*20</f>
        <v>23.169056603773587</v>
      </c>
      <c r="N5" s="14">
        <f>(19-17.1)*13644000/E5/1000*20</f>
        <v>4891.2452830188649</v>
      </c>
      <c r="O5" s="1" t="s">
        <v>3</v>
      </c>
      <c r="P5" s="1" t="s">
        <v>139</v>
      </c>
    </row>
    <row r="6" spans="1:16" x14ac:dyDescent="0.25">
      <c r="A6" s="1" t="s">
        <v>135</v>
      </c>
      <c r="B6" s="1">
        <v>2018</v>
      </c>
      <c r="C6" s="1" t="s">
        <v>145</v>
      </c>
      <c r="D6" s="1">
        <v>400</v>
      </c>
      <c r="E6" s="1">
        <v>106</v>
      </c>
      <c r="F6" s="1" t="s">
        <v>136</v>
      </c>
      <c r="G6" s="14">
        <f t="shared" si="0"/>
        <v>772.30188679245271</v>
      </c>
      <c r="H6" s="14">
        <f>(2.5-0.3)*3600/1000</f>
        <v>7.9200000000000008</v>
      </c>
      <c r="I6" s="1" t="s">
        <v>3</v>
      </c>
      <c r="J6" s="1" t="s">
        <v>3</v>
      </c>
      <c r="K6" s="1" t="s">
        <v>3</v>
      </c>
      <c r="L6" s="1" t="s">
        <v>3</v>
      </c>
      <c r="M6" s="14">
        <f>(133-125)/10^6*13644000/E6*20</f>
        <v>20.594716981132073</v>
      </c>
      <c r="N6" s="14">
        <f>(18-17.1)*13644000/E6/1000*20</f>
        <v>2316.9056603773552</v>
      </c>
      <c r="O6" s="1" t="s">
        <v>3</v>
      </c>
      <c r="P6" s="1" t="s">
        <v>140</v>
      </c>
    </row>
    <row r="7" spans="1:16" ht="17.25" customHeight="1" x14ac:dyDescent="0.25">
      <c r="A7" s="1" t="s">
        <v>135</v>
      </c>
      <c r="B7" s="1">
        <v>2018</v>
      </c>
      <c r="C7" s="1" t="s">
        <v>145</v>
      </c>
      <c r="D7" s="1">
        <v>400</v>
      </c>
      <c r="E7" s="1">
        <v>106</v>
      </c>
      <c r="F7" s="1" t="s">
        <v>136</v>
      </c>
      <c r="G7" s="14">
        <f t="shared" si="0"/>
        <v>772.30188679245271</v>
      </c>
      <c r="H7" s="14">
        <f>(5.1-0.3)*3600/1000</f>
        <v>17.28</v>
      </c>
      <c r="I7" s="1" t="s">
        <v>3</v>
      </c>
      <c r="J7" s="1" t="s">
        <v>3</v>
      </c>
      <c r="K7" s="1" t="s">
        <v>3</v>
      </c>
      <c r="L7" s="1" t="s">
        <v>3</v>
      </c>
      <c r="M7" s="14">
        <f>(175-125)/10^6*13644000/E7*20</f>
        <v>128.71698113207549</v>
      </c>
      <c r="N7" s="14">
        <f>(22-17.1)*13644000/E7/1000*20</f>
        <v>12614.264150943392</v>
      </c>
      <c r="O7" s="1" t="s">
        <v>3</v>
      </c>
      <c r="P7" s="1" t="s">
        <v>141</v>
      </c>
    </row>
    <row r="8" spans="1:16" x14ac:dyDescent="0.25">
      <c r="A8" s="1" t="s">
        <v>144</v>
      </c>
      <c r="B8" s="1">
        <v>2020</v>
      </c>
      <c r="C8" s="1" t="s">
        <v>146</v>
      </c>
      <c r="D8" s="1" t="s">
        <v>3</v>
      </c>
      <c r="E8" s="1">
        <v>100</v>
      </c>
      <c r="F8" s="1" t="s">
        <v>96</v>
      </c>
      <c r="G8" s="14">
        <f>24.2*1000/E8*20</f>
        <v>4840</v>
      </c>
      <c r="H8" s="1" t="s">
        <v>3</v>
      </c>
      <c r="I8" s="1" t="s">
        <v>3</v>
      </c>
      <c r="J8" s="1" t="s">
        <v>3</v>
      </c>
      <c r="K8" s="1" t="s">
        <v>3</v>
      </c>
      <c r="L8" s="1" t="s">
        <v>3</v>
      </c>
      <c r="M8" s="14" t="s">
        <v>3</v>
      </c>
      <c r="N8" s="14" t="s">
        <v>3</v>
      </c>
      <c r="O8" s="1" t="s">
        <v>3</v>
      </c>
      <c r="P8" s="1" t="s">
        <v>3</v>
      </c>
    </row>
    <row r="9" spans="1:16" x14ac:dyDescent="0.25">
      <c r="A9" s="1" t="s">
        <v>144</v>
      </c>
      <c r="B9" s="1">
        <v>2020</v>
      </c>
      <c r="C9" s="1" t="s">
        <v>146</v>
      </c>
      <c r="D9" s="1" t="s">
        <v>3</v>
      </c>
      <c r="E9" s="1">
        <v>100</v>
      </c>
      <c r="F9" s="1" t="s">
        <v>0</v>
      </c>
      <c r="G9" s="14">
        <f>6.3*1000/E9*20</f>
        <v>1260</v>
      </c>
      <c r="H9" s="1" t="s">
        <v>3</v>
      </c>
      <c r="I9" s="1">
        <f>12.5/E9*20</f>
        <v>2.5</v>
      </c>
      <c r="J9" s="1" t="s">
        <v>3</v>
      </c>
      <c r="K9" s="1" t="s">
        <v>3</v>
      </c>
      <c r="L9" s="1">
        <f>459/E9*20</f>
        <v>91.8</v>
      </c>
      <c r="M9" s="14" t="s">
        <v>3</v>
      </c>
      <c r="N9" s="14" t="s">
        <v>3</v>
      </c>
      <c r="O9" s="1" t="s">
        <v>3</v>
      </c>
      <c r="P9" s="1" t="s">
        <v>3</v>
      </c>
    </row>
    <row r="10" spans="1:16" x14ac:dyDescent="0.25">
      <c r="A10" s="1" t="s">
        <v>149</v>
      </c>
      <c r="B10" s="1">
        <v>2017</v>
      </c>
      <c r="C10" s="1" t="s">
        <v>150</v>
      </c>
      <c r="D10" s="1">
        <v>7.7</v>
      </c>
      <c r="E10" s="1">
        <v>1</v>
      </c>
      <c r="F10" s="1" t="s">
        <v>0</v>
      </c>
      <c r="G10" s="14">
        <f>0.267*(2047+12124)</f>
        <v>3783.6570000000002</v>
      </c>
      <c r="H10" s="1" t="s">
        <v>3</v>
      </c>
      <c r="I10" s="1" t="s">
        <v>3</v>
      </c>
      <c r="J10" s="7">
        <f>0.064/1000*(2047+12124)*15</f>
        <v>13.60416</v>
      </c>
      <c r="K10" s="14">
        <f>0.358/10*(2047+12124)*15</f>
        <v>7609.8270000000002</v>
      </c>
      <c r="L10" s="1" t="s">
        <v>3</v>
      </c>
      <c r="M10" s="14">
        <f>0.119/1000*(2047+12124)*15</f>
        <v>25.295234999999998</v>
      </c>
      <c r="N10" s="14">
        <f>0.041*(2047+12124) * 0.326*15</f>
        <v>2841.1437900000005</v>
      </c>
      <c r="O10" s="14">
        <f>0.011*(2047+12124)*15</f>
        <v>2338.2150000000001</v>
      </c>
      <c r="P10" s="1" t="s">
        <v>458</v>
      </c>
    </row>
    <row r="11" spans="1:16" x14ac:dyDescent="0.25">
      <c r="A11" s="1" t="s">
        <v>155</v>
      </c>
      <c r="B11" s="1">
        <v>2015</v>
      </c>
      <c r="C11" s="1" t="s">
        <v>150</v>
      </c>
      <c r="D11" s="1" t="s">
        <v>3</v>
      </c>
      <c r="E11" s="1">
        <v>1</v>
      </c>
      <c r="F11" s="1" t="s">
        <v>0</v>
      </c>
      <c r="G11" s="14">
        <f>21.81*0.1*1477</f>
        <v>3221.337</v>
      </c>
      <c r="H11" s="1" t="s">
        <v>3</v>
      </c>
      <c r="I11" s="1" t="s">
        <v>3</v>
      </c>
      <c r="J11" s="7">
        <f>6.24*0.1*1477/1000*15</f>
        <v>13.824720000000003</v>
      </c>
      <c r="K11" s="1" t="s">
        <v>3</v>
      </c>
      <c r="L11" s="1" t="s">
        <v>3</v>
      </c>
      <c r="M11" s="14">
        <f>8.91*0.1*1477/1000*15</f>
        <v>19.740105000000003</v>
      </c>
      <c r="N11" s="14">
        <f>44.98*0.01*1477*0.326*15</f>
        <v>3248.6939940000002</v>
      </c>
      <c r="O11" s="14">
        <f>8.1*0.01*1477*15</f>
        <v>1794.5550000000001</v>
      </c>
      <c r="P11" s="1" t="s">
        <v>459</v>
      </c>
    </row>
    <row r="13" spans="1:16" x14ac:dyDescent="0.25">
      <c r="G13" s="14"/>
      <c r="H13" s="14"/>
      <c r="I13" s="14"/>
      <c r="J13" s="14"/>
      <c r="K13" s="14"/>
      <c r="L13" s="14"/>
      <c r="M13" s="14"/>
      <c r="N13" s="14"/>
      <c r="O13" s="14"/>
    </row>
    <row r="14" spans="1:16" x14ac:dyDescent="0.25">
      <c r="G14" s="14"/>
      <c r="H14" s="14"/>
      <c r="I14" s="14"/>
      <c r="J14" s="14"/>
      <c r="K14" s="14"/>
      <c r="L14" s="14"/>
      <c r="M14" s="14"/>
      <c r="N14" s="14"/>
      <c r="O14" s="14"/>
    </row>
    <row r="15" spans="1:16" x14ac:dyDescent="0.25">
      <c r="G15" s="14"/>
      <c r="H15" s="14"/>
      <c r="I15" s="14"/>
      <c r="J15" s="14"/>
      <c r="K15" s="14"/>
      <c r="L15" s="14"/>
      <c r="M15" s="14"/>
      <c r="N15" s="14"/>
      <c r="O15" s="14"/>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7FF70-9165-4A28-A082-0857AE8D2348}">
  <sheetPr>
    <tabColor rgb="FFFECC90"/>
  </sheetPr>
  <dimension ref="A1:X13"/>
  <sheetViews>
    <sheetView workbookViewId="0">
      <pane xSplit="5" ySplit="1" topLeftCell="F2" activePane="bottomRight" state="frozen"/>
      <selection pane="topRight" activeCell="G1" sqref="G1"/>
      <selection pane="bottomLeft" activeCell="A6" sqref="A6"/>
      <selection pane="bottomRight" activeCell="M18" sqref="M18"/>
    </sheetView>
  </sheetViews>
  <sheetFormatPr defaultColWidth="9.140625" defaultRowHeight="15" x14ac:dyDescent="0.25"/>
  <cols>
    <col min="1" max="1" width="18" style="1" bestFit="1" customWidth="1"/>
    <col min="2" max="2" width="11.28515625" style="1" bestFit="1" customWidth="1"/>
    <col min="3" max="3" width="11" style="1" bestFit="1" customWidth="1"/>
    <col min="4" max="4" width="10.140625" style="1" bestFit="1" customWidth="1"/>
    <col min="5" max="5" width="10" style="1" bestFit="1" customWidth="1"/>
    <col min="6" max="6" width="31" style="1" bestFit="1" customWidth="1"/>
    <col min="7" max="7" width="30.140625" style="1" bestFit="1" customWidth="1"/>
    <col min="8" max="8" width="15.5703125" style="1" bestFit="1" customWidth="1"/>
    <col min="9" max="9" width="17.85546875" style="1" bestFit="1" customWidth="1"/>
    <col min="10" max="10" width="17.28515625" style="1" bestFit="1" customWidth="1"/>
    <col min="11" max="11" width="18.5703125" style="1" bestFit="1" customWidth="1"/>
    <col min="12" max="12" width="15.5703125" style="1" bestFit="1" customWidth="1"/>
    <col min="13" max="13" width="15.42578125" style="1" bestFit="1" customWidth="1"/>
    <col min="14" max="14" width="20.7109375" style="1" bestFit="1" customWidth="1"/>
    <col min="15" max="15" width="17.85546875" style="1" bestFit="1" customWidth="1"/>
    <col min="16" max="16" width="17.5703125" style="1" bestFit="1" customWidth="1"/>
    <col min="17" max="17" width="15" style="1" bestFit="1" customWidth="1"/>
    <col min="18" max="18" width="15.85546875" style="1" bestFit="1" customWidth="1"/>
    <col min="19" max="19" width="20" style="1" bestFit="1" customWidth="1"/>
    <col min="20" max="20" width="20.5703125" style="1" bestFit="1" customWidth="1"/>
    <col min="21" max="21" width="20" style="1" bestFit="1" customWidth="1"/>
    <col min="22" max="22" width="21.5703125" style="1" bestFit="1" customWidth="1"/>
    <col min="23" max="23" width="18.42578125" style="1" bestFit="1" customWidth="1"/>
    <col min="24" max="24" width="56" style="1" bestFit="1" customWidth="1"/>
    <col min="25" max="16384" width="9.140625" style="1"/>
  </cols>
  <sheetData>
    <row r="1" spans="1:24" s="4" customFormat="1" x14ac:dyDescent="0.25">
      <c r="A1" s="3" t="s">
        <v>7</v>
      </c>
      <c r="B1" s="3" t="s">
        <v>4</v>
      </c>
      <c r="C1" s="3" t="s">
        <v>5</v>
      </c>
      <c r="D1" s="3" t="s">
        <v>325</v>
      </c>
      <c r="E1" s="20" t="s">
        <v>236</v>
      </c>
      <c r="F1" s="3" t="s">
        <v>345</v>
      </c>
      <c r="G1" s="3" t="s">
        <v>346</v>
      </c>
      <c r="H1" s="3" t="s">
        <v>347</v>
      </c>
      <c r="I1" s="3" t="s">
        <v>435</v>
      </c>
      <c r="J1" s="3" t="s">
        <v>348</v>
      </c>
      <c r="K1" s="3" t="s">
        <v>367</v>
      </c>
      <c r="L1" s="3" t="s">
        <v>349</v>
      </c>
      <c r="M1" s="3" t="s">
        <v>350</v>
      </c>
      <c r="N1" s="3" t="s">
        <v>352</v>
      </c>
      <c r="O1" s="3" t="s">
        <v>353</v>
      </c>
      <c r="P1" s="3" t="s">
        <v>354</v>
      </c>
      <c r="Q1" s="60" t="s">
        <v>355</v>
      </c>
      <c r="R1" s="3" t="s">
        <v>356</v>
      </c>
      <c r="S1" s="61" t="s">
        <v>429</v>
      </c>
      <c r="T1" s="61" t="s">
        <v>437</v>
      </c>
      <c r="U1" s="61" t="s">
        <v>440</v>
      </c>
      <c r="V1" s="3" t="s">
        <v>441</v>
      </c>
      <c r="W1" s="3" t="s">
        <v>360</v>
      </c>
      <c r="X1" s="4" t="s">
        <v>14</v>
      </c>
    </row>
    <row r="2" spans="1:24" x14ac:dyDescent="0.25">
      <c r="A2" s="1" t="s">
        <v>105</v>
      </c>
      <c r="B2" s="1">
        <v>2015</v>
      </c>
      <c r="C2" s="1" t="s">
        <v>3</v>
      </c>
      <c r="D2" s="1" t="s">
        <v>3</v>
      </c>
      <c r="E2" s="1" t="s">
        <v>3</v>
      </c>
      <c r="F2" s="14">
        <f>38*20</f>
        <v>760</v>
      </c>
      <c r="G2" s="7">
        <v>0.26400000000000001</v>
      </c>
      <c r="H2" s="1" t="s">
        <v>3</v>
      </c>
      <c r="I2" s="1" t="s">
        <v>3</v>
      </c>
      <c r="J2" s="1" t="s">
        <v>3</v>
      </c>
      <c r="K2" s="1" t="s">
        <v>3</v>
      </c>
      <c r="L2" s="1" t="s">
        <v>3</v>
      </c>
      <c r="M2" s="1" t="s">
        <v>3</v>
      </c>
      <c r="N2" s="1" t="s">
        <v>3</v>
      </c>
      <c r="O2" s="1" t="s">
        <v>3</v>
      </c>
      <c r="P2" s="7">
        <f>0.221*20</f>
        <v>4.42</v>
      </c>
      <c r="Q2" s="1" t="s">
        <v>3</v>
      </c>
      <c r="R2" s="1" t="s">
        <v>3</v>
      </c>
      <c r="S2" s="1" t="s">
        <v>3</v>
      </c>
      <c r="T2" s="1" t="s">
        <v>3</v>
      </c>
      <c r="U2" s="1" t="s">
        <v>3</v>
      </c>
      <c r="V2" s="1" t="s">
        <v>3</v>
      </c>
      <c r="W2" s="1" t="s">
        <v>3</v>
      </c>
      <c r="X2" s="1" t="s">
        <v>3</v>
      </c>
    </row>
    <row r="3" spans="1:24" x14ac:dyDescent="0.25">
      <c r="A3" s="1" t="s">
        <v>149</v>
      </c>
      <c r="B3" s="1">
        <v>2017</v>
      </c>
      <c r="C3" s="1" t="s">
        <v>3</v>
      </c>
      <c r="D3" s="1">
        <v>7.7</v>
      </c>
      <c r="E3" s="1" t="s">
        <v>0</v>
      </c>
      <c r="F3" s="14">
        <f>0.283*(2047+12124)/D3*15</f>
        <v>7812.4538961038943</v>
      </c>
      <c r="G3" s="7" t="s">
        <v>3</v>
      </c>
      <c r="H3" s="1" t="s">
        <v>3</v>
      </c>
      <c r="I3" s="1" t="s">
        <v>3</v>
      </c>
      <c r="J3" s="7">
        <f>0.334/1000*(2047+12124)/D3*15</f>
        <v>9.2203519480519489</v>
      </c>
      <c r="K3" s="1" t="s">
        <v>3</v>
      </c>
      <c r="L3" s="14">
        <f>0.428/10*(2047+12124)/D3*15</f>
        <v>1181.5301298701297</v>
      </c>
      <c r="M3" s="1" t="s">
        <v>3</v>
      </c>
      <c r="N3" s="1" t="s">
        <v>3</v>
      </c>
      <c r="O3" s="14" t="s">
        <v>3</v>
      </c>
      <c r="P3" s="7">
        <f>0.324/1000*(2047+12124)/D3*15</f>
        <v>8.944293506493505</v>
      </c>
      <c r="Q3" s="14">
        <f>0.054*0.326*(2047+12124)/D3*15</f>
        <v>485.97328051948057</v>
      </c>
      <c r="R3" s="1" t="s">
        <v>3</v>
      </c>
      <c r="S3" s="14">
        <f>0.042*(2047+12124)/(D3)*15</f>
        <v>1159.4454545454546</v>
      </c>
      <c r="T3" s="14">
        <f>0.044/D3*(2047+12124)*15</f>
        <v>1214.6571428571428</v>
      </c>
      <c r="U3" s="14">
        <f>0.178/D3*(2047+12124)*15</f>
        <v>4913.8402597402601</v>
      </c>
      <c r="V3" s="14">
        <f>0.053/D3*(2047+12124)*15</f>
        <v>1463.1097402597402</v>
      </c>
      <c r="W3" s="14">
        <f>0.01*(2047+12124)/D3*15</f>
        <v>276.05844155844159</v>
      </c>
      <c r="X3" s="1" t="s">
        <v>3</v>
      </c>
    </row>
    <row r="4" spans="1:24" x14ac:dyDescent="0.25">
      <c r="A4" s="1" t="s">
        <v>151</v>
      </c>
      <c r="B4" s="1">
        <v>2021</v>
      </c>
      <c r="C4" s="1" t="s">
        <v>171</v>
      </c>
      <c r="D4" s="1">
        <v>35</v>
      </c>
      <c r="E4" s="1" t="s">
        <v>0</v>
      </c>
      <c r="F4" s="14">
        <f>0.285*230.6*140/D4*20</f>
        <v>5257.6799999999994</v>
      </c>
      <c r="G4" s="7" t="s">
        <v>3</v>
      </c>
      <c r="H4" s="14">
        <f>I4/8*1000</f>
        <v>47.273000000000003</v>
      </c>
      <c r="I4" s="7">
        <f>0.0000205*140*230.6/D4*20</f>
        <v>0.37818400000000002</v>
      </c>
      <c r="J4" s="7">
        <f>0.000000088*230.6*140/D4*1000*20</f>
        <v>1.6234239999999998</v>
      </c>
      <c r="K4" s="1" t="s">
        <v>3</v>
      </c>
      <c r="L4" s="14">
        <f>4.31*230.6*140/D4*20</f>
        <v>79510.87999999999</v>
      </c>
      <c r="M4" s="14">
        <f>0.00252*230.6*140/D4*20</f>
        <v>46.488959999999999</v>
      </c>
      <c r="N4" s="1" t="s">
        <v>3</v>
      </c>
      <c r="O4" s="14">
        <f>0.00027*230.6*140/D4*1000*20/1000</f>
        <v>4.9809600000000014</v>
      </c>
      <c r="P4" s="7" t="s">
        <v>3</v>
      </c>
      <c r="Q4" s="14">
        <f>0.00000169*1000*230.6*140/D4*20</f>
        <v>31.177119999999995</v>
      </c>
      <c r="R4" s="14">
        <f>0.0000673*230.6*140/D4*1000*20</f>
        <v>1241.5504000000001</v>
      </c>
      <c r="S4" s="14" t="s">
        <v>3</v>
      </c>
      <c r="T4" s="1" t="s">
        <v>3</v>
      </c>
      <c r="U4" s="1" t="s">
        <v>3</v>
      </c>
      <c r="V4" s="1" t="s">
        <v>3</v>
      </c>
      <c r="W4" s="14">
        <f>0.0000000375*10^6*230.6*140/D4*20</f>
        <v>691.8</v>
      </c>
      <c r="X4" s="1" t="s">
        <v>461</v>
      </c>
    </row>
    <row r="5" spans="1:24" x14ac:dyDescent="0.25">
      <c r="A5" s="1" t="s">
        <v>157</v>
      </c>
      <c r="B5" s="1">
        <v>2020</v>
      </c>
      <c r="C5" s="1" t="s">
        <v>3</v>
      </c>
      <c r="D5" s="1">
        <v>19.2</v>
      </c>
      <c r="E5" s="1" t="s">
        <v>0</v>
      </c>
      <c r="F5" s="14">
        <f>(55.2+0.533-19.1)*15*42.882/D5</f>
        <v>1227.2627390625</v>
      </c>
      <c r="G5" s="7" t="s">
        <v>3</v>
      </c>
      <c r="H5" s="1" t="s">
        <v>3</v>
      </c>
      <c r="I5" s="1" t="s">
        <v>3</v>
      </c>
      <c r="J5" s="7">
        <f>K5/2.5</f>
        <v>1.1977812499999998</v>
      </c>
      <c r="K5" s="14">
        <f>(4.51-0.0651-0.612)*15/D5</f>
        <v>2.9944531249999997</v>
      </c>
      <c r="L5" s="14">
        <f>(13.1+0.37-3.65)*15</f>
        <v>147.29999999999998</v>
      </c>
      <c r="M5" s="1" t="s">
        <v>3</v>
      </c>
      <c r="N5" s="1" t="s">
        <v>3</v>
      </c>
      <c r="O5" s="14" t="s">
        <v>3</v>
      </c>
      <c r="P5" s="7">
        <f>(0.939+0.00423-0.0373)*15/D5</f>
        <v>0.70775781249999992</v>
      </c>
      <c r="Q5" s="14">
        <f>(0.256+0.0000134-0.00438)*1000/D5*15</f>
        <v>196.58859375</v>
      </c>
      <c r="R5" s="14">
        <f>(0.0139+0.0000617-0.0000958)*1000*15/D5</f>
        <v>10.832734374999998</v>
      </c>
      <c r="S5" s="14" t="s">
        <v>3</v>
      </c>
      <c r="T5" s="1" t="s">
        <v>3</v>
      </c>
      <c r="U5" s="1" t="s">
        <v>3</v>
      </c>
      <c r="V5" s="1" t="s">
        <v>3</v>
      </c>
      <c r="W5" s="14">
        <f>(0.0000556+0.00000051-0.00000206)*10^6*15/D5</f>
        <v>42.226562500000007</v>
      </c>
      <c r="X5" s="1" t="s">
        <v>462</v>
      </c>
    </row>
    <row r="6" spans="1:24" x14ac:dyDescent="0.25">
      <c r="A6" s="1" t="s">
        <v>159</v>
      </c>
      <c r="B6" s="1">
        <v>2012</v>
      </c>
      <c r="C6" s="1" t="s">
        <v>167</v>
      </c>
      <c r="D6" s="1">
        <v>10</v>
      </c>
      <c r="E6" s="1" t="s">
        <v>0</v>
      </c>
      <c r="F6" s="14">
        <f>0.3*20000/D6*15</f>
        <v>9000</v>
      </c>
      <c r="G6" s="7" t="s">
        <v>3</v>
      </c>
      <c r="H6" s="1" t="s">
        <v>3</v>
      </c>
      <c r="I6" s="1" t="s">
        <v>3</v>
      </c>
      <c r="J6" s="7">
        <f>0.12*20000/D6/1000*15</f>
        <v>3.5999999999999996</v>
      </c>
      <c r="K6" s="1" t="s">
        <v>3</v>
      </c>
      <c r="L6" s="1">
        <f>0.45*10*20000/D6*15</f>
        <v>135000</v>
      </c>
      <c r="M6" s="1" t="s">
        <v>3</v>
      </c>
      <c r="N6" s="1" t="s">
        <v>3</v>
      </c>
      <c r="O6" s="14" t="s">
        <v>3</v>
      </c>
      <c r="P6" s="7">
        <f>0.25/1000*20000/D6*15</f>
        <v>7.5</v>
      </c>
      <c r="Q6" s="14">
        <f>0.03*20000/D6*0.326*15</f>
        <v>293.40000000000003</v>
      </c>
      <c r="R6" s="1" t="s">
        <v>3</v>
      </c>
      <c r="S6" s="14">
        <f>0.13*20000/D6/1000*15</f>
        <v>3.9000000000000004</v>
      </c>
      <c r="T6" s="1">
        <f>0.001*20000/D6*15</f>
        <v>30</v>
      </c>
      <c r="U6" s="1">
        <f>0.2*20000/D6*10/1000*15</f>
        <v>60</v>
      </c>
      <c r="V6" s="1" t="s">
        <v>3</v>
      </c>
      <c r="W6" s="14">
        <f>0.05*20000/D6*15</f>
        <v>1500</v>
      </c>
      <c r="X6" s="1" t="s">
        <v>3</v>
      </c>
    </row>
    <row r="7" spans="1:24" x14ac:dyDescent="0.25">
      <c r="A7" s="1" t="s">
        <v>168</v>
      </c>
      <c r="B7" s="1">
        <v>2021</v>
      </c>
      <c r="C7" s="1" t="s">
        <v>167</v>
      </c>
      <c r="D7" s="1">
        <v>10</v>
      </c>
      <c r="E7" s="1" t="s">
        <v>0</v>
      </c>
      <c r="F7" s="14">
        <f>2800/D7</f>
        <v>280</v>
      </c>
      <c r="G7" s="7">
        <v>0.27400000000000002</v>
      </c>
      <c r="H7" s="7">
        <f>(82/10+438/100+433/10000)/D7</f>
        <v>1.26233</v>
      </c>
      <c r="I7" s="1" t="s">
        <v>3</v>
      </c>
      <c r="J7" s="1" t="s">
        <v>3</v>
      </c>
      <c r="K7" s="1" t="s">
        <v>3</v>
      </c>
      <c r="L7" s="14">
        <f>37513/D7*41.87</f>
        <v>157066.93100000001</v>
      </c>
      <c r="M7" s="14">
        <f>433/D7</f>
        <v>43.3</v>
      </c>
      <c r="N7" s="7">
        <f>17272/D7/1000</f>
        <v>1.7272000000000001</v>
      </c>
      <c r="O7" s="14" t="s">
        <v>3</v>
      </c>
      <c r="P7" s="7">
        <f>59388/1000/D7</f>
        <v>5.9387999999999996</v>
      </c>
      <c r="Q7" s="14">
        <f>945/D7</f>
        <v>94.5</v>
      </c>
      <c r="R7" s="14">
        <f>2022/D7</f>
        <v>202.2</v>
      </c>
      <c r="S7" s="14">
        <f>2587/D7/100</f>
        <v>2.5869999999999997</v>
      </c>
      <c r="T7" s="14">
        <f>266/D7/10</f>
        <v>2.66</v>
      </c>
      <c r="U7" s="6">
        <f>225/1000/D7</f>
        <v>2.2499999999999999E-2</v>
      </c>
      <c r="V7" s="1" t="s">
        <v>3</v>
      </c>
      <c r="W7" s="14">
        <f>303/D7</f>
        <v>30.3</v>
      </c>
      <c r="X7" s="1" t="s">
        <v>3</v>
      </c>
    </row>
    <row r="8" spans="1:24" x14ac:dyDescent="0.25">
      <c r="A8" s="1" t="s">
        <v>170</v>
      </c>
      <c r="B8" s="1">
        <v>2021</v>
      </c>
      <c r="C8" s="1" t="s">
        <v>171</v>
      </c>
      <c r="D8" s="1">
        <v>24</v>
      </c>
      <c r="E8" s="1" t="s">
        <v>0</v>
      </c>
      <c r="F8" s="14">
        <f>64000/D8</f>
        <v>2666.6666666666665</v>
      </c>
      <c r="G8" s="7" t="s">
        <v>3</v>
      </c>
      <c r="H8" s="1" t="s">
        <v>3</v>
      </c>
      <c r="I8" s="1" t="s">
        <v>3</v>
      </c>
      <c r="J8" s="1" t="s">
        <v>3</v>
      </c>
      <c r="K8" s="1" t="s">
        <v>3</v>
      </c>
      <c r="L8" s="14">
        <f>25000/D8*41.87</f>
        <v>43614.583333333336</v>
      </c>
      <c r="M8" s="14">
        <f>1000/D8</f>
        <v>41.666666666666664</v>
      </c>
      <c r="N8" s="7">
        <f>40/D8</f>
        <v>1.6666666666666667</v>
      </c>
      <c r="O8" s="14" t="s">
        <v>3</v>
      </c>
      <c r="P8" s="7">
        <f>150/D8</f>
        <v>6.25</v>
      </c>
      <c r="Q8" s="14" t="s">
        <v>3</v>
      </c>
      <c r="R8" s="1" t="s">
        <v>3</v>
      </c>
      <c r="S8" s="1" t="s">
        <v>3</v>
      </c>
      <c r="T8" s="1" t="s">
        <v>3</v>
      </c>
      <c r="U8" s="1" t="s">
        <v>3</v>
      </c>
      <c r="V8" s="1" t="s">
        <v>3</v>
      </c>
      <c r="W8" s="14">
        <f>0.0026*10^6/D8</f>
        <v>108.33333333333333</v>
      </c>
      <c r="X8" s="1" t="s">
        <v>463</v>
      </c>
    </row>
    <row r="9" spans="1:24" x14ac:dyDescent="0.25">
      <c r="A9" s="1" t="s">
        <v>176</v>
      </c>
      <c r="B9" s="1">
        <v>2024</v>
      </c>
      <c r="C9" s="1" t="s">
        <v>171</v>
      </c>
      <c r="D9" s="1">
        <v>14</v>
      </c>
      <c r="E9" s="1" t="s">
        <v>0</v>
      </c>
      <c r="F9" s="1" t="s">
        <v>3</v>
      </c>
      <c r="G9" s="7" t="s">
        <v>3</v>
      </c>
      <c r="H9" s="1" t="s">
        <v>3</v>
      </c>
      <c r="I9" s="1" t="s">
        <v>3</v>
      </c>
      <c r="J9" s="1" t="s">
        <v>3</v>
      </c>
      <c r="K9" s="1" t="s">
        <v>3</v>
      </c>
      <c r="L9" s="14">
        <f>3704264.71/D9</f>
        <v>264590.33642857143</v>
      </c>
      <c r="M9" s="1" t="s">
        <v>3</v>
      </c>
      <c r="N9" s="1" t="s">
        <v>3</v>
      </c>
      <c r="O9" s="14" t="s">
        <v>3</v>
      </c>
      <c r="P9" s="14">
        <f>160.43/D9</f>
        <v>11.459285714285715</v>
      </c>
      <c r="Q9" s="14">
        <f>1.43*1000/D9*0.326</f>
        <v>33.298571428571428</v>
      </c>
      <c r="R9" s="1" t="s">
        <v>3</v>
      </c>
      <c r="S9" s="1" t="s">
        <v>3</v>
      </c>
      <c r="T9" s="1" t="s">
        <v>3</v>
      </c>
      <c r="U9" s="1" t="s">
        <v>3</v>
      </c>
      <c r="V9" s="1" t="s">
        <v>3</v>
      </c>
      <c r="W9" s="14">
        <f>0.03*10^6/D9</f>
        <v>2142.8571428571427</v>
      </c>
      <c r="X9" s="1" t="s">
        <v>3</v>
      </c>
    </row>
    <row r="10" spans="1:24" x14ac:dyDescent="0.25">
      <c r="G10" s="7"/>
    </row>
    <row r="11" spans="1:24" x14ac:dyDescent="0.25">
      <c r="F11" s="14"/>
      <c r="G11" s="14"/>
      <c r="H11" s="14"/>
      <c r="I11" s="14"/>
      <c r="J11" s="14"/>
      <c r="K11" s="14"/>
      <c r="L11" s="14"/>
      <c r="M11" s="14"/>
      <c r="N11" s="14"/>
      <c r="O11" s="14"/>
      <c r="P11" s="14"/>
      <c r="Q11" s="14"/>
      <c r="R11" s="14"/>
      <c r="S11" s="14"/>
      <c r="T11" s="14"/>
      <c r="U11" s="14"/>
      <c r="V11" s="14"/>
      <c r="W11" s="14"/>
    </row>
    <row r="12" spans="1:24" x14ac:dyDescent="0.25">
      <c r="F12" s="14"/>
      <c r="G12" s="14"/>
      <c r="H12" s="14"/>
      <c r="I12" s="14"/>
      <c r="J12" s="14"/>
      <c r="K12" s="14"/>
      <c r="L12" s="14"/>
      <c r="M12" s="14"/>
      <c r="N12" s="14"/>
      <c r="O12" s="14"/>
      <c r="P12" s="14"/>
      <c r="Q12" s="14"/>
      <c r="R12" s="14"/>
      <c r="S12" s="14"/>
      <c r="T12" s="14"/>
      <c r="U12" s="14"/>
      <c r="V12" s="14"/>
      <c r="W12" s="14"/>
    </row>
    <row r="13" spans="1:24" x14ac:dyDescent="0.25">
      <c r="F13" s="14"/>
      <c r="G13" s="14"/>
      <c r="H13" s="14"/>
      <c r="I13" s="14"/>
      <c r="J13" s="14"/>
      <c r="K13" s="14"/>
      <c r="L13" s="14"/>
      <c r="M13" s="14"/>
      <c r="N13" s="14"/>
      <c r="O13" s="14"/>
      <c r="P13" s="14"/>
      <c r="Q13" s="14"/>
      <c r="R13" s="14"/>
      <c r="S13" s="14"/>
      <c r="T13" s="14"/>
      <c r="U13" s="14"/>
      <c r="V13" s="14"/>
      <c r="W13" s="14"/>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95CB8F-57AF-4790-819A-66EE906C197D}">
  <sheetPr>
    <tabColor rgb="FFFECC90"/>
  </sheetPr>
  <dimension ref="A1:W17"/>
  <sheetViews>
    <sheetView zoomScaleNormal="100" workbookViewId="0">
      <pane xSplit="5" ySplit="1" topLeftCell="F2" activePane="bottomRight" state="frozen"/>
      <selection pane="topRight" activeCell="F1" sqref="F1"/>
      <selection pane="bottomLeft" activeCell="A2" sqref="A2"/>
      <selection pane="bottomRight" activeCell="G22" sqref="G22"/>
    </sheetView>
  </sheetViews>
  <sheetFormatPr defaultColWidth="9.140625" defaultRowHeight="15" x14ac:dyDescent="0.25"/>
  <cols>
    <col min="1" max="1" width="18" style="1" bestFit="1" customWidth="1"/>
    <col min="2" max="2" width="11.28515625" style="1" bestFit="1" customWidth="1"/>
    <col min="3" max="3" width="20.7109375" style="1" bestFit="1" customWidth="1"/>
    <col min="4" max="4" width="10.140625" style="1" bestFit="1" customWidth="1"/>
    <col min="5" max="5" width="10" style="1" bestFit="1" customWidth="1"/>
    <col min="6" max="6" width="31" style="1" bestFit="1" customWidth="1"/>
    <col min="7" max="7" width="30.140625" style="1" bestFit="1" customWidth="1"/>
    <col min="8" max="8" width="15.85546875" style="1" bestFit="1" customWidth="1"/>
    <col min="9" max="9" width="17.85546875" style="1" bestFit="1" customWidth="1"/>
    <col min="10" max="10" width="17.28515625" style="1" bestFit="1" customWidth="1"/>
    <col min="11" max="12" width="15.5703125" style="1" bestFit="1" customWidth="1"/>
    <col min="13" max="13" width="20.7109375" style="1" bestFit="1" customWidth="1"/>
    <col min="14" max="14" width="17.85546875" style="1" bestFit="1" customWidth="1"/>
    <col min="15" max="15" width="17.5703125" style="1" bestFit="1" customWidth="1"/>
    <col min="16" max="16" width="15" style="1" bestFit="1" customWidth="1"/>
    <col min="17" max="17" width="15.85546875" style="1" bestFit="1" customWidth="1"/>
    <col min="18" max="18" width="20" style="1" bestFit="1" customWidth="1"/>
    <col min="19" max="19" width="20.5703125" style="1" bestFit="1" customWidth="1"/>
    <col min="20" max="20" width="20" style="1" bestFit="1" customWidth="1"/>
    <col min="21" max="21" width="20.5703125" style="1" bestFit="1" customWidth="1"/>
    <col min="22" max="22" width="18.42578125" style="1" bestFit="1" customWidth="1"/>
    <col min="23" max="23" width="56" style="1" bestFit="1" customWidth="1"/>
    <col min="24" max="16384" width="9.140625" style="1"/>
  </cols>
  <sheetData>
    <row r="1" spans="1:23" s="4" customFormat="1" x14ac:dyDescent="0.25">
      <c r="A1" s="3" t="s">
        <v>7</v>
      </c>
      <c r="B1" s="3" t="s">
        <v>4</v>
      </c>
      <c r="C1" s="3" t="s">
        <v>5</v>
      </c>
      <c r="D1" s="3" t="s">
        <v>325</v>
      </c>
      <c r="E1" s="20" t="s">
        <v>236</v>
      </c>
      <c r="F1" s="3" t="s">
        <v>345</v>
      </c>
      <c r="G1" s="3" t="s">
        <v>346</v>
      </c>
      <c r="H1" s="3" t="s">
        <v>347</v>
      </c>
      <c r="I1" s="3" t="s">
        <v>435</v>
      </c>
      <c r="J1" s="3" t="s">
        <v>348</v>
      </c>
      <c r="K1" s="3" t="s">
        <v>349</v>
      </c>
      <c r="L1" s="3" t="s">
        <v>350</v>
      </c>
      <c r="M1" s="3" t="s">
        <v>352</v>
      </c>
      <c r="N1" s="3" t="s">
        <v>353</v>
      </c>
      <c r="O1" s="3" t="s">
        <v>354</v>
      </c>
      <c r="P1" s="60" t="s">
        <v>355</v>
      </c>
      <c r="Q1" s="3" t="s">
        <v>356</v>
      </c>
      <c r="R1" s="61" t="s">
        <v>429</v>
      </c>
      <c r="S1" s="61" t="s">
        <v>437</v>
      </c>
      <c r="T1" s="61" t="s">
        <v>440</v>
      </c>
      <c r="U1" s="3" t="s">
        <v>431</v>
      </c>
      <c r="V1" s="3" t="s">
        <v>360</v>
      </c>
      <c r="W1" s="4" t="s">
        <v>14</v>
      </c>
    </row>
    <row r="2" spans="1:23" x14ac:dyDescent="0.25">
      <c r="A2" s="1" t="s">
        <v>151</v>
      </c>
      <c r="B2" s="1">
        <v>2021</v>
      </c>
      <c r="C2" s="1" t="s">
        <v>154</v>
      </c>
      <c r="D2" s="1">
        <v>16.899999999999999</v>
      </c>
      <c r="E2" s="1" t="s">
        <v>0</v>
      </c>
      <c r="F2" s="7">
        <f>0.208*230.6*140/D2*20</f>
        <v>7946.830769230769</v>
      </c>
      <c r="G2" s="1" t="s">
        <v>3</v>
      </c>
      <c r="H2" s="14" t="s">
        <v>3</v>
      </c>
      <c r="I2" s="7">
        <f>0.0000456*230.6*140/D2*20</f>
        <v>1.742189822485207</v>
      </c>
      <c r="J2" s="7">
        <f>0.000000149*230.6*140/D2*1000*20</f>
        <v>5.6926816568047345</v>
      </c>
      <c r="K2" s="14">
        <f>3.22*140*230.6/D2*20</f>
        <v>123023.05325443787</v>
      </c>
      <c r="L2" s="14">
        <f>0.00611*230.6*140/D2*20</f>
        <v>233.43815384615385</v>
      </c>
      <c r="M2" s="1" t="s">
        <v>3</v>
      </c>
      <c r="N2" s="14">
        <f>0.000298*230.6*140/D2*20</f>
        <v>11.385363313609467</v>
      </c>
      <c r="O2" s="14" t="s">
        <v>3</v>
      </c>
      <c r="P2" s="14">
        <f>0.00000303*1000*140*230.6/D2*20</f>
        <v>115.76392899408283</v>
      </c>
      <c r="Q2" s="14">
        <f>0.0000582*1000*140*230.6/D2*20</f>
        <v>2223.584378698225</v>
      </c>
      <c r="R2" s="14" t="s">
        <v>3</v>
      </c>
      <c r="S2" s="14" t="s">
        <v>3</v>
      </c>
      <c r="T2" s="14" t="s">
        <v>3</v>
      </c>
      <c r="U2" s="1" t="s">
        <v>3</v>
      </c>
      <c r="V2" s="14">
        <f>0.0000000267*10^6*230.6*140/D2*20</f>
        <v>1020.0979881656805</v>
      </c>
      <c r="W2" s="1" t="s">
        <v>467</v>
      </c>
    </row>
    <row r="3" spans="1:23" x14ac:dyDescent="0.25">
      <c r="A3" s="1" t="s">
        <v>159</v>
      </c>
      <c r="B3" s="1">
        <v>2012</v>
      </c>
      <c r="C3" s="1" t="s">
        <v>161</v>
      </c>
      <c r="D3" s="1">
        <v>10</v>
      </c>
      <c r="E3" s="1" t="s">
        <v>3</v>
      </c>
      <c r="F3" s="1">
        <f>0.28*20000/D3*20</f>
        <v>11200.000000000002</v>
      </c>
      <c r="G3" s="1" t="s">
        <v>3</v>
      </c>
      <c r="H3" s="1" t="s">
        <v>3</v>
      </c>
      <c r="I3" s="1" t="s">
        <v>3</v>
      </c>
      <c r="J3" s="14">
        <f>0.46*20000/D3/1000*20</f>
        <v>18.400000000000002</v>
      </c>
      <c r="K3" s="1">
        <f>0.38*10*20000/D3*20</f>
        <v>152000</v>
      </c>
      <c r="L3" s="14" t="s">
        <v>3</v>
      </c>
      <c r="M3" s="1" t="s">
        <v>3</v>
      </c>
      <c r="N3" s="14" t="s">
        <v>3</v>
      </c>
      <c r="O3" s="14">
        <f>0.85/1000*20000/D3*20</f>
        <v>34</v>
      </c>
      <c r="P3" s="14">
        <f>0.08*20000/D3*0.326*20</f>
        <v>1043.2</v>
      </c>
      <c r="Q3" s="14" t="s">
        <v>3</v>
      </c>
      <c r="R3" s="14">
        <f>0.9*20000/D3/1000*20</f>
        <v>36</v>
      </c>
      <c r="S3" s="14">
        <f>0.12*20000/D3</f>
        <v>240</v>
      </c>
      <c r="T3" s="14">
        <f>0.38*20000/D3*10/1000*20</f>
        <v>152</v>
      </c>
      <c r="U3" s="1" t="s">
        <v>3</v>
      </c>
      <c r="V3" s="14">
        <f>0.31*20000/D3*20</f>
        <v>12400</v>
      </c>
      <c r="W3" s="1" t="s">
        <v>3</v>
      </c>
    </row>
    <row r="4" spans="1:23" x14ac:dyDescent="0.25">
      <c r="A4" s="1" t="s">
        <v>159</v>
      </c>
      <c r="B4" s="1">
        <v>2012</v>
      </c>
      <c r="C4" s="1" t="s">
        <v>163</v>
      </c>
      <c r="D4" s="1">
        <v>10</v>
      </c>
      <c r="E4" s="1" t="s">
        <v>3</v>
      </c>
      <c r="F4" s="1">
        <f>0.19*20000/D4*20</f>
        <v>7600</v>
      </c>
      <c r="G4" s="1" t="s">
        <v>3</v>
      </c>
      <c r="H4" s="1" t="s">
        <v>3</v>
      </c>
      <c r="I4" s="1" t="s">
        <v>3</v>
      </c>
      <c r="J4" s="14">
        <f>0.32*20000/D4/1000*20</f>
        <v>12.8</v>
      </c>
      <c r="K4" s="1">
        <f>0.26*10*20000/D4*20</f>
        <v>104000</v>
      </c>
      <c r="L4" s="14" t="s">
        <v>3</v>
      </c>
      <c r="M4" s="1" t="s">
        <v>3</v>
      </c>
      <c r="N4" s="14" t="s">
        <v>3</v>
      </c>
      <c r="O4" s="14">
        <f>0.59/1000*20000/D4*20</f>
        <v>23.599999999999998</v>
      </c>
      <c r="P4" s="14">
        <f>0.06*20000/D4*0.326*20</f>
        <v>782.40000000000009</v>
      </c>
      <c r="Q4" s="14" t="s">
        <v>3</v>
      </c>
      <c r="R4" s="14">
        <f>0.62*20000/D4/1000*20</f>
        <v>24.8</v>
      </c>
      <c r="S4" s="14">
        <f>0.08*20000/D4</f>
        <v>160</v>
      </c>
      <c r="T4" s="14">
        <f>0.27*20000/D4*10/1000*20</f>
        <v>108</v>
      </c>
      <c r="U4" s="1" t="s">
        <v>3</v>
      </c>
      <c r="V4" s="14">
        <f>0.18*20000/D4*20</f>
        <v>7200</v>
      </c>
      <c r="W4" s="1" t="s">
        <v>464</v>
      </c>
    </row>
    <row r="5" spans="1:23" x14ac:dyDescent="0.25">
      <c r="A5" s="1" t="s">
        <v>159</v>
      </c>
      <c r="B5" s="1">
        <v>2012</v>
      </c>
      <c r="C5" s="1" t="s">
        <v>164</v>
      </c>
      <c r="D5" s="1">
        <v>10</v>
      </c>
      <c r="E5" s="1" t="s">
        <v>3</v>
      </c>
      <c r="F5" s="1">
        <f>0.19*20000/D5*20</f>
        <v>7600</v>
      </c>
      <c r="G5" s="1" t="s">
        <v>3</v>
      </c>
      <c r="H5" s="1" t="s">
        <v>3</v>
      </c>
      <c r="I5" s="1" t="s">
        <v>3</v>
      </c>
      <c r="J5" s="14">
        <f>0.32*20000/D5/1000*20</f>
        <v>12.8</v>
      </c>
      <c r="K5" s="1">
        <f>0.26*10*20000/D5*20</f>
        <v>104000</v>
      </c>
      <c r="L5" s="14" t="s">
        <v>3</v>
      </c>
      <c r="M5" s="1" t="s">
        <v>3</v>
      </c>
      <c r="N5" s="14" t="s">
        <v>3</v>
      </c>
      <c r="O5" s="14">
        <f>0.58/1000*20000/D5*20</f>
        <v>23.2</v>
      </c>
      <c r="P5" s="14">
        <f>0.06*20000/D5*0.326*20</f>
        <v>782.40000000000009</v>
      </c>
      <c r="Q5" s="14" t="s">
        <v>3</v>
      </c>
      <c r="R5" s="14">
        <f>0.62*20000/D5/1000*20</f>
        <v>24.8</v>
      </c>
      <c r="S5" s="14">
        <f>0.08*20000/D5</f>
        <v>160</v>
      </c>
      <c r="T5" s="14">
        <f>0.27*20000/D5*10/1000*20</f>
        <v>108</v>
      </c>
      <c r="U5" s="1" t="s">
        <v>3</v>
      </c>
      <c r="V5" s="14">
        <f>0.18*20000/D5*20</f>
        <v>7200</v>
      </c>
      <c r="W5" s="59" t="s">
        <v>465</v>
      </c>
    </row>
    <row r="6" spans="1:23" x14ac:dyDescent="0.25">
      <c r="A6" s="1" t="s">
        <v>159</v>
      </c>
      <c r="B6" s="1">
        <v>2012</v>
      </c>
      <c r="C6" s="1" t="s">
        <v>165</v>
      </c>
      <c r="D6" s="1">
        <v>10</v>
      </c>
      <c r="E6" s="1" t="s">
        <v>3</v>
      </c>
      <c r="F6" s="1">
        <f>0.18*20000/D6*20</f>
        <v>7200</v>
      </c>
      <c r="G6" s="1" t="s">
        <v>3</v>
      </c>
      <c r="H6" s="1" t="s">
        <v>3</v>
      </c>
      <c r="I6" s="1" t="s">
        <v>3</v>
      </c>
      <c r="J6" s="14">
        <f>0.32*20000/D6/1000*20</f>
        <v>12.8</v>
      </c>
      <c r="K6" s="1">
        <f>0.26*10*20000/D6*20</f>
        <v>104000</v>
      </c>
      <c r="L6" s="14" t="s">
        <v>3</v>
      </c>
      <c r="M6" s="1" t="s">
        <v>3</v>
      </c>
      <c r="N6" s="14" t="s">
        <v>3</v>
      </c>
      <c r="O6" s="14">
        <f>0.58/1000*20000/D6*20</f>
        <v>23.2</v>
      </c>
      <c r="P6" s="14">
        <f>0.06*20000/D6*0.326*20</f>
        <v>782.40000000000009</v>
      </c>
      <c r="Q6" s="14" t="s">
        <v>3</v>
      </c>
      <c r="R6" s="14">
        <f>0.62*20000/D6/1000*20</f>
        <v>24.8</v>
      </c>
      <c r="S6" s="14">
        <f>0.08*20000/D6</f>
        <v>160</v>
      </c>
      <c r="T6" s="14">
        <f>0.27*20000/D6*10/1000*20</f>
        <v>108</v>
      </c>
      <c r="U6" s="1" t="s">
        <v>3</v>
      </c>
      <c r="V6" s="14">
        <f>0.18*20000/D6*20</f>
        <v>7200</v>
      </c>
      <c r="W6" s="1" t="s">
        <v>3</v>
      </c>
    </row>
    <row r="7" spans="1:23" x14ac:dyDescent="0.25">
      <c r="A7" s="1" t="s">
        <v>159</v>
      </c>
      <c r="B7" s="1">
        <v>2012</v>
      </c>
      <c r="C7" s="1" t="s">
        <v>166</v>
      </c>
      <c r="D7" s="1">
        <v>10</v>
      </c>
      <c r="E7" s="1" t="s">
        <v>3</v>
      </c>
      <c r="F7" s="1">
        <f>0.18*20000/D7*20</f>
        <v>7200</v>
      </c>
      <c r="G7" s="1" t="s">
        <v>3</v>
      </c>
      <c r="H7" s="1" t="s">
        <v>3</v>
      </c>
      <c r="I7" s="1" t="s">
        <v>3</v>
      </c>
      <c r="J7" s="14">
        <f>0.32*20000/D7/1000*20</f>
        <v>12.8</v>
      </c>
      <c r="K7" s="1">
        <f>0.26*10*20000/D7*20</f>
        <v>104000</v>
      </c>
      <c r="L7" s="14" t="s">
        <v>3</v>
      </c>
      <c r="M7" s="1" t="s">
        <v>3</v>
      </c>
      <c r="N7" s="14" t="s">
        <v>3</v>
      </c>
      <c r="O7" s="14">
        <f>0.58/1000*20000/D7*20</f>
        <v>23.2</v>
      </c>
      <c r="P7" s="14">
        <f>0.06*20000/D7*0.326*20</f>
        <v>782.40000000000009</v>
      </c>
      <c r="Q7" s="14" t="s">
        <v>3</v>
      </c>
      <c r="R7" s="14">
        <f>0.62*20000/D7/1000*20</f>
        <v>24.8</v>
      </c>
      <c r="S7" s="14">
        <f>0.08*20000/D7</f>
        <v>160</v>
      </c>
      <c r="T7" s="14">
        <f>0.27*20000/D7*10/1000*20</f>
        <v>108</v>
      </c>
      <c r="U7" s="1" t="s">
        <v>3</v>
      </c>
      <c r="V7" s="14">
        <f>0.18*20000/D7*20</f>
        <v>7200</v>
      </c>
      <c r="W7" s="1" t="s">
        <v>3</v>
      </c>
    </row>
    <row r="8" spans="1:23" x14ac:dyDescent="0.25">
      <c r="A8" s="1" t="s">
        <v>168</v>
      </c>
      <c r="B8" s="1">
        <v>2021</v>
      </c>
      <c r="C8" s="1" t="s">
        <v>161</v>
      </c>
      <c r="D8" s="1">
        <v>10</v>
      </c>
      <c r="E8" s="1" t="s">
        <v>3</v>
      </c>
      <c r="F8" s="1">
        <f>4000/D8</f>
        <v>400</v>
      </c>
      <c r="G8" s="6">
        <v>0.111</v>
      </c>
      <c r="H8" s="14">
        <f>(21130/100+161797/10000)/D8</f>
        <v>22.747970000000002</v>
      </c>
      <c r="I8" s="1" t="s">
        <v>3</v>
      </c>
      <c r="J8" s="14" t="s">
        <v>3</v>
      </c>
      <c r="K8" s="14">
        <f>15391/D8*41.87</f>
        <v>64442.116999999991</v>
      </c>
      <c r="L8" s="14">
        <f>12834/D8</f>
        <v>1283.4000000000001</v>
      </c>
      <c r="M8" s="7">
        <f>34230/D8/1000</f>
        <v>3.423</v>
      </c>
      <c r="N8" s="14" t="s">
        <v>3</v>
      </c>
      <c r="O8" s="14">
        <f>101871/1000/D8</f>
        <v>10.187099999999999</v>
      </c>
      <c r="P8" s="14">
        <f>12214/D8</f>
        <v>1221.4000000000001</v>
      </c>
      <c r="Q8" s="14">
        <f>18354/D8</f>
        <v>1835.4</v>
      </c>
      <c r="R8" s="14">
        <f>71484/D8/100</f>
        <v>71.483999999999995</v>
      </c>
      <c r="S8" s="14">
        <f>6965/D8/10</f>
        <v>69.650000000000006</v>
      </c>
      <c r="T8" s="14">
        <f>45216/1000/D8</f>
        <v>4.5216000000000003</v>
      </c>
      <c r="U8" s="1" t="s">
        <v>3</v>
      </c>
      <c r="V8" s="14">
        <f>118427/D8</f>
        <v>11842.7</v>
      </c>
      <c r="W8" s="1" t="s">
        <v>3</v>
      </c>
    </row>
    <row r="9" spans="1:23" x14ac:dyDescent="0.25">
      <c r="A9" s="1" t="s">
        <v>168</v>
      </c>
      <c r="B9" s="1">
        <v>2021</v>
      </c>
      <c r="C9" s="1" t="s">
        <v>162</v>
      </c>
      <c r="D9" s="1">
        <v>10</v>
      </c>
      <c r="E9" s="1" t="s">
        <v>3</v>
      </c>
      <c r="F9" s="14">
        <f>5200/D9</f>
        <v>520</v>
      </c>
      <c r="G9" s="6">
        <v>9.7000000000000003E-2</v>
      </c>
      <c r="H9" s="14">
        <f>(17362/100+137041/10000)/D9</f>
        <v>18.732410000000002</v>
      </c>
      <c r="I9" s="1" t="s">
        <v>3</v>
      </c>
      <c r="J9" s="14" t="s">
        <v>3</v>
      </c>
      <c r="K9" s="14">
        <f>14172/D9*41.87</f>
        <v>59338.163999999997</v>
      </c>
      <c r="L9" s="14">
        <f>12400/D9</f>
        <v>1240</v>
      </c>
      <c r="M9" s="7">
        <f>31958/D9/1000</f>
        <v>3.1958000000000002</v>
      </c>
      <c r="N9" s="14" t="s">
        <v>3</v>
      </c>
      <c r="O9" s="14">
        <f>92671/1000/D9</f>
        <v>9.267100000000001</v>
      </c>
      <c r="P9" s="14">
        <f>9564/D9</f>
        <v>956.4</v>
      </c>
      <c r="Q9" s="14">
        <f>14459/D9</f>
        <v>1445.9</v>
      </c>
      <c r="R9" s="14">
        <f>57319/D9/100</f>
        <v>57.318999999999996</v>
      </c>
      <c r="S9" s="14">
        <f>5648/D9/10</f>
        <v>56.48</v>
      </c>
      <c r="T9" s="14">
        <f>37387/1000/D9</f>
        <v>3.7387000000000001</v>
      </c>
      <c r="U9" s="1" t="s">
        <v>3</v>
      </c>
      <c r="V9" s="14">
        <f>75850/D9</f>
        <v>7585</v>
      </c>
      <c r="W9" s="1" t="s">
        <v>3</v>
      </c>
    </row>
    <row r="10" spans="1:23" x14ac:dyDescent="0.25">
      <c r="A10" s="1" t="s">
        <v>170</v>
      </c>
      <c r="B10" s="1">
        <v>2021</v>
      </c>
      <c r="C10" s="1" t="s">
        <v>172</v>
      </c>
      <c r="D10" s="1">
        <v>10</v>
      </c>
      <c r="E10" s="1" t="s">
        <v>0</v>
      </c>
      <c r="F10" s="14">
        <f>2000/D10</f>
        <v>200</v>
      </c>
      <c r="G10" s="6">
        <f>43000/20000/20</f>
        <v>0.1075</v>
      </c>
      <c r="H10" s="1" t="s">
        <v>3</v>
      </c>
      <c r="I10" s="1" t="s">
        <v>3</v>
      </c>
      <c r="J10" s="14" t="s">
        <v>3</v>
      </c>
      <c r="K10" s="14">
        <f>13000/D10*41.87</f>
        <v>54431</v>
      </c>
      <c r="L10" s="14">
        <f>8000/D10</f>
        <v>800</v>
      </c>
      <c r="M10" s="1">
        <f>35/D10</f>
        <v>3.5</v>
      </c>
      <c r="N10" s="14" t="s">
        <v>3</v>
      </c>
      <c r="O10" s="14">
        <f>110/D10</f>
        <v>11</v>
      </c>
      <c r="P10" s="14" t="s">
        <v>3</v>
      </c>
      <c r="Q10" s="1" t="s">
        <v>3</v>
      </c>
      <c r="R10" s="1" t="s">
        <v>3</v>
      </c>
      <c r="S10" s="1" t="s">
        <v>3</v>
      </c>
      <c r="T10" s="1" t="s">
        <v>3</v>
      </c>
      <c r="U10" s="1" t="s">
        <v>3</v>
      </c>
      <c r="V10" s="14">
        <f>0.0037*10^6/D10</f>
        <v>370</v>
      </c>
      <c r="W10" s="59" t="s">
        <v>466</v>
      </c>
    </row>
    <row r="11" spans="1:23" x14ac:dyDescent="0.25">
      <c r="A11" s="1" t="s">
        <v>174</v>
      </c>
      <c r="B11" s="1">
        <v>2022</v>
      </c>
      <c r="C11" s="1" t="s">
        <v>162</v>
      </c>
      <c r="D11" s="1">
        <v>13.7</v>
      </c>
      <c r="E11" s="1" t="s">
        <v>3</v>
      </c>
      <c r="F11" s="14">
        <f>(0.00654+0.000344+0.000633)/D11*400975</f>
        <v>220.00942153284672</v>
      </c>
      <c r="G11" s="6" t="s">
        <v>3</v>
      </c>
      <c r="H11" s="14">
        <f>(0.000143+0.00000365+0.00237+0.0000322)*400975/D11</f>
        <v>74.600374361313868</v>
      </c>
      <c r="I11" s="1" t="s">
        <v>3</v>
      </c>
      <c r="J11" s="14" t="s">
        <v>3</v>
      </c>
      <c r="K11" s="14">
        <f>(0.00433+0.184+0.00577+0.00000375+1.59+0.00353+0.011+0.00253)*400975/D11</f>
        <v>52716.907639142337</v>
      </c>
      <c r="L11" s="1" t="s">
        <v>3</v>
      </c>
      <c r="M11" s="7">
        <f>(0.00000905+0.000000668+0.0000836+0.00000299)*400975/D11</f>
        <v>2.8187664452554744</v>
      </c>
      <c r="N11" s="14" t="s">
        <v>3</v>
      </c>
      <c r="O11" s="14">
        <f>(0.000053+0.00000276+0.000542+0.0000185)*400975/D11</f>
        <v>18.036850620437953</v>
      </c>
      <c r="P11" s="14">
        <f>(0.00000893+0.0000000409+0.0000187+0.0000051)*1000*400975/D11*0.326</f>
        <v>312.68186792445255</v>
      </c>
      <c r="Q11" s="1" t="s">
        <v>3</v>
      </c>
      <c r="R11" s="1" t="s">
        <v>3</v>
      </c>
      <c r="S11" s="1" t="s">
        <v>3</v>
      </c>
      <c r="T11" s="1" t="s">
        <v>3</v>
      </c>
      <c r="U11" s="14">
        <f>(0.0318+0.0042+1.74+0.0126)*400975/D11/1000</f>
        <v>52.349188686131392</v>
      </c>
      <c r="V11" s="14">
        <f>(0.000000000502+0.000000000057+0.0000000133+0.000000000192)*10^6*400975/D11</f>
        <v>411.24815510948906</v>
      </c>
      <c r="W11" s="1" t="s">
        <v>468</v>
      </c>
    </row>
    <row r="12" spans="1:23" x14ac:dyDescent="0.25">
      <c r="A12" s="1" t="s">
        <v>174</v>
      </c>
      <c r="B12" s="1">
        <v>2022</v>
      </c>
      <c r="C12" s="1" t="s">
        <v>161</v>
      </c>
      <c r="D12" s="1">
        <v>13.7</v>
      </c>
      <c r="E12" s="1" t="s">
        <v>3</v>
      </c>
      <c r="F12" s="14">
        <f>(0.00181+0.00015+0.000714)*400975/D12</f>
        <v>78.263295620437958</v>
      </c>
      <c r="G12" s="6">
        <f>0.107</f>
        <v>0.107</v>
      </c>
      <c r="H12" s="14">
        <f>(0.0000682+0.00000327+0.0028+0.0000369)*400975/D12</f>
        <v>85.122894945255482</v>
      </c>
      <c r="I12" s="1" t="s">
        <v>3</v>
      </c>
      <c r="J12" s="14" t="s">
        <v>3</v>
      </c>
      <c r="K12" s="14">
        <f>(0.00485+0.0301+0.00264+0.00000189+1.88+0.00416+0.0126+0.00291)*400975/D12</f>
        <v>56700.261776843057</v>
      </c>
      <c r="L12" s="1" t="s">
        <v>3</v>
      </c>
      <c r="M12" s="7">
        <f>(0.00000646+0.000000132+0.0000986+0.00000342)*400975/D12</f>
        <v>3.1788829708029196</v>
      </c>
      <c r="N12" s="14" t="s">
        <v>3</v>
      </c>
      <c r="O12" s="14">
        <f>(0.0000384+0.000000876+0.000639+0.0000213)*400975/D12</f>
        <v>20.475363985401462</v>
      </c>
      <c r="P12" s="14">
        <f>(0.0000098+0.0000000231+0.000022+0.00000587)*1000*400975/D12*0.326</f>
        <v>359.64678772518249</v>
      </c>
      <c r="Q12" s="1" t="s">
        <v>3</v>
      </c>
      <c r="R12" s="1" t="s">
        <v>3</v>
      </c>
      <c r="S12" s="1" t="s">
        <v>3</v>
      </c>
      <c r="T12" s="1" t="s">
        <v>3</v>
      </c>
      <c r="U12" s="14">
        <f>(0.028+0.00289+2.05+0.0144)*400975/D12/1000</f>
        <v>61.325467718978096</v>
      </c>
      <c r="V12" s="14">
        <f>(0.000000000417+0.0000000000219+0.0000000157+0.000000000221)*10^6*400975/D12</f>
        <v>478.82561332116791</v>
      </c>
      <c r="W12" s="1" t="s">
        <v>3</v>
      </c>
    </row>
    <row r="13" spans="1:23" x14ac:dyDescent="0.25">
      <c r="A13" s="1" t="s">
        <v>176</v>
      </c>
      <c r="B13" s="1">
        <v>2024</v>
      </c>
      <c r="C13" s="1" t="s">
        <v>161</v>
      </c>
      <c r="D13" s="1">
        <v>5</v>
      </c>
      <c r="E13" s="1" t="s">
        <v>3</v>
      </c>
      <c r="F13" s="14">
        <f>(766+65+2431+219+247+1388+26)/D13</f>
        <v>1028.4000000000001</v>
      </c>
      <c r="G13" s="6">
        <v>0.09</v>
      </c>
      <c r="H13" s="1" t="s">
        <v>3</v>
      </c>
      <c r="I13" s="1" t="s">
        <v>3</v>
      </c>
      <c r="J13" s="14" t="s">
        <v>3</v>
      </c>
      <c r="K13" s="14">
        <f>791439.62/D13</f>
        <v>158287.924</v>
      </c>
      <c r="L13" s="1" t="s">
        <v>3</v>
      </c>
      <c r="M13" s="1" t="s">
        <v>3</v>
      </c>
      <c r="N13" s="14" t="s">
        <v>3</v>
      </c>
      <c r="O13" s="14">
        <f>198.78/D13</f>
        <v>39.756</v>
      </c>
      <c r="P13" s="14">
        <f>6.58*1000*0.326/D13</f>
        <v>429.01599999999996</v>
      </c>
      <c r="Q13" s="1" t="s">
        <v>3</v>
      </c>
      <c r="R13" s="1" t="s">
        <v>3</v>
      </c>
      <c r="S13" s="1" t="s">
        <v>3</v>
      </c>
      <c r="T13" s="1" t="s">
        <v>3</v>
      </c>
      <c r="U13" s="1" t="s">
        <v>3</v>
      </c>
      <c r="V13" s="1">
        <f>0.04*10^6/D13</f>
        <v>8000</v>
      </c>
      <c r="W13" s="1" t="s">
        <v>3</v>
      </c>
    </row>
    <row r="15" spans="1:23" x14ac:dyDescent="0.25">
      <c r="F15" s="14"/>
      <c r="G15" s="14"/>
      <c r="H15" s="14"/>
      <c r="I15" s="14"/>
      <c r="J15" s="14"/>
      <c r="K15" s="14"/>
      <c r="L15" s="14"/>
      <c r="M15" s="14"/>
      <c r="N15" s="14"/>
      <c r="O15" s="14"/>
      <c r="P15" s="14"/>
      <c r="Q15" s="14"/>
      <c r="R15" s="14"/>
      <c r="S15" s="14"/>
      <c r="T15" s="14"/>
      <c r="U15" s="14"/>
      <c r="V15" s="14"/>
    </row>
    <row r="16" spans="1:23" x14ac:dyDescent="0.25">
      <c r="F16" s="14"/>
      <c r="G16" s="14"/>
      <c r="H16" s="14"/>
      <c r="I16" s="14"/>
      <c r="J16" s="14"/>
      <c r="K16" s="14"/>
      <c r="L16" s="14"/>
      <c r="M16" s="14"/>
      <c r="N16" s="14"/>
      <c r="O16" s="14"/>
      <c r="P16" s="14"/>
      <c r="Q16" s="14"/>
      <c r="R16" s="14"/>
      <c r="S16" s="14"/>
      <c r="T16" s="14"/>
      <c r="U16" s="14"/>
      <c r="V16" s="14"/>
    </row>
    <row r="17" spans="6:22" x14ac:dyDescent="0.25">
      <c r="F17" s="14"/>
      <c r="G17" s="14"/>
      <c r="H17" s="14"/>
      <c r="I17" s="14"/>
      <c r="J17" s="14"/>
      <c r="K17" s="14"/>
      <c r="L17" s="14"/>
      <c r="M17" s="14"/>
      <c r="N17" s="14"/>
      <c r="O17" s="14"/>
      <c r="P17" s="14"/>
      <c r="Q17" s="14"/>
      <c r="R17" s="14"/>
      <c r="S17" s="14"/>
      <c r="T17" s="14"/>
      <c r="U17" s="14"/>
      <c r="V17" s="14"/>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8E4897-4521-421E-A717-C07152FD6664}">
  <sheetPr>
    <tabColor rgb="FFFECC90"/>
  </sheetPr>
  <dimension ref="A1:X15"/>
  <sheetViews>
    <sheetView zoomScaleNormal="100" workbookViewId="0">
      <pane xSplit="5" ySplit="1" topLeftCell="F2" activePane="bottomRight" state="frozen"/>
      <selection pane="topRight" activeCell="F1" sqref="F1"/>
      <selection pane="bottomLeft" activeCell="A2" sqref="A2"/>
      <selection pane="bottomRight" activeCell="W20" sqref="W20"/>
    </sheetView>
  </sheetViews>
  <sheetFormatPr defaultColWidth="9.140625" defaultRowHeight="15" x14ac:dyDescent="0.25"/>
  <cols>
    <col min="1" max="1" width="18" style="1" bestFit="1" customWidth="1"/>
    <col min="2" max="2" width="11.28515625" style="1" bestFit="1" customWidth="1"/>
    <col min="3" max="3" width="11" style="1" bestFit="1" customWidth="1"/>
    <col min="4" max="4" width="10" style="1" bestFit="1" customWidth="1"/>
    <col min="5" max="5" width="10.5703125" style="1" bestFit="1" customWidth="1"/>
    <col min="6" max="6" width="31" style="1" bestFit="1" customWidth="1"/>
    <col min="7" max="7" width="30.140625" style="1" bestFit="1" customWidth="1"/>
    <col min="8" max="8" width="15.5703125" style="1" bestFit="1" customWidth="1"/>
    <col min="9" max="9" width="17.28515625" style="1" bestFit="1" customWidth="1"/>
    <col min="10" max="10" width="18.5703125" style="1" bestFit="1" customWidth="1"/>
    <col min="11" max="11" width="15.5703125" style="1" bestFit="1" customWidth="1"/>
    <col min="12" max="12" width="15.42578125" style="1" bestFit="1" customWidth="1"/>
    <col min="13" max="13" width="20.7109375" style="1" bestFit="1" customWidth="1"/>
    <col min="14" max="14" width="17.5703125" style="1" bestFit="1" customWidth="1"/>
    <col min="15" max="15" width="15" style="1" bestFit="1" customWidth="1"/>
    <col min="16" max="16" width="15.85546875" style="1" bestFit="1" customWidth="1"/>
    <col min="17" max="17" width="20" style="1" bestFit="1" customWidth="1"/>
    <col min="18" max="18" width="20.5703125" style="1" bestFit="1" customWidth="1"/>
    <col min="19" max="19" width="20" style="1" bestFit="1" customWidth="1"/>
    <col min="20" max="20" width="20.5703125" style="1" bestFit="1" customWidth="1"/>
    <col min="21" max="21" width="20.28515625" style="1" bestFit="1" customWidth="1"/>
    <col min="22" max="22" width="21.5703125" style="1" bestFit="1" customWidth="1"/>
    <col min="23" max="23" width="18.42578125" style="1" bestFit="1" customWidth="1"/>
    <col min="24" max="24" width="68.42578125" style="1" bestFit="1" customWidth="1"/>
    <col min="25" max="16384" width="9.140625" style="1"/>
  </cols>
  <sheetData>
    <row r="1" spans="1:24" s="4" customFormat="1" x14ac:dyDescent="0.25">
      <c r="A1" s="3" t="s">
        <v>7</v>
      </c>
      <c r="B1" s="3" t="s">
        <v>4</v>
      </c>
      <c r="C1" s="3" t="s">
        <v>5</v>
      </c>
      <c r="D1" s="3" t="s">
        <v>324</v>
      </c>
      <c r="E1" s="3" t="s">
        <v>326</v>
      </c>
      <c r="F1" s="3" t="s">
        <v>345</v>
      </c>
      <c r="G1" s="3" t="s">
        <v>346</v>
      </c>
      <c r="H1" s="3" t="s">
        <v>347</v>
      </c>
      <c r="I1" s="3" t="s">
        <v>348</v>
      </c>
      <c r="J1" s="3" t="s">
        <v>367</v>
      </c>
      <c r="K1" s="3" t="s">
        <v>349</v>
      </c>
      <c r="L1" s="3" t="s">
        <v>350</v>
      </c>
      <c r="M1" s="3" t="s">
        <v>352</v>
      </c>
      <c r="N1" s="3" t="s">
        <v>354</v>
      </c>
      <c r="O1" s="60" t="s">
        <v>355</v>
      </c>
      <c r="P1" s="3" t="s">
        <v>356</v>
      </c>
      <c r="Q1" s="61" t="s">
        <v>429</v>
      </c>
      <c r="R1" s="61" t="s">
        <v>437</v>
      </c>
      <c r="S1" s="61" t="s">
        <v>440</v>
      </c>
      <c r="T1" s="3" t="s">
        <v>431</v>
      </c>
      <c r="U1" s="3" t="s">
        <v>359</v>
      </c>
      <c r="V1" s="3" t="s">
        <v>441</v>
      </c>
      <c r="W1" s="3" t="s">
        <v>360</v>
      </c>
      <c r="X1" s="4" t="s">
        <v>14</v>
      </c>
    </row>
    <row r="2" spans="1:24" x14ac:dyDescent="0.25">
      <c r="A2" s="1" t="s">
        <v>178</v>
      </c>
      <c r="B2" s="1">
        <v>2021</v>
      </c>
      <c r="C2" s="1" t="s">
        <v>179</v>
      </c>
      <c r="D2" s="1">
        <v>100</v>
      </c>
      <c r="E2" s="1" t="s">
        <v>180</v>
      </c>
      <c r="F2" s="14">
        <f>0.0386*2500*12*79/D2</f>
        <v>914.82</v>
      </c>
      <c r="G2" s="1" t="s">
        <v>3</v>
      </c>
      <c r="H2" s="14">
        <f>0.000799*2500*12</f>
        <v>23.97</v>
      </c>
      <c r="I2" s="14">
        <f>J2*2.5</f>
        <v>30.374999999999996</v>
      </c>
      <c r="J2" s="14">
        <f>0.000405*2500*12</f>
        <v>12.149999999999999</v>
      </c>
      <c r="K2" s="14">
        <f>0.0027*2500*12*41.87</f>
        <v>3391.47</v>
      </c>
      <c r="L2" s="14">
        <f>0.000106*2500*12</f>
        <v>3.18</v>
      </c>
      <c r="M2" s="7">
        <f>0.00000937*2500*12</f>
        <v>0.28110000000000002</v>
      </c>
      <c r="N2" s="7">
        <f>0.0000285*2500*12</f>
        <v>0.85500000000000009</v>
      </c>
      <c r="O2" s="7">
        <f>0.00000000776*1000*2500*12</f>
        <v>0.23280000000000001</v>
      </c>
      <c r="P2" s="14">
        <f>0.0000000819*1000*2500*12</f>
        <v>2.4569999999999999</v>
      </c>
      <c r="Q2" s="7">
        <f>0.00000234*2500*12</f>
        <v>7.0199999999999999E-2</v>
      </c>
      <c r="R2" s="7">
        <f>0.0000232*2500*12</f>
        <v>0.69600000000000006</v>
      </c>
      <c r="S2" s="14">
        <f>0.0414*2500*12</f>
        <v>1242</v>
      </c>
      <c r="T2" s="14">
        <f>0.000155*2500*12</f>
        <v>4.6500000000000004</v>
      </c>
      <c r="U2" s="7">
        <f>0.00000578*2500*12</f>
        <v>0.1734</v>
      </c>
      <c r="V2" s="14">
        <f>0.000947*2500*12</f>
        <v>28.410000000000004</v>
      </c>
      <c r="W2" s="14">
        <f>0.00000000188*10^6*2500*12</f>
        <v>56.400000000000006</v>
      </c>
      <c r="X2" s="1" t="s">
        <v>470</v>
      </c>
    </row>
    <row r="3" spans="1:24" x14ac:dyDescent="0.25">
      <c r="A3" s="1" t="s">
        <v>182</v>
      </c>
      <c r="B3" s="1">
        <v>2022</v>
      </c>
      <c r="C3" s="1" t="s">
        <v>3</v>
      </c>
      <c r="D3" s="1">
        <v>5</v>
      </c>
      <c r="E3" s="1" t="s">
        <v>184</v>
      </c>
      <c r="F3" s="1">
        <f>3920/D3</f>
        <v>784</v>
      </c>
      <c r="G3" s="1" t="s">
        <v>3</v>
      </c>
      <c r="H3" s="1" t="s">
        <v>3</v>
      </c>
      <c r="I3" s="1" t="s">
        <v>3</v>
      </c>
      <c r="J3" s="1" t="s">
        <v>3</v>
      </c>
      <c r="K3" s="1">
        <f>65700/D3</f>
        <v>13140</v>
      </c>
      <c r="L3" s="14">
        <f>25600/D3/1000</f>
        <v>5.12</v>
      </c>
      <c r="M3" s="1" t="s">
        <v>3</v>
      </c>
      <c r="N3" s="7">
        <f>10.1/D3</f>
        <v>2.02</v>
      </c>
      <c r="O3" s="1" t="s">
        <v>3</v>
      </c>
      <c r="P3" s="1" t="s">
        <v>3</v>
      </c>
      <c r="Q3" s="1" t="s">
        <v>3</v>
      </c>
      <c r="R3" s="1" t="s">
        <v>3</v>
      </c>
      <c r="S3" s="1" t="s">
        <v>3</v>
      </c>
      <c r="T3" s="14" t="s">
        <v>3</v>
      </c>
      <c r="U3" s="1" t="s">
        <v>3</v>
      </c>
      <c r="V3" s="1" t="s">
        <v>3</v>
      </c>
      <c r="W3" s="1" t="s">
        <v>3</v>
      </c>
      <c r="X3" s="1" t="s">
        <v>3</v>
      </c>
    </row>
    <row r="4" spans="1:24" x14ac:dyDescent="0.25">
      <c r="A4" s="1" t="s">
        <v>185</v>
      </c>
      <c r="B4" s="1">
        <v>2023</v>
      </c>
      <c r="C4" s="1" t="s">
        <v>3</v>
      </c>
      <c r="D4" s="1">
        <v>400</v>
      </c>
      <c r="E4" s="1" t="s">
        <v>189</v>
      </c>
      <c r="F4" s="14">
        <f>447000/D4</f>
        <v>1117.5</v>
      </c>
      <c r="G4" s="1" t="s">
        <v>3</v>
      </c>
      <c r="H4" s="14">
        <f>11700/D4</f>
        <v>29.25</v>
      </c>
      <c r="I4" s="14">
        <f>J4*2.5</f>
        <v>100.625</v>
      </c>
      <c r="J4" s="14">
        <f>16100/D4</f>
        <v>40.25</v>
      </c>
      <c r="K4" s="14">
        <f>115000/D4*41.87</f>
        <v>12037.625</v>
      </c>
      <c r="L4" s="14">
        <f>4070/D4</f>
        <v>10.175000000000001</v>
      </c>
      <c r="M4" s="7">
        <f>1430/D4</f>
        <v>3.5750000000000002</v>
      </c>
      <c r="N4" s="7">
        <f>3260/D4</f>
        <v>8.15</v>
      </c>
      <c r="O4" s="14">
        <f>291*1000/D4</f>
        <v>727.5</v>
      </c>
      <c r="P4" s="14">
        <f>16.1*1000/D4</f>
        <v>40.250000000000007</v>
      </c>
      <c r="Q4" s="14">
        <f>129000/D4</f>
        <v>322.5</v>
      </c>
      <c r="R4" s="14">
        <f>165000/D4</f>
        <v>412.5</v>
      </c>
      <c r="S4" s="1">
        <f>6670000/D4</f>
        <v>16675</v>
      </c>
      <c r="T4" s="14">
        <f>25300/D4</f>
        <v>63.25</v>
      </c>
      <c r="U4" s="14">
        <f>123000/D4</f>
        <v>307.5</v>
      </c>
      <c r="V4" s="1">
        <f>1370000/D4</f>
        <v>3425</v>
      </c>
      <c r="W4" s="14">
        <f>0.904*10^6/D4</f>
        <v>2260</v>
      </c>
      <c r="X4" s="1" t="s">
        <v>3</v>
      </c>
    </row>
    <row r="5" spans="1:24" x14ac:dyDescent="0.25">
      <c r="A5" s="1" t="s">
        <v>185</v>
      </c>
      <c r="B5" s="1">
        <v>2023</v>
      </c>
      <c r="C5" s="1" t="s">
        <v>3</v>
      </c>
      <c r="D5" s="1">
        <v>400</v>
      </c>
      <c r="E5" s="1" t="s">
        <v>190</v>
      </c>
      <c r="F5" s="14">
        <f>619000/D5</f>
        <v>1547.5</v>
      </c>
      <c r="G5" s="1" t="s">
        <v>3</v>
      </c>
      <c r="H5" s="14">
        <f>16200/D5</f>
        <v>40.5</v>
      </c>
      <c r="I5" s="14">
        <f t="shared" ref="I5:I7" si="0">J5*2.5</f>
        <v>139.375</v>
      </c>
      <c r="J5" s="14">
        <f>22300/D5</f>
        <v>55.75</v>
      </c>
      <c r="K5" s="14">
        <f>159000/D5*41.87</f>
        <v>16643.325000000001</v>
      </c>
      <c r="L5" s="14">
        <f>5630/D5</f>
        <v>14.074999999999999</v>
      </c>
      <c r="M5" s="7">
        <f>1980/D5</f>
        <v>4.95</v>
      </c>
      <c r="N5" s="14">
        <f>4520/D5</f>
        <v>11.3</v>
      </c>
      <c r="O5" s="14">
        <f>403*1000/D5</f>
        <v>1007.5</v>
      </c>
      <c r="P5" s="14">
        <f>22.3*1000/D5</f>
        <v>55.75</v>
      </c>
      <c r="Q5" s="14">
        <f>178000/D5</f>
        <v>445</v>
      </c>
      <c r="R5" s="14">
        <f>229000 /D5</f>
        <v>572.5</v>
      </c>
      <c r="S5" s="1">
        <f>9260000/D5</f>
        <v>23150</v>
      </c>
      <c r="T5" s="14">
        <f>35100/D5</f>
        <v>87.75</v>
      </c>
      <c r="U5" s="14">
        <f>171000/D5</f>
        <v>427.5</v>
      </c>
      <c r="V5" s="1">
        <f>1900000/D5</f>
        <v>4750</v>
      </c>
      <c r="W5" s="14">
        <f>1.25*10^6/D5</f>
        <v>3125</v>
      </c>
      <c r="X5" s="1" t="s">
        <v>3</v>
      </c>
    </row>
    <row r="6" spans="1:24" x14ac:dyDescent="0.25">
      <c r="A6" s="1" t="s">
        <v>185</v>
      </c>
      <c r="B6" s="1">
        <v>2023</v>
      </c>
      <c r="C6" s="1" t="s">
        <v>3</v>
      </c>
      <c r="D6" s="1">
        <v>400</v>
      </c>
      <c r="E6" s="1" t="s">
        <v>191</v>
      </c>
      <c r="F6" s="14">
        <f>402000/D6</f>
        <v>1005</v>
      </c>
      <c r="G6" s="1" t="s">
        <v>3</v>
      </c>
      <c r="H6" s="14">
        <f>10500/D6</f>
        <v>26.25</v>
      </c>
      <c r="I6" s="14">
        <f t="shared" si="0"/>
        <v>90.625</v>
      </c>
      <c r="J6" s="14">
        <f>14500/D6</f>
        <v>36.25</v>
      </c>
      <c r="K6" s="14">
        <f>104000/D6*41.87</f>
        <v>10886.199999999999</v>
      </c>
      <c r="L6" s="14">
        <f>3660/D6</f>
        <v>9.15</v>
      </c>
      <c r="M6" s="7">
        <f>1280/D6</f>
        <v>3.2</v>
      </c>
      <c r="N6" s="7">
        <f>2930/D6</f>
        <v>7.3250000000000002</v>
      </c>
      <c r="O6" s="1">
        <f>262*1000/D6</f>
        <v>655</v>
      </c>
      <c r="P6" s="14">
        <f>14.5*1000/D6</f>
        <v>36.25</v>
      </c>
      <c r="Q6" s="14">
        <f>116000/D6</f>
        <v>290</v>
      </c>
      <c r="R6" s="14">
        <f>149000/D6</f>
        <v>372.5</v>
      </c>
      <c r="S6" s="1">
        <f>6000000/D6</f>
        <v>15000</v>
      </c>
      <c r="T6" s="14">
        <f>22800/D6</f>
        <v>57</v>
      </c>
      <c r="U6" s="14">
        <f>111000/D6</f>
        <v>277.5</v>
      </c>
      <c r="V6" s="1">
        <f>1230000/D6</f>
        <v>3075</v>
      </c>
      <c r="W6" s="14">
        <f>0.814*10^6/D6</f>
        <v>2035</v>
      </c>
      <c r="X6" s="1" t="s">
        <v>3</v>
      </c>
    </row>
    <row r="7" spans="1:24" x14ac:dyDescent="0.25">
      <c r="A7" s="1" t="s">
        <v>192</v>
      </c>
      <c r="B7" s="1">
        <v>2020</v>
      </c>
      <c r="C7" s="1" t="s">
        <v>3</v>
      </c>
      <c r="D7" s="1">
        <v>1100</v>
      </c>
      <c r="E7" s="1" t="s">
        <v>180</v>
      </c>
      <c r="F7" s="14">
        <f>0.085283*13500*1000/D7*0.3</f>
        <v>313.99649999999997</v>
      </c>
      <c r="G7" s="6">
        <f>0.08528*0.7</f>
        <v>5.9695999999999992E-2</v>
      </c>
      <c r="H7" s="1" t="s">
        <v>3</v>
      </c>
      <c r="I7" s="14">
        <f t="shared" si="0"/>
        <v>8.4375000000000018</v>
      </c>
      <c r="J7" s="14">
        <f>0.000275*13500*1000/D7</f>
        <v>3.3750000000000004</v>
      </c>
      <c r="K7" s="14">
        <f>0.015262*13500*1000/D7*41.87</f>
        <v>7842.5174454545449</v>
      </c>
      <c r="L7" s="14">
        <f>0.009958*13500*1000/D7</f>
        <v>122.21181818181819</v>
      </c>
      <c r="M7" s="7">
        <f>0.000439*13500*1000/D7</f>
        <v>5.3877272727272727</v>
      </c>
      <c r="N7" s="14">
        <f>0.001447*13500*1000/D7</f>
        <v>17.758636363636359</v>
      </c>
      <c r="O7" s="14">
        <f>0.00000583*1000*13500*1000/D7</f>
        <v>71.55</v>
      </c>
      <c r="P7" s="14">
        <f>0.00000833*1000*13500*1000/D7</f>
        <v>102.2318181818182</v>
      </c>
      <c r="Q7" s="14">
        <f xml:space="preserve"> 0.007768*13500*1000/D7</f>
        <v>95.334545454545449</v>
      </c>
      <c r="R7" s="14">
        <f>0.01133*13500*1000/D7</f>
        <v>139.04999999999998</v>
      </c>
      <c r="S7" s="14">
        <f>1.68345*13500*1000/D7</f>
        <v>20660.522727272724</v>
      </c>
      <c r="T7" s="14">
        <f>0.001301*13500*1000/D7</f>
        <v>15.966818181818182</v>
      </c>
      <c r="U7" s="14">
        <f>0.002995*13500*1000/D7</f>
        <v>36.756818181818183</v>
      </c>
      <c r="V7" s="14">
        <f>0.510964*13500*1000/D7</f>
        <v>6270.9218181818169</v>
      </c>
      <c r="W7" s="14">
        <f>0.000000553*10^6*13500*1000/D7</f>
        <v>6786.8181818181829</v>
      </c>
      <c r="X7" s="1" t="s">
        <v>471</v>
      </c>
    </row>
    <row r="8" spans="1:24" x14ac:dyDescent="0.25">
      <c r="A8" s="1" t="s">
        <v>195</v>
      </c>
      <c r="B8" s="1">
        <v>2016</v>
      </c>
      <c r="C8" s="1" t="s">
        <v>198</v>
      </c>
      <c r="D8" s="1">
        <v>10000</v>
      </c>
      <c r="E8" s="1" t="s">
        <v>196</v>
      </c>
      <c r="F8" s="14">
        <f>(89.2-74.4)/1000*3782*30*7000/D8</f>
        <v>1175.4455999999998</v>
      </c>
      <c r="G8" s="6">
        <f>74.4/1000</f>
        <v>7.4400000000000008E-2</v>
      </c>
      <c r="H8" s="7" t="s">
        <v>3</v>
      </c>
      <c r="I8" s="14" t="s">
        <v>3</v>
      </c>
      <c r="J8" s="14" t="s">
        <v>3</v>
      </c>
      <c r="K8" s="14">
        <f>311.5/1000*3782*30*7000/D8</f>
        <v>24739.953000000001</v>
      </c>
      <c r="L8" s="14" t="s">
        <v>3</v>
      </c>
      <c r="M8" s="14" t="s">
        <v>3</v>
      </c>
      <c r="N8" s="14">
        <f>(124.5)/1000*3782*30*7000/D8/1000</f>
        <v>9.8880389999999991</v>
      </c>
      <c r="O8" s="14">
        <f>23.5/1000*3782*30*7000/D8*0.326</f>
        <v>608.45194200000003</v>
      </c>
      <c r="P8" s="14" t="s">
        <v>3</v>
      </c>
      <c r="Q8" s="14" t="s">
        <v>3</v>
      </c>
      <c r="R8" s="14" t="s">
        <v>3</v>
      </c>
      <c r="S8" s="14" t="s">
        <v>3</v>
      </c>
      <c r="T8" s="14" t="s">
        <v>3</v>
      </c>
      <c r="U8" s="14" t="s">
        <v>3</v>
      </c>
      <c r="V8" s="14" t="s">
        <v>3</v>
      </c>
      <c r="W8" s="14" t="s">
        <v>3</v>
      </c>
      <c r="X8" s="1" t="s">
        <v>472</v>
      </c>
    </row>
    <row r="9" spans="1:24" x14ac:dyDescent="0.25">
      <c r="A9" s="1" t="s">
        <v>195</v>
      </c>
      <c r="B9" s="1">
        <v>2016</v>
      </c>
      <c r="C9" s="1" t="s">
        <v>198</v>
      </c>
      <c r="D9" s="1">
        <v>10000</v>
      </c>
      <c r="E9" s="1" t="s">
        <v>197</v>
      </c>
      <c r="F9" s="14">
        <f>(16.1-0.8)/1000*3705*30*7000/D9</f>
        <v>1190.4165</v>
      </c>
      <c r="G9" s="6">
        <f>0.8/1000</f>
        <v>8.0000000000000004E-4</v>
      </c>
      <c r="H9" s="1" t="s">
        <v>3</v>
      </c>
      <c r="I9" s="1" t="s">
        <v>3</v>
      </c>
      <c r="J9" s="1" t="s">
        <v>3</v>
      </c>
      <c r="K9" s="14">
        <f>314/1000*3705*30*7000/D9</f>
        <v>24430.770000000004</v>
      </c>
      <c r="L9" s="14" t="s">
        <v>3</v>
      </c>
      <c r="M9" s="1" t="s">
        <v>3</v>
      </c>
      <c r="N9" s="14">
        <f>(123)/1000*3705*30*7000/D9/1000</f>
        <v>9.5700149999999997</v>
      </c>
      <c r="O9" s="14">
        <f>23.8/1000*3705*30*7000/D9*0.326</f>
        <v>603.67343400000004</v>
      </c>
      <c r="P9" s="1" t="s">
        <v>3</v>
      </c>
      <c r="Q9" s="1" t="s">
        <v>3</v>
      </c>
      <c r="R9" s="1" t="s">
        <v>3</v>
      </c>
      <c r="S9" s="1" t="s">
        <v>3</v>
      </c>
      <c r="T9" s="1" t="s">
        <v>3</v>
      </c>
      <c r="U9" s="1" t="s">
        <v>3</v>
      </c>
      <c r="V9" s="1" t="s">
        <v>3</v>
      </c>
      <c r="W9" s="1" t="s">
        <v>3</v>
      </c>
      <c r="X9" s="1" t="s">
        <v>473</v>
      </c>
    </row>
    <row r="10" spans="1:24" x14ac:dyDescent="0.25">
      <c r="A10" s="1" t="s">
        <v>195</v>
      </c>
      <c r="B10" s="1">
        <v>2016</v>
      </c>
      <c r="C10" s="1" t="s">
        <v>3</v>
      </c>
      <c r="D10" s="1">
        <v>10000</v>
      </c>
      <c r="E10" s="1" t="s">
        <v>196</v>
      </c>
      <c r="F10" s="14">
        <f>(89.2-74.4-13.2)/1000*3782*30*7000/D10</f>
        <v>127.07519999999981</v>
      </c>
      <c r="G10" s="6">
        <f>76.8/1000</f>
        <v>7.6799999999999993E-2</v>
      </c>
      <c r="H10" s="7" t="s">
        <v>3</v>
      </c>
      <c r="I10" s="14" t="s">
        <v>3</v>
      </c>
      <c r="J10" s="14" t="s">
        <v>3</v>
      </c>
      <c r="K10" s="14">
        <f>311.5/1000*3782*30*7000/D10</f>
        <v>24739.953000000001</v>
      </c>
      <c r="L10" s="14" t="s">
        <v>3</v>
      </c>
      <c r="M10" s="14" t="s">
        <v>3</v>
      </c>
      <c r="N10" s="7">
        <f>(179-118.7)/1000*3782*30*7000/D10/1000</f>
        <v>4.7891466000000005</v>
      </c>
      <c r="O10" s="14">
        <f>23.5/1000*3782*30*7000/D10*0.326</f>
        <v>608.45194200000003</v>
      </c>
      <c r="P10" s="14" t="s">
        <v>3</v>
      </c>
      <c r="Q10" s="14" t="s">
        <v>3</v>
      </c>
      <c r="R10" s="14" t="s">
        <v>3</v>
      </c>
      <c r="S10" s="14" t="s">
        <v>3</v>
      </c>
      <c r="T10" s="14" t="s">
        <v>3</v>
      </c>
      <c r="U10" s="14" t="s">
        <v>3</v>
      </c>
      <c r="V10" s="14" t="s">
        <v>3</v>
      </c>
      <c r="W10" s="14" t="s">
        <v>3</v>
      </c>
      <c r="X10" s="1" t="s">
        <v>474</v>
      </c>
    </row>
    <row r="11" spans="1:24" x14ac:dyDescent="0.25">
      <c r="A11" s="1" t="s">
        <v>195</v>
      </c>
      <c r="B11" s="1">
        <v>2016</v>
      </c>
      <c r="C11" s="1" t="s">
        <v>3</v>
      </c>
      <c r="D11" s="1">
        <v>10000</v>
      </c>
      <c r="E11" s="1" t="s">
        <v>197</v>
      </c>
      <c r="F11" s="14">
        <f>(16.1-0.8-13.8)/1000*3705*30*7000/D11</f>
        <v>116.7075</v>
      </c>
      <c r="G11" s="6">
        <f>1/1000</f>
        <v>1E-3</v>
      </c>
      <c r="H11" s="1" t="s">
        <v>3</v>
      </c>
      <c r="I11" s="1" t="s">
        <v>3</v>
      </c>
      <c r="J11" s="1" t="s">
        <v>3</v>
      </c>
      <c r="K11" s="14">
        <f>314/1000*3705*30*7000/D11</f>
        <v>24430.770000000004</v>
      </c>
      <c r="L11" s="14" t="s">
        <v>3</v>
      </c>
      <c r="M11" s="1" t="s">
        <v>3</v>
      </c>
      <c r="N11" s="7">
        <f>(179.8-120.3)/1000*3705*30*7000/D11/1000</f>
        <v>4.6293975000000014</v>
      </c>
      <c r="O11" s="14">
        <f>23.8/1000*3705*30*7000/D11*0.326</f>
        <v>603.67343400000004</v>
      </c>
      <c r="P11" s="1" t="s">
        <v>3</v>
      </c>
      <c r="Q11" s="1" t="s">
        <v>3</v>
      </c>
      <c r="R11" s="1" t="s">
        <v>3</v>
      </c>
      <c r="S11" s="1" t="s">
        <v>3</v>
      </c>
      <c r="T11" s="1" t="s">
        <v>3</v>
      </c>
      <c r="U11" s="1" t="s">
        <v>3</v>
      </c>
      <c r="V11" s="1" t="s">
        <v>3</v>
      </c>
      <c r="W11" s="1" t="s">
        <v>3</v>
      </c>
      <c r="X11" s="1" t="s">
        <v>473</v>
      </c>
    </row>
    <row r="12" spans="1:24" ht="17.25" customHeight="1" x14ac:dyDescent="0.25">
      <c r="F12" s="14"/>
    </row>
    <row r="13" spans="1:24" x14ac:dyDescent="0.25">
      <c r="F13" s="14"/>
      <c r="G13" s="14"/>
      <c r="H13" s="14"/>
      <c r="I13" s="14"/>
      <c r="J13" s="14"/>
      <c r="K13" s="14"/>
      <c r="L13" s="14"/>
      <c r="M13" s="14"/>
      <c r="N13" s="14"/>
      <c r="O13" s="14"/>
      <c r="P13" s="14"/>
      <c r="Q13" s="14"/>
      <c r="R13" s="14"/>
      <c r="S13" s="14"/>
      <c r="T13" s="14"/>
      <c r="U13" s="14"/>
      <c r="V13" s="14"/>
      <c r="W13" s="14"/>
    </row>
    <row r="14" spans="1:24" x14ac:dyDescent="0.25">
      <c r="F14" s="14"/>
      <c r="G14" s="14"/>
      <c r="H14" s="14"/>
      <c r="I14" s="14"/>
      <c r="J14" s="14"/>
      <c r="K14" s="14"/>
      <c r="L14" s="14"/>
      <c r="M14" s="14"/>
      <c r="N14" s="14"/>
      <c r="O14" s="14"/>
      <c r="P14" s="14"/>
      <c r="Q14" s="14"/>
      <c r="R14" s="14"/>
      <c r="S14" s="14"/>
      <c r="T14" s="14"/>
      <c r="U14" s="14"/>
      <c r="V14" s="14"/>
      <c r="W14" s="14"/>
    </row>
    <row r="15" spans="1:24" x14ac:dyDescent="0.25">
      <c r="F15" s="14"/>
      <c r="G15" s="14"/>
      <c r="H15" s="14"/>
      <c r="I15" s="14"/>
      <c r="J15" s="14"/>
      <c r="K15" s="14"/>
      <c r="L15" s="14"/>
      <c r="M15" s="14"/>
      <c r="N15" s="14"/>
      <c r="O15" s="14"/>
      <c r="P15" s="14"/>
      <c r="Q15" s="14"/>
      <c r="R15" s="14"/>
      <c r="S15" s="14"/>
      <c r="T15" s="14"/>
      <c r="U15" s="14"/>
      <c r="V15" s="14"/>
      <c r="W15" s="14"/>
    </row>
  </sheetData>
  <phoneticPr fontId="1" type="noConversion"/>
  <pageMargins left="0.7" right="0.7" top="0.75" bottom="0.75" header="0.3" footer="0.3"/>
  <ignoredErrors>
    <ignoredError sqref="K9" 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05AC9D-52CB-4946-9013-22C362224213}">
  <sheetPr>
    <tabColor rgb="FF80ECB3"/>
  </sheetPr>
  <dimension ref="A1:Z71"/>
  <sheetViews>
    <sheetView tabSelected="1" zoomScaleNormal="100" workbookViewId="0">
      <pane xSplit="4" ySplit="1" topLeftCell="E2" activePane="bottomRight" state="frozen"/>
      <selection pane="topRight" activeCell="F1" sqref="F1"/>
      <selection pane="bottomLeft" activeCell="A2" sqref="A2"/>
      <selection pane="bottomRight" activeCell="A12" sqref="A12"/>
    </sheetView>
  </sheetViews>
  <sheetFormatPr defaultColWidth="9.140625" defaultRowHeight="15" x14ac:dyDescent="0.25"/>
  <cols>
    <col min="1" max="1" width="26.42578125" style="1" bestFit="1" customWidth="1"/>
    <col min="2" max="2" width="18" style="1" bestFit="1" customWidth="1"/>
    <col min="3" max="3" width="11.28515625" style="1" bestFit="1" customWidth="1"/>
    <col min="4" max="4" width="21" style="1" bestFit="1" customWidth="1"/>
    <col min="5" max="5" width="26.5703125" style="1" bestFit="1" customWidth="1"/>
    <col min="6" max="6" width="28.28515625" style="1" bestFit="1" customWidth="1"/>
    <col min="7" max="7" width="17.42578125" style="1" bestFit="1" customWidth="1"/>
    <col min="8" max="8" width="19" style="1" bestFit="1" customWidth="1"/>
    <col min="9" max="9" width="20.28515625" style="1" bestFit="1" customWidth="1"/>
    <col min="10" max="10" width="17.42578125" style="1" bestFit="1" customWidth="1"/>
    <col min="11" max="11" width="17.28515625" style="1" bestFit="1" customWidth="1"/>
    <col min="12" max="12" width="22.5703125" style="1" bestFit="1" customWidth="1"/>
    <col min="13" max="13" width="19.5703125" style="1" bestFit="1" customWidth="1"/>
    <col min="14" max="14" width="19.28515625" style="1" bestFit="1" customWidth="1"/>
    <col min="15" max="15" width="16.7109375" style="1" bestFit="1" customWidth="1"/>
    <col min="16" max="16" width="17.7109375" style="1" bestFit="1" customWidth="1"/>
    <col min="17" max="17" width="21.85546875" style="1" bestFit="1" customWidth="1"/>
    <col min="18" max="18" width="22.42578125" style="1" bestFit="1" customWidth="1"/>
    <col min="19" max="19" width="21.85546875" style="1" bestFit="1" customWidth="1"/>
    <col min="20" max="20" width="22.42578125" style="1" bestFit="1" customWidth="1"/>
    <col min="21" max="21" width="20.85546875" style="1" bestFit="1" customWidth="1"/>
    <col min="22" max="23" width="22.140625" style="1" bestFit="1" customWidth="1"/>
    <col min="24" max="24" width="23.28515625" style="1" bestFit="1" customWidth="1"/>
    <col min="25" max="25" width="20.140625" style="1" bestFit="1" customWidth="1"/>
    <col min="26" max="26" width="84" style="1" bestFit="1" customWidth="1"/>
    <col min="27" max="16384" width="9.140625" style="1"/>
  </cols>
  <sheetData>
    <row r="1" spans="1:26" s="4" customFormat="1" x14ac:dyDescent="0.25">
      <c r="A1" s="4" t="s">
        <v>316</v>
      </c>
      <c r="B1" s="3" t="s">
        <v>7</v>
      </c>
      <c r="C1" s="3" t="s">
        <v>4</v>
      </c>
      <c r="D1" s="3" t="s">
        <v>236</v>
      </c>
      <c r="E1" s="3" t="s">
        <v>478</v>
      </c>
      <c r="F1" s="3" t="s">
        <v>480</v>
      </c>
      <c r="G1" s="3" t="s">
        <v>483</v>
      </c>
      <c r="H1" s="3" t="s">
        <v>485</v>
      </c>
      <c r="I1" s="3" t="s">
        <v>487</v>
      </c>
      <c r="J1" s="3" t="s">
        <v>489</v>
      </c>
      <c r="K1" s="3" t="s">
        <v>491</v>
      </c>
      <c r="L1" s="3" t="s">
        <v>493</v>
      </c>
      <c r="M1" s="3" t="s">
        <v>495</v>
      </c>
      <c r="N1" s="3" t="s">
        <v>497</v>
      </c>
      <c r="O1" s="3" t="s">
        <v>499</v>
      </c>
      <c r="P1" s="3" t="s">
        <v>501</v>
      </c>
      <c r="Q1" s="3" t="s">
        <v>503</v>
      </c>
      <c r="R1" s="3" t="s">
        <v>505</v>
      </c>
      <c r="S1" s="3" t="s">
        <v>506</v>
      </c>
      <c r="T1" s="3" t="s">
        <v>507</v>
      </c>
      <c r="U1" s="3" t="s">
        <v>512</v>
      </c>
      <c r="V1" s="3" t="s">
        <v>514</v>
      </c>
      <c r="W1" s="3" t="s">
        <v>516</v>
      </c>
      <c r="X1" s="3" t="s">
        <v>517</v>
      </c>
      <c r="Y1" s="3" t="s">
        <v>518</v>
      </c>
      <c r="Z1" s="4" t="s">
        <v>14</v>
      </c>
    </row>
    <row r="2" spans="1:26" x14ac:dyDescent="0.25">
      <c r="A2" s="1" t="s">
        <v>0</v>
      </c>
      <c r="B2" s="1" t="s">
        <v>200</v>
      </c>
      <c r="C2" s="1">
        <v>2020</v>
      </c>
      <c r="D2" s="1" t="s">
        <v>0</v>
      </c>
      <c r="E2" s="14">
        <f>(428*0.536-F2)</f>
        <v>197.72800000000001</v>
      </c>
      <c r="F2" s="14">
        <f>8.8*3.6</f>
        <v>31.680000000000003</v>
      </c>
      <c r="G2" s="5">
        <f>(0.000000505+0.000000537+0.0000449)/55.5*3600</f>
        <v>2.9800216216216216E-3</v>
      </c>
      <c r="H2" s="1" t="s">
        <v>3</v>
      </c>
      <c r="I2" s="1" t="s">
        <v>3</v>
      </c>
      <c r="J2" s="1" t="s">
        <v>3</v>
      </c>
      <c r="K2" s="6">
        <f>0.01*3.6</f>
        <v>3.6000000000000004E-2</v>
      </c>
      <c r="L2" s="1" t="s">
        <v>3</v>
      </c>
      <c r="M2" s="1" t="s">
        <v>3</v>
      </c>
      <c r="N2" s="1" t="s">
        <v>3</v>
      </c>
      <c r="O2" s="1" t="s">
        <v>3</v>
      </c>
      <c r="P2" s="1" t="s">
        <v>3</v>
      </c>
      <c r="Q2" s="1" t="s">
        <v>3</v>
      </c>
      <c r="R2" s="1" t="s">
        <v>3</v>
      </c>
      <c r="S2" s="1" t="s">
        <v>3</v>
      </c>
      <c r="T2" s="1" t="s">
        <v>3</v>
      </c>
      <c r="U2" s="1" t="s">
        <v>3</v>
      </c>
      <c r="V2" s="1" t="s">
        <v>3</v>
      </c>
      <c r="W2" s="1" t="s">
        <v>3</v>
      </c>
      <c r="X2" s="1" t="s">
        <v>3</v>
      </c>
      <c r="Y2" s="1" t="s">
        <v>3</v>
      </c>
      <c r="Z2" s="1" t="s">
        <v>3</v>
      </c>
    </row>
    <row r="3" spans="1:26" x14ac:dyDescent="0.25">
      <c r="A3" s="1" t="s">
        <v>0</v>
      </c>
      <c r="B3" s="1" t="s">
        <v>204</v>
      </c>
      <c r="C3" s="1">
        <v>2014</v>
      </c>
      <c r="D3" s="1" t="s">
        <v>0</v>
      </c>
      <c r="E3" s="1">
        <v>168</v>
      </c>
      <c r="F3" s="14">
        <f>8.4*3.6</f>
        <v>30.240000000000002</v>
      </c>
      <c r="G3" s="6">
        <f>0.0000144*3600</f>
        <v>5.1839999999999997E-2</v>
      </c>
      <c r="H3" s="1" t="s">
        <v>3</v>
      </c>
      <c r="I3" s="1" t="s">
        <v>3</v>
      </c>
      <c r="J3" s="1" t="s">
        <v>3</v>
      </c>
      <c r="K3" s="6">
        <f>0.026*3.6</f>
        <v>9.3600000000000003E-2</v>
      </c>
      <c r="L3" s="5">
        <f>0.00045*3.6</f>
        <v>1.6199999999999999E-3</v>
      </c>
      <c r="M3" s="7" t="s">
        <v>3</v>
      </c>
      <c r="N3" s="5">
        <f>0.000976*3.6</f>
        <v>3.5136E-3</v>
      </c>
      <c r="O3" s="1" t="s">
        <v>3</v>
      </c>
      <c r="P3" s="1" t="s">
        <v>3</v>
      </c>
      <c r="Q3" s="1" t="s">
        <v>3</v>
      </c>
      <c r="R3" s="1" t="s">
        <v>3</v>
      </c>
      <c r="S3" s="1" t="s">
        <v>3</v>
      </c>
      <c r="T3" s="1" t="s">
        <v>3</v>
      </c>
      <c r="U3" s="1" t="s">
        <v>3</v>
      </c>
      <c r="V3" s="1" t="s">
        <v>3</v>
      </c>
      <c r="W3" s="1" t="s">
        <v>3</v>
      </c>
      <c r="X3" s="1" t="s">
        <v>3</v>
      </c>
      <c r="Y3" s="1" t="s">
        <v>3</v>
      </c>
      <c r="Z3" s="1" t="s">
        <v>3</v>
      </c>
    </row>
    <row r="4" spans="1:26" ht="17.25" customHeight="1" x14ac:dyDescent="0.25">
      <c r="A4" s="1" t="s">
        <v>0</v>
      </c>
      <c r="B4" s="1" t="s">
        <v>205</v>
      </c>
      <c r="C4" s="1">
        <v>2024</v>
      </c>
      <c r="D4" s="1" t="s">
        <v>0</v>
      </c>
      <c r="E4" s="14">
        <f>0.216*0.71*1000</f>
        <v>153.35999999999999</v>
      </c>
      <c r="F4" s="14">
        <f>0.264*0.71*1000-E4</f>
        <v>34.080000000000013</v>
      </c>
      <c r="G4" s="6" t="s">
        <v>3</v>
      </c>
      <c r="H4" s="1" t="s">
        <v>3</v>
      </c>
      <c r="I4" s="1" t="s">
        <v>3</v>
      </c>
      <c r="J4" s="14">
        <f>3.84*1000*0.71</f>
        <v>2726.3999999999996</v>
      </c>
      <c r="K4" s="1" t="s">
        <v>3</v>
      </c>
      <c r="L4" s="1" t="s">
        <v>3</v>
      </c>
      <c r="M4" s="7" t="s">
        <v>3</v>
      </c>
      <c r="N4" s="6">
        <f>0.0000912*1000*0.71</f>
        <v>6.475199999999999E-2</v>
      </c>
      <c r="O4" s="14">
        <f>0.0000313*1000*7.1*1000*0.326</f>
        <v>72.446980000000011</v>
      </c>
      <c r="P4" s="1" t="s">
        <v>3</v>
      </c>
      <c r="Q4" s="1" t="s">
        <v>3</v>
      </c>
      <c r="R4" s="1" t="s">
        <v>3</v>
      </c>
      <c r="S4" s="1" t="s">
        <v>3</v>
      </c>
      <c r="T4" s="1" t="s">
        <v>3</v>
      </c>
      <c r="U4" s="1" t="s">
        <v>3</v>
      </c>
      <c r="V4" s="1" t="s">
        <v>3</v>
      </c>
      <c r="W4" s="1" t="s">
        <v>3</v>
      </c>
      <c r="X4" s="1" t="s">
        <v>3</v>
      </c>
      <c r="Y4" s="1" t="s">
        <v>3</v>
      </c>
      <c r="Z4" s="76" t="s">
        <v>475</v>
      </c>
    </row>
    <row r="5" spans="1:26" ht="17.25" customHeight="1" x14ac:dyDescent="0.25">
      <c r="E5" s="14"/>
      <c r="F5" s="14"/>
      <c r="G5" s="6"/>
      <c r="J5" s="14"/>
      <c r="M5" s="7"/>
      <c r="N5" s="6"/>
      <c r="O5" s="14"/>
      <c r="Z5" s="76"/>
    </row>
    <row r="6" spans="1:26" x14ac:dyDescent="0.25">
      <c r="A6" s="19"/>
      <c r="B6" s="19"/>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4" t="s">
        <v>316</v>
      </c>
      <c r="B7" s="3" t="s">
        <v>7</v>
      </c>
      <c r="C7" s="3" t="s">
        <v>4</v>
      </c>
      <c r="D7" s="3" t="s">
        <v>236</v>
      </c>
      <c r="E7" s="3" t="s">
        <v>478</v>
      </c>
      <c r="F7" s="3" t="s">
        <v>480</v>
      </c>
      <c r="G7" s="3" t="s">
        <v>483</v>
      </c>
      <c r="H7" s="3" t="s">
        <v>485</v>
      </c>
      <c r="I7" s="3" t="s">
        <v>487</v>
      </c>
      <c r="J7" s="3" t="s">
        <v>489</v>
      </c>
      <c r="K7" s="3" t="s">
        <v>491</v>
      </c>
      <c r="L7" s="3" t="s">
        <v>493</v>
      </c>
      <c r="M7" s="3" t="s">
        <v>495</v>
      </c>
      <c r="N7" s="3" t="s">
        <v>497</v>
      </c>
      <c r="O7" s="3" t="s">
        <v>499</v>
      </c>
      <c r="P7" s="3" t="s">
        <v>501</v>
      </c>
      <c r="Q7" s="3" t="s">
        <v>503</v>
      </c>
      <c r="R7" s="3" t="s">
        <v>505</v>
      </c>
      <c r="S7" s="3" t="s">
        <v>506</v>
      </c>
      <c r="T7" s="3" t="s">
        <v>507</v>
      </c>
      <c r="U7" s="3" t="s">
        <v>512</v>
      </c>
      <c r="V7" s="3" t="s">
        <v>514</v>
      </c>
      <c r="W7" s="3" t="s">
        <v>516</v>
      </c>
      <c r="X7" s="3" t="s">
        <v>517</v>
      </c>
      <c r="Y7" s="3" t="s">
        <v>518</v>
      </c>
      <c r="Z7" s="4" t="s">
        <v>14</v>
      </c>
    </row>
    <row r="8" spans="1:26" x14ac:dyDescent="0.25">
      <c r="A8" s="1" t="s">
        <v>2</v>
      </c>
      <c r="B8" s="1" t="s">
        <v>207</v>
      </c>
      <c r="C8" s="1">
        <v>2020</v>
      </c>
      <c r="D8" s="1" t="s">
        <v>237</v>
      </c>
      <c r="E8" s="1" t="s">
        <v>3</v>
      </c>
      <c r="F8" s="14">
        <f>910/2900*1000</f>
        <v>313.79310344827587</v>
      </c>
      <c r="G8" s="6">
        <f>119.8/2900</f>
        <v>4.1310344827586207E-2</v>
      </c>
      <c r="H8" s="1" t="s">
        <v>3</v>
      </c>
      <c r="I8" s="1" t="s">
        <v>3</v>
      </c>
      <c r="J8" s="1" t="s">
        <v>3</v>
      </c>
      <c r="K8" s="1" t="s">
        <v>3</v>
      </c>
      <c r="L8" s="7">
        <f>2.35/2900*1000</f>
        <v>0.81034482758620696</v>
      </c>
      <c r="M8" s="14" t="s">
        <v>3</v>
      </c>
      <c r="N8" s="7">
        <f>8.9/2900*1000</f>
        <v>3.0689655172413794</v>
      </c>
      <c r="O8" s="14">
        <f>0.74/2900*1000*1000</f>
        <v>255.1724137931034</v>
      </c>
      <c r="P8" s="1" t="s">
        <v>3</v>
      </c>
      <c r="Q8" s="14">
        <f>32.8/2900*1000</f>
        <v>11.310344827586206</v>
      </c>
      <c r="R8" s="1" t="s">
        <v>3</v>
      </c>
      <c r="S8" s="1" t="s">
        <v>3</v>
      </c>
      <c r="T8" s="1" t="s">
        <v>3</v>
      </c>
      <c r="U8" s="1" t="s">
        <v>3</v>
      </c>
      <c r="V8" s="1" t="s">
        <v>3</v>
      </c>
      <c r="W8" s="1" t="s">
        <v>3</v>
      </c>
      <c r="X8" s="1" t="s">
        <v>3</v>
      </c>
      <c r="Y8" s="1" t="s">
        <v>3</v>
      </c>
      <c r="Z8" s="77" t="s">
        <v>481</v>
      </c>
    </row>
    <row r="9" spans="1:26" x14ac:dyDescent="0.25">
      <c r="A9" s="1" t="s">
        <v>2</v>
      </c>
      <c r="B9" s="1" t="s">
        <v>208</v>
      </c>
      <c r="C9" s="1">
        <v>2024</v>
      </c>
      <c r="D9" s="1" t="s">
        <v>237</v>
      </c>
      <c r="E9" s="1" t="s">
        <v>3</v>
      </c>
      <c r="F9" s="1">
        <f>0.482*1000</f>
        <v>482</v>
      </c>
      <c r="G9" s="1" t="s">
        <v>3</v>
      </c>
      <c r="H9" s="7">
        <f>0.00000469*10^6</f>
        <v>4.6900000000000004</v>
      </c>
      <c r="I9" s="1" t="s">
        <v>3</v>
      </c>
      <c r="J9" s="1">
        <f>6.47*1000</f>
        <v>6470</v>
      </c>
      <c r="K9" s="1">
        <f>0.101*1000</f>
        <v>101</v>
      </c>
      <c r="L9" s="1" t="s">
        <v>3</v>
      </c>
      <c r="M9" s="7">
        <f>0.00139*1000</f>
        <v>1.39</v>
      </c>
      <c r="N9" s="7" t="s">
        <v>3</v>
      </c>
      <c r="O9" s="1">
        <f>0.000706*1000*1000</f>
        <v>706.00000000000011</v>
      </c>
      <c r="P9" s="1">
        <f>0.000358*10^6</f>
        <v>358</v>
      </c>
      <c r="Q9" s="1" t="s">
        <v>3</v>
      </c>
      <c r="R9" s="1" t="s">
        <v>3</v>
      </c>
      <c r="S9" s="1" t="s">
        <v>3</v>
      </c>
      <c r="T9" s="14">
        <f>0.0681*1000</f>
        <v>68.099999999999994</v>
      </c>
      <c r="U9" s="78">
        <f>0.000000000182*1000</f>
        <v>1.8199999999999999E-7</v>
      </c>
      <c r="V9" s="17" t="s">
        <v>3</v>
      </c>
      <c r="W9" s="78">
        <f>0.00000000758*1000</f>
        <v>7.5800000000000011E-6</v>
      </c>
      <c r="X9" s="1" t="s">
        <v>3</v>
      </c>
      <c r="Y9" s="7">
        <f>0.00000000498*10^9</f>
        <v>4.9799999999999995</v>
      </c>
      <c r="Z9" s="1" t="s">
        <v>3</v>
      </c>
    </row>
    <row r="10" spans="1:26" x14ac:dyDescent="0.25">
      <c r="A10" s="1" t="s">
        <v>2</v>
      </c>
      <c r="B10" s="1" t="s">
        <v>208</v>
      </c>
      <c r="C10" s="1">
        <v>2024</v>
      </c>
      <c r="D10" s="1" t="s">
        <v>237</v>
      </c>
      <c r="E10" s="1" t="s">
        <v>3</v>
      </c>
      <c r="F10" s="1">
        <f>0.248*1000</f>
        <v>248</v>
      </c>
      <c r="G10" s="1" t="s">
        <v>3</v>
      </c>
      <c r="H10" s="7">
        <f>0.00000396*10^6</f>
        <v>3.9600000000000004</v>
      </c>
      <c r="I10" s="1" t="s">
        <v>3</v>
      </c>
      <c r="J10" s="1">
        <f>3.41*1000</f>
        <v>3410</v>
      </c>
      <c r="K10" s="1">
        <f>0.048*1000</f>
        <v>48</v>
      </c>
      <c r="L10" s="1" t="s">
        <v>3</v>
      </c>
      <c r="M10" s="7">
        <f>0.000964*1000</f>
        <v>0.96399999999999997</v>
      </c>
      <c r="N10" s="7" t="s">
        <v>3</v>
      </c>
      <c r="O10" s="1">
        <f>0.00033*10^6</f>
        <v>330</v>
      </c>
      <c r="P10" s="1">
        <f>0.000211*10^6</f>
        <v>211</v>
      </c>
      <c r="Q10" s="1" t="s">
        <v>3</v>
      </c>
      <c r="R10" s="1" t="s">
        <v>3</v>
      </c>
      <c r="S10" s="1" t="s">
        <v>3</v>
      </c>
      <c r="T10" s="14">
        <f>0.0387*1000</f>
        <v>38.699999999999996</v>
      </c>
      <c r="U10" s="78">
        <f>0.000000000161*1000</f>
        <v>1.6100000000000003E-7</v>
      </c>
      <c r="V10" s="17" t="s">
        <v>3</v>
      </c>
      <c r="W10" s="78">
        <f>0.00000000593*1000</f>
        <v>5.93E-6</v>
      </c>
      <c r="X10" s="1" t="s">
        <v>3</v>
      </c>
      <c r="Y10" s="7">
        <f>0.00000000276*10^9</f>
        <v>2.76</v>
      </c>
      <c r="Z10" s="1" t="s">
        <v>3</v>
      </c>
    </row>
    <row r="11" spans="1:26" x14ac:dyDescent="0.25">
      <c r="A11" s="1" t="s">
        <v>2</v>
      </c>
      <c r="B11" s="1" t="s">
        <v>208</v>
      </c>
      <c r="C11" s="1">
        <v>2024</v>
      </c>
      <c r="D11" s="1" t="s">
        <v>237</v>
      </c>
      <c r="E11" s="1" t="s">
        <v>3</v>
      </c>
      <c r="F11" s="1">
        <f>0.68*1000</f>
        <v>680</v>
      </c>
      <c r="G11" s="1" t="s">
        <v>3</v>
      </c>
      <c r="H11" s="7">
        <f>0.00000719*10^6</f>
        <v>7.1899999999999995</v>
      </c>
      <c r="I11" s="1" t="s">
        <v>3</v>
      </c>
      <c r="J11" s="1">
        <f>8.87*1000</f>
        <v>8870</v>
      </c>
      <c r="K11" s="1">
        <f>0.186*1000</f>
        <v>186</v>
      </c>
      <c r="L11" s="1" t="s">
        <v>3</v>
      </c>
      <c r="M11" s="7">
        <f>0.00172*1000</f>
        <v>1.72</v>
      </c>
      <c r="N11" s="7" t="s">
        <v>3</v>
      </c>
      <c r="O11" s="1">
        <f>0.001*10^6</f>
        <v>1000</v>
      </c>
      <c r="P11" s="1">
        <f>0.000484*10^6</f>
        <v>484</v>
      </c>
      <c r="Q11" s="1" t="s">
        <v>3</v>
      </c>
      <c r="R11" s="1" t="s">
        <v>3</v>
      </c>
      <c r="S11" s="1" t="s">
        <v>3</v>
      </c>
      <c r="T11" s="14">
        <f>0.13*1000</f>
        <v>130</v>
      </c>
      <c r="U11" s="78">
        <f>0.000000000199*1000</f>
        <v>1.9900000000000002E-7</v>
      </c>
      <c r="V11" s="17" t="s">
        <v>3</v>
      </c>
      <c r="W11" s="78">
        <f>0.00000000905*1000</f>
        <v>9.0499999999999997E-6</v>
      </c>
      <c r="X11" s="1" t="s">
        <v>3</v>
      </c>
      <c r="Y11" s="7">
        <f>0.00000000749*10^9</f>
        <v>7.4899999999999993</v>
      </c>
      <c r="Z11" s="1" t="s">
        <v>3</v>
      </c>
    </row>
    <row r="12" spans="1:26" x14ac:dyDescent="0.25">
      <c r="A12" s="1" t="s">
        <v>2</v>
      </c>
      <c r="B12" s="1" t="s">
        <v>210</v>
      </c>
      <c r="C12" s="1">
        <v>2020</v>
      </c>
      <c r="D12" s="1" t="s">
        <v>237</v>
      </c>
      <c r="E12" s="1" t="s">
        <v>3</v>
      </c>
      <c r="F12" s="14">
        <v>376.9</v>
      </c>
      <c r="G12" s="1" t="s">
        <v>3</v>
      </c>
      <c r="H12" s="7">
        <f>2.695</f>
        <v>2.6949999999999998</v>
      </c>
      <c r="I12" s="1" t="s">
        <v>3</v>
      </c>
      <c r="J12" s="1" t="s">
        <v>3</v>
      </c>
      <c r="K12" s="1" t="s">
        <v>3</v>
      </c>
      <c r="L12" s="1" t="s">
        <v>3</v>
      </c>
      <c r="M12" s="7" t="s">
        <v>3</v>
      </c>
      <c r="N12" s="7">
        <v>1.79</v>
      </c>
      <c r="O12" s="1" t="s">
        <v>3</v>
      </c>
      <c r="P12" s="1">
        <v>892</v>
      </c>
      <c r="Q12" s="1" t="s">
        <v>3</v>
      </c>
      <c r="R12" s="1" t="s">
        <v>3</v>
      </c>
      <c r="S12" s="1" t="s">
        <v>3</v>
      </c>
      <c r="T12" s="14" t="s">
        <v>3</v>
      </c>
      <c r="U12" s="1" t="s">
        <v>3</v>
      </c>
      <c r="V12" s="1" t="s">
        <v>3</v>
      </c>
      <c r="W12" s="1" t="s">
        <v>3</v>
      </c>
      <c r="X12" s="1" t="s">
        <v>3</v>
      </c>
      <c r="Y12" s="14">
        <f>0.0000806*10^6</f>
        <v>80.599999999999994</v>
      </c>
      <c r="Z12" s="1" t="s">
        <v>3</v>
      </c>
    </row>
    <row r="13" spans="1:26" x14ac:dyDescent="0.25">
      <c r="A13" s="1" t="s">
        <v>2</v>
      </c>
      <c r="B13" s="1" t="s">
        <v>212</v>
      </c>
      <c r="C13" s="1">
        <v>2020</v>
      </c>
      <c r="D13" s="1" t="s">
        <v>237</v>
      </c>
      <c r="E13" s="1" t="s">
        <v>3</v>
      </c>
      <c r="F13" s="1">
        <f>0.417*1000</f>
        <v>417</v>
      </c>
      <c r="G13" s="1" t="s">
        <v>3</v>
      </c>
      <c r="H13" s="7">
        <f>0.00000318*1000*1000</f>
        <v>3.18</v>
      </c>
      <c r="I13" s="1" t="s">
        <v>3</v>
      </c>
      <c r="J13" s="1" t="s">
        <v>3</v>
      </c>
      <c r="K13" s="1" t="s">
        <v>3</v>
      </c>
      <c r="L13" s="7">
        <f>7.48*10^-5*1000</f>
        <v>7.4800000000000019E-2</v>
      </c>
      <c r="M13" s="7">
        <f>0.000893*1000</f>
        <v>0.89300000000000002</v>
      </c>
      <c r="N13" s="7" t="s">
        <v>3</v>
      </c>
      <c r="O13" s="14">
        <f>0.0000907*10^6</f>
        <v>90.699999999999989</v>
      </c>
      <c r="P13" s="1">
        <f>0.000184*1000*1000</f>
        <v>184</v>
      </c>
      <c r="Q13" s="1" t="s">
        <v>3</v>
      </c>
      <c r="R13" s="1" t="s">
        <v>3</v>
      </c>
      <c r="S13" s="1" t="s">
        <v>3</v>
      </c>
      <c r="T13" s="14">
        <f>0.0289*1000</f>
        <v>28.9</v>
      </c>
      <c r="U13" s="1" t="s">
        <v>3</v>
      </c>
      <c r="V13" s="1" t="s">
        <v>3</v>
      </c>
      <c r="W13" s="1" t="s">
        <v>3</v>
      </c>
      <c r="X13" s="1" t="s">
        <v>3</v>
      </c>
      <c r="Y13" s="7">
        <f>0.00000000405 * 10^9</f>
        <v>4.05</v>
      </c>
      <c r="Z13" s="1" t="s">
        <v>3</v>
      </c>
    </row>
    <row r="14" spans="1:26" x14ac:dyDescent="0.25">
      <c r="T14" s="14"/>
    </row>
    <row r="15" spans="1:26" x14ac:dyDescent="0.25">
      <c r="A15" s="19"/>
      <c r="B15" s="19"/>
      <c r="C15" s="19"/>
      <c r="D15" s="19"/>
      <c r="E15" s="19"/>
      <c r="F15" s="19"/>
      <c r="G15" s="19"/>
      <c r="H15" s="19"/>
      <c r="I15" s="19"/>
      <c r="J15" s="19"/>
      <c r="K15" s="19"/>
      <c r="L15" s="19"/>
      <c r="M15" s="19"/>
      <c r="N15" s="19"/>
      <c r="O15" s="19"/>
      <c r="P15" s="19"/>
      <c r="Q15" s="19"/>
      <c r="R15" s="19"/>
      <c r="S15" s="19"/>
      <c r="T15" s="19"/>
      <c r="U15" s="19"/>
      <c r="V15" s="19"/>
      <c r="W15" s="19"/>
      <c r="X15" s="19"/>
      <c r="Y15" s="19"/>
      <c r="Z15" s="19"/>
    </row>
    <row r="16" spans="1:26" s="4" customFormat="1" x14ac:dyDescent="0.25">
      <c r="A16" s="4" t="s">
        <v>316</v>
      </c>
      <c r="B16" s="3" t="s">
        <v>7</v>
      </c>
      <c r="C16" s="3" t="s">
        <v>4</v>
      </c>
      <c r="D16" s="3" t="s">
        <v>236</v>
      </c>
      <c r="E16" s="3" t="s">
        <v>478</v>
      </c>
      <c r="F16" s="3" t="s">
        <v>480</v>
      </c>
      <c r="G16" s="3" t="s">
        <v>483</v>
      </c>
      <c r="H16" s="3" t="s">
        <v>485</v>
      </c>
      <c r="I16" s="3" t="s">
        <v>487</v>
      </c>
      <c r="J16" s="3" t="s">
        <v>489</v>
      </c>
      <c r="K16" s="3" t="s">
        <v>491</v>
      </c>
      <c r="L16" s="3" t="s">
        <v>493</v>
      </c>
      <c r="M16" s="3" t="s">
        <v>495</v>
      </c>
      <c r="N16" s="3" t="s">
        <v>497</v>
      </c>
      <c r="O16" s="3" t="s">
        <v>499</v>
      </c>
      <c r="P16" s="3" t="s">
        <v>501</v>
      </c>
      <c r="Q16" s="3" t="s">
        <v>503</v>
      </c>
      <c r="R16" s="3" t="s">
        <v>505</v>
      </c>
      <c r="S16" s="3" t="s">
        <v>506</v>
      </c>
      <c r="T16" s="70" t="s">
        <v>507</v>
      </c>
      <c r="U16" s="70" t="s">
        <v>512</v>
      </c>
      <c r="V16" s="70" t="s">
        <v>514</v>
      </c>
      <c r="W16" s="70" t="s">
        <v>516</v>
      </c>
      <c r="X16" s="70" t="s">
        <v>517</v>
      </c>
      <c r="Y16" s="70" t="s">
        <v>518</v>
      </c>
      <c r="Z16" s="4" t="s">
        <v>14</v>
      </c>
    </row>
    <row r="17" spans="1:26" x14ac:dyDescent="0.25">
      <c r="A17" s="1" t="s">
        <v>202</v>
      </c>
      <c r="B17" s="1" t="s">
        <v>214</v>
      </c>
      <c r="C17" s="1">
        <v>2017</v>
      </c>
      <c r="D17" s="1" t="s">
        <v>0</v>
      </c>
      <c r="E17" s="1" t="s">
        <v>3</v>
      </c>
      <c r="F17" s="14">
        <f>(1.29+5.18+3.3+1.48)*1000/33.33</f>
        <v>337.53375337533754</v>
      </c>
      <c r="G17" s="1" t="s">
        <v>3</v>
      </c>
      <c r="H17" s="1" t="s">
        <v>3</v>
      </c>
      <c r="I17" s="14" t="s">
        <v>3</v>
      </c>
      <c r="J17" s="14">
        <f>(2.694+1.403+0.505)*1000/33.33*41.87</f>
        <v>5781.150315031502</v>
      </c>
      <c r="K17" s="14">
        <f>(0.03+0.09+0.28+3.81)*1000/33.33</f>
        <v>126.31263126312632</v>
      </c>
      <c r="L17" s="7">
        <f>(0.000671+0.001416+0.00107)*1000/33.33</f>
        <v>9.4719471947194725E-2</v>
      </c>
      <c r="M17" s="14" t="s">
        <v>3</v>
      </c>
      <c r="N17" s="7">
        <f>(0.00177+0.00366+0.00316)*1000/33.33</f>
        <v>0.25772577257725776</v>
      </c>
      <c r="O17" s="1" t="s">
        <v>3</v>
      </c>
      <c r="P17" s="14">
        <f>(0.00093+0.00207+0.000466)*1000/33.33*1000</f>
        <v>103.99039903990399</v>
      </c>
      <c r="Q17" s="7">
        <f>(0.075+0.005)*1000/33.33</f>
        <v>2.4002400240024002</v>
      </c>
      <c r="R17" s="1" t="s">
        <v>3</v>
      </c>
      <c r="S17" s="7">
        <f>0.212*1000/33.33</f>
        <v>6.3606360636063606</v>
      </c>
      <c r="T17" s="1" t="s">
        <v>3</v>
      </c>
      <c r="U17" s="1" t="s">
        <v>3</v>
      </c>
      <c r="V17" s="1" t="s">
        <v>3</v>
      </c>
      <c r="W17" s="1" t="s">
        <v>3</v>
      </c>
      <c r="X17" s="1" t="s">
        <v>3</v>
      </c>
      <c r="Y17" s="1" t="s">
        <v>3</v>
      </c>
      <c r="Z17" s="1" t="s">
        <v>3</v>
      </c>
    </row>
    <row r="18" spans="1:26" x14ac:dyDescent="0.25">
      <c r="A18" s="1" t="s">
        <v>202</v>
      </c>
      <c r="B18" s="1" t="s">
        <v>134</v>
      </c>
      <c r="C18" s="1">
        <v>2024</v>
      </c>
      <c r="D18" s="1" t="s">
        <v>0</v>
      </c>
      <c r="E18" s="1" t="s">
        <v>3</v>
      </c>
      <c r="F18" s="14">
        <f>10.5*1000/33.33</f>
        <v>315.03150315031507</v>
      </c>
      <c r="G18" s="1" t="s">
        <v>3</v>
      </c>
      <c r="H18" s="6">
        <f>0.0015*1000/33.33</f>
        <v>4.5004500450045004E-2</v>
      </c>
      <c r="I18" s="1" t="s">
        <v>3</v>
      </c>
      <c r="J18" s="14">
        <f>170*1000/33.33</f>
        <v>5100.5100510051006</v>
      </c>
      <c r="K18" s="14">
        <f>0.4*1000/33.33</f>
        <v>12.001200120012001</v>
      </c>
      <c r="L18" s="1" t="s">
        <v>3</v>
      </c>
      <c r="M18" s="7">
        <f>0.005*1000/33.33</f>
        <v>0.15001500150015001</v>
      </c>
      <c r="N18" s="7" t="s">
        <v>3</v>
      </c>
      <c r="O18" s="14">
        <f>0.2*1000/33.33</f>
        <v>6.0006000600060005</v>
      </c>
      <c r="P18" s="14">
        <f>1.2*1000/33.33</f>
        <v>36.003600360036003</v>
      </c>
      <c r="Q18" s="1" t="s">
        <v>3</v>
      </c>
      <c r="R18" s="1" t="s">
        <v>3</v>
      </c>
      <c r="S18" s="7" t="s">
        <v>3</v>
      </c>
      <c r="T18" s="7">
        <f>0.02*1000/33.33</f>
        <v>0.60006000600060005</v>
      </c>
      <c r="U18" s="78">
        <f>0.000000001*1000/33.33</f>
        <v>3.0003000300030009E-8</v>
      </c>
      <c r="V18" s="1" t="s">
        <v>3</v>
      </c>
      <c r="W18" s="78">
        <f>0.00000002*1000/33.33</f>
        <v>6.0006000600060019E-7</v>
      </c>
      <c r="X18" s="1" t="s">
        <v>3</v>
      </c>
      <c r="Y18" s="14">
        <f>0.00000062*1000/33.33*10^6</f>
        <v>18.601860186018602</v>
      </c>
      <c r="Z18" s="9" t="s">
        <v>3</v>
      </c>
    </row>
    <row r="19" spans="1:26" x14ac:dyDescent="0.25">
      <c r="A19" s="1" t="s">
        <v>202</v>
      </c>
      <c r="B19" s="1" t="s">
        <v>218</v>
      </c>
      <c r="C19" s="1">
        <v>2014</v>
      </c>
      <c r="D19" s="1" t="s">
        <v>0</v>
      </c>
      <c r="E19" s="1" t="s">
        <v>3</v>
      </c>
      <c r="F19" s="14">
        <f>701.13</f>
        <v>701.13</v>
      </c>
      <c r="G19" s="1" t="s">
        <v>3</v>
      </c>
      <c r="H19" s="6">
        <f>0.0000381*1000</f>
        <v>3.8099999999999995E-2</v>
      </c>
      <c r="I19" s="1" t="s">
        <v>3</v>
      </c>
      <c r="J19" s="14">
        <v>4785.67</v>
      </c>
      <c r="K19" s="1" t="s">
        <v>3</v>
      </c>
      <c r="L19" s="1" t="s">
        <v>3</v>
      </c>
      <c r="M19" s="14" t="s">
        <v>3</v>
      </c>
      <c r="N19" s="7">
        <v>0.34</v>
      </c>
      <c r="O19" s="1">
        <f>0.01*1000</f>
        <v>10</v>
      </c>
      <c r="P19" s="1" t="s">
        <v>3</v>
      </c>
      <c r="Q19" s="7">
        <v>0.216</v>
      </c>
      <c r="R19" s="1" t="s">
        <v>3</v>
      </c>
      <c r="S19" s="7">
        <v>7.1999999999999995E-2</v>
      </c>
      <c r="T19" s="1" t="s">
        <v>3</v>
      </c>
      <c r="U19" s="1" t="s">
        <v>3</v>
      </c>
      <c r="V19" s="1" t="s">
        <v>3</v>
      </c>
      <c r="W19" s="1" t="s">
        <v>3</v>
      </c>
      <c r="X19" s="1" t="s">
        <v>3</v>
      </c>
      <c r="Y19" s="7">
        <f>0.00000000558*10^9</f>
        <v>5.58</v>
      </c>
      <c r="Z19" s="1" t="s">
        <v>3</v>
      </c>
    </row>
    <row r="20" spans="1:26" x14ac:dyDescent="0.25">
      <c r="A20" s="1" t="s">
        <v>202</v>
      </c>
      <c r="B20" s="1" t="s">
        <v>220</v>
      </c>
      <c r="C20" s="1">
        <v>2024</v>
      </c>
      <c r="D20" s="1" t="s">
        <v>0</v>
      </c>
      <c r="E20" s="1" t="s">
        <v>3</v>
      </c>
      <c r="F20" s="14">
        <f>13.611*1000/33.33</f>
        <v>408.37083708370841</v>
      </c>
      <c r="G20" s="7">
        <f>0.013429*1000/33.33</f>
        <v>0.40291029102910292</v>
      </c>
      <c r="H20" s="6" t="s">
        <v>3</v>
      </c>
      <c r="I20" s="7">
        <f>0.02171*1000/33.33</f>
        <v>0.65136513651365147</v>
      </c>
      <c r="J20" s="14">
        <f>5.3135*1000/33.33*41.87</f>
        <v>6674.954845484549</v>
      </c>
      <c r="K20" s="7" t="s">
        <v>3</v>
      </c>
      <c r="L20" s="7">
        <f>0.028986*1000/33.33</f>
        <v>0.86966696669666976</v>
      </c>
      <c r="M20" s="14" t="s">
        <v>3</v>
      </c>
      <c r="N20" s="7">
        <f>0.099538*1000/33.33</f>
        <v>2.9864386438643864</v>
      </c>
      <c r="O20" s="14">
        <f>0.000084736*1000/33.33*1000</f>
        <v>2.5423342334233423</v>
      </c>
      <c r="P20" s="7">
        <f>0.000058513*1000/33.33*1000</f>
        <v>1.7555655565556556</v>
      </c>
      <c r="Q20" s="7">
        <f>0.083053*1000/33.33</f>
        <v>2.4918391839183918</v>
      </c>
      <c r="R20" s="7">
        <f>0.10486*1000/33.33</f>
        <v>3.1461146114611465</v>
      </c>
      <c r="S20" s="14">
        <f>0.73936*1000/33.33</f>
        <v>22.183018301830185</v>
      </c>
      <c r="T20" s="7">
        <f>0.0088464*1000/33.33</f>
        <v>0.26541854185418545</v>
      </c>
      <c r="U20" s="1" t="s">
        <v>3</v>
      </c>
      <c r="V20" s="7">
        <f>0.20293*1000/33.33</f>
        <v>6.0885088508850886</v>
      </c>
      <c r="W20" s="1" t="s">
        <v>3</v>
      </c>
      <c r="X20" s="14">
        <f>1.9406*1000/33.33</f>
        <v>58.223822382238232</v>
      </c>
      <c r="Y20" s="14">
        <f>0.00000055881*1000/33.33*10^6</f>
        <v>16.765976597659765</v>
      </c>
      <c r="Z20" s="1" t="s">
        <v>3</v>
      </c>
    </row>
    <row r="21" spans="1:26" x14ac:dyDescent="0.25">
      <c r="A21" s="1" t="s">
        <v>202</v>
      </c>
      <c r="B21" s="1" t="s">
        <v>226</v>
      </c>
      <c r="C21" s="1">
        <v>2018</v>
      </c>
      <c r="D21" s="1" t="s">
        <v>0</v>
      </c>
      <c r="E21" s="1" t="s">
        <v>3</v>
      </c>
      <c r="F21" s="14">
        <f>12.13*1000/33.33</f>
        <v>363.93639363936393</v>
      </c>
      <c r="G21" s="7">
        <f>0.008272*1000/33.33</f>
        <v>0.2481848184818482</v>
      </c>
      <c r="H21" s="6" t="s">
        <v>3</v>
      </c>
      <c r="I21" s="7">
        <f>0.00389*1000/33.33</f>
        <v>0.11671167116711671</v>
      </c>
      <c r="J21" s="14">
        <f>4.45*1000/33.33*41.87</f>
        <v>5590.2040204020395</v>
      </c>
      <c r="K21" s="14">
        <f>5.77*1000/33.33</f>
        <v>173.11731173117312</v>
      </c>
      <c r="L21" s="7">
        <f>0.002*1000/33.33</f>
        <v>6.0006000600060012E-2</v>
      </c>
      <c r="M21" s="14" t="s">
        <v>3</v>
      </c>
      <c r="N21" s="7">
        <f>0.0087*1000/33.33</f>
        <v>0.26102610261026099</v>
      </c>
      <c r="O21" s="14">
        <f>0.0007*1000/33.33*1000</f>
        <v>21.002100210021002</v>
      </c>
      <c r="P21" s="7" t="s">
        <v>3</v>
      </c>
      <c r="Q21" s="7">
        <f>0.0208*1000/33.33</f>
        <v>0.62406240624062415</v>
      </c>
      <c r="R21" s="7">
        <f>0.0423*1000/33.33</f>
        <v>1.2691269126912692</v>
      </c>
      <c r="S21" s="7">
        <f>0.0005*1000/33.33</f>
        <v>1.5001500150015003E-2</v>
      </c>
      <c r="T21" s="7" t="s">
        <v>3</v>
      </c>
      <c r="U21" s="1" t="s">
        <v>3</v>
      </c>
      <c r="V21" s="7">
        <f>0.0803*1000/33.33</f>
        <v>2.4092409240924093</v>
      </c>
      <c r="W21" s="1" t="s">
        <v>3</v>
      </c>
      <c r="X21" s="14">
        <f>21.36*1000/33.33</f>
        <v>640.8640864086409</v>
      </c>
      <c r="Y21" s="14">
        <f>0.00000299*1000/33.33*10^6</f>
        <v>89.708970897089714</v>
      </c>
      <c r="Z21" s="1" t="s">
        <v>3</v>
      </c>
    </row>
    <row r="22" spans="1:26" ht="12.75" customHeight="1" x14ac:dyDescent="0.25"/>
    <row r="23" spans="1:26" x14ac:dyDescent="0.25">
      <c r="A23" s="19"/>
      <c r="B23" s="19"/>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s="4" customFormat="1" x14ac:dyDescent="0.25">
      <c r="A24" s="4" t="s">
        <v>316</v>
      </c>
      <c r="B24" s="3" t="s">
        <v>7</v>
      </c>
      <c r="C24" s="3" t="s">
        <v>4</v>
      </c>
      <c r="D24" s="3" t="s">
        <v>236</v>
      </c>
      <c r="E24" s="3" t="s">
        <v>478</v>
      </c>
      <c r="F24" s="3" t="s">
        <v>480</v>
      </c>
      <c r="G24" s="3" t="s">
        <v>483</v>
      </c>
      <c r="H24" s="3" t="s">
        <v>485</v>
      </c>
      <c r="I24" s="3" t="s">
        <v>487</v>
      </c>
      <c r="J24" s="3" t="s">
        <v>489</v>
      </c>
      <c r="K24" s="3" t="s">
        <v>491</v>
      </c>
      <c r="L24" s="3" t="s">
        <v>493</v>
      </c>
      <c r="M24" s="3" t="s">
        <v>495</v>
      </c>
      <c r="N24" s="3" t="s">
        <v>497</v>
      </c>
      <c r="O24" s="3" t="s">
        <v>499</v>
      </c>
      <c r="P24" s="3" t="s">
        <v>501</v>
      </c>
      <c r="Q24" s="3" t="s">
        <v>503</v>
      </c>
      <c r="R24" s="3" t="s">
        <v>505</v>
      </c>
      <c r="S24" s="3" t="s">
        <v>506</v>
      </c>
      <c r="T24" s="3" t="s">
        <v>509</v>
      </c>
      <c r="U24" s="3" t="s">
        <v>512</v>
      </c>
      <c r="V24" s="3" t="s">
        <v>514</v>
      </c>
      <c r="W24" s="3" t="s">
        <v>516</v>
      </c>
      <c r="X24" s="3" t="s">
        <v>517</v>
      </c>
      <c r="Y24" s="3" t="s">
        <v>518</v>
      </c>
      <c r="Z24" s="4" t="s">
        <v>14</v>
      </c>
    </row>
    <row r="25" spans="1:26" x14ac:dyDescent="0.25">
      <c r="A25" s="1" t="s">
        <v>223</v>
      </c>
      <c r="B25" s="1" t="s">
        <v>222</v>
      </c>
      <c r="C25" s="1">
        <v>2023</v>
      </c>
      <c r="D25" s="1" t="s">
        <v>238</v>
      </c>
      <c r="E25" s="1" t="s">
        <v>3</v>
      </c>
      <c r="F25" s="14">
        <f>34.8*1000/33.33</f>
        <v>1044.1044104410441</v>
      </c>
      <c r="G25" s="1" t="s">
        <v>3</v>
      </c>
      <c r="H25" s="7">
        <f>0.0000154*1000/33.33*1000</f>
        <v>0.46204620462046214</v>
      </c>
      <c r="I25" s="1" t="s">
        <v>3</v>
      </c>
      <c r="J25" s="14">
        <f>405*1000/33.33</f>
        <v>12151.215121512152</v>
      </c>
      <c r="K25" s="1" t="s">
        <v>3</v>
      </c>
      <c r="L25" s="1" t="s">
        <v>3</v>
      </c>
      <c r="M25" s="14" t="s">
        <v>3</v>
      </c>
      <c r="N25" s="7">
        <f>0.0364*1000/33.33</f>
        <v>1.0921092109210921</v>
      </c>
      <c r="O25" s="14">
        <f>0.0518*1000/33.33*1000*0.326</f>
        <v>506.6546654665467</v>
      </c>
      <c r="P25" s="1" t="s">
        <v>3</v>
      </c>
      <c r="Q25" s="14">
        <f>9.68*1000/33.33</f>
        <v>290.42904290429044</v>
      </c>
      <c r="R25" s="1" t="s">
        <v>3</v>
      </c>
      <c r="S25" s="7">
        <f>0.0185*1000/33.33</f>
        <v>0.55505550555055505</v>
      </c>
      <c r="T25" s="1" t="s">
        <v>3</v>
      </c>
      <c r="U25" s="1" t="s">
        <v>3</v>
      </c>
      <c r="V25" s="1" t="s">
        <v>3</v>
      </c>
      <c r="W25" s="1" t="s">
        <v>3</v>
      </c>
      <c r="X25" s="1" t="s">
        <v>3</v>
      </c>
      <c r="Y25" s="14">
        <f>0.000000414*10^6*1000/33.33</f>
        <v>12.421242124212421</v>
      </c>
      <c r="Z25" s="1" t="s">
        <v>3</v>
      </c>
    </row>
    <row r="26" spans="1:26" ht="14.25" customHeight="1" x14ac:dyDescent="0.25">
      <c r="A26" s="1" t="s">
        <v>223</v>
      </c>
      <c r="B26" s="1" t="s">
        <v>226</v>
      </c>
      <c r="C26" s="1">
        <v>2018</v>
      </c>
      <c r="D26" s="1" t="s">
        <v>238</v>
      </c>
      <c r="E26" s="1" t="s">
        <v>3</v>
      </c>
      <c r="F26" s="14">
        <f>24.2*1000/33.33</f>
        <v>726.07260726072616</v>
      </c>
      <c r="G26" s="7">
        <f>0.235*1000/33.33</f>
        <v>7.0507050705070506</v>
      </c>
      <c r="H26" s="6" t="s">
        <v>3</v>
      </c>
      <c r="I26" s="7">
        <f>0.004*1000/33.33</f>
        <v>0.12001200120012002</v>
      </c>
      <c r="J26" s="14">
        <f>4.914*1000/33.33*41.87</f>
        <v>6173.0927092709271</v>
      </c>
      <c r="K26" s="14">
        <f>13.1*1000/33.33</f>
        <v>393.03930393039303</v>
      </c>
      <c r="L26" s="7">
        <f>0.039*1000/33.33</f>
        <v>1.1701170117011701</v>
      </c>
      <c r="M26" s="14" t="s">
        <v>3</v>
      </c>
      <c r="N26" s="7">
        <f>0.139*1000/33.33</f>
        <v>4.1704170417041704</v>
      </c>
      <c r="O26" s="14">
        <f>0.008*1000/33.33*1000</f>
        <v>240.02400240024005</v>
      </c>
      <c r="P26" s="1" t="s">
        <v>3</v>
      </c>
      <c r="Q26" s="14">
        <f>0.268*1000/33.33</f>
        <v>8.0408040804080407</v>
      </c>
      <c r="R26" s="14">
        <f>0.377*1000/33.33</f>
        <v>11.311131113111312</v>
      </c>
      <c r="S26" s="7">
        <f>0.003*1000/33.33</f>
        <v>9.0009000900090008E-2</v>
      </c>
      <c r="T26" s="14">
        <f>1.188*1000/33.33</f>
        <v>35.643564356435647</v>
      </c>
      <c r="U26" s="1" t="s">
        <v>3</v>
      </c>
      <c r="V26" s="14">
        <f>0.64*1000/33.33</f>
        <v>19.201920192019202</v>
      </c>
      <c r="W26" s="1" t="s">
        <v>3</v>
      </c>
      <c r="X26" s="14">
        <f>277.6*1000/33.33</f>
        <v>8328.832883288329</v>
      </c>
      <c r="Y26" s="14">
        <f>0.00000335*1000/33.33*10^6</f>
        <v>100.51005100510052</v>
      </c>
      <c r="Z26" s="1" t="s">
        <v>3</v>
      </c>
    </row>
    <row r="28" spans="1:26" x14ac:dyDescent="0.25">
      <c r="A28" s="19"/>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x14ac:dyDescent="0.25">
      <c r="A29" s="4" t="s">
        <v>316</v>
      </c>
      <c r="B29" s="3" t="s">
        <v>7</v>
      </c>
      <c r="C29" s="3" t="s">
        <v>4</v>
      </c>
      <c r="D29" s="3" t="s">
        <v>236</v>
      </c>
      <c r="E29" s="3" t="s">
        <v>478</v>
      </c>
      <c r="F29" s="3" t="s">
        <v>480</v>
      </c>
      <c r="G29" s="3" t="s">
        <v>483</v>
      </c>
      <c r="H29" s="3" t="s">
        <v>485</v>
      </c>
      <c r="I29" s="3" t="s">
        <v>487</v>
      </c>
      <c r="J29" s="3" t="s">
        <v>489</v>
      </c>
      <c r="K29" s="3" t="s">
        <v>491</v>
      </c>
      <c r="L29" s="3" t="s">
        <v>493</v>
      </c>
      <c r="M29" s="3" t="s">
        <v>495</v>
      </c>
      <c r="N29" s="3" t="s">
        <v>497</v>
      </c>
      <c r="O29" s="3" t="s">
        <v>499</v>
      </c>
      <c r="P29" s="3" t="s">
        <v>501</v>
      </c>
      <c r="Q29" s="3" t="s">
        <v>503</v>
      </c>
      <c r="R29" s="3" t="s">
        <v>505</v>
      </c>
      <c r="S29" s="3" t="s">
        <v>506</v>
      </c>
      <c r="T29" s="3" t="s">
        <v>509</v>
      </c>
      <c r="U29" s="3" t="s">
        <v>512</v>
      </c>
      <c r="V29" s="3" t="s">
        <v>514</v>
      </c>
      <c r="W29" s="3" t="s">
        <v>516</v>
      </c>
      <c r="X29" s="3" t="s">
        <v>517</v>
      </c>
      <c r="Y29" s="3" t="s">
        <v>518</v>
      </c>
      <c r="Z29" s="4" t="s">
        <v>14</v>
      </c>
    </row>
    <row r="30" spans="1:26" x14ac:dyDescent="0.25">
      <c r="A30" s="1" t="s">
        <v>224</v>
      </c>
      <c r="B30" s="1" t="s">
        <v>226</v>
      </c>
      <c r="C30" s="1">
        <v>2018</v>
      </c>
      <c r="D30" s="21" t="s">
        <v>239</v>
      </c>
      <c r="E30" s="1" t="s">
        <v>3</v>
      </c>
      <c r="F30" s="14">
        <f>2.67*1000/33.33</f>
        <v>80.108010801080113</v>
      </c>
      <c r="G30" s="7">
        <f>0.02062*1000/33.33</f>
        <v>0.61866186618661867</v>
      </c>
      <c r="H30" s="6">
        <f>I30/2.5</f>
        <v>2.2322232223222323E-2</v>
      </c>
      <c r="I30" s="7">
        <f>0.00186*1000/33.33</f>
        <v>5.580558055805581E-2</v>
      </c>
      <c r="J30" s="14">
        <f>0.655*1000/33.33*41.87</f>
        <v>822.82778277827788</v>
      </c>
      <c r="K30" s="14">
        <f>4.94*1000/33.33</f>
        <v>148.21482148214821</v>
      </c>
      <c r="L30" s="7">
        <f>0.00284*1000/33.33</f>
        <v>8.5208520852085204E-2</v>
      </c>
      <c r="M30" s="14" t="s">
        <v>3</v>
      </c>
      <c r="N30" s="7">
        <f>0.03706*1000/33.33</f>
        <v>1.111911191119112</v>
      </c>
      <c r="O30" s="14">
        <f>0.00081*1000/33.33*1000</f>
        <v>24.3024302430243</v>
      </c>
      <c r="P30" s="1" t="s">
        <v>3</v>
      </c>
      <c r="Q30" s="7">
        <f>0.01875*1000/33.33</f>
        <v>0.56255625562556255</v>
      </c>
      <c r="R30" s="7">
        <f>0.02706*1000/33.33</f>
        <v>0.81188118811881194</v>
      </c>
      <c r="S30" s="6">
        <f>0.0003*1000/33.33</f>
        <v>9.0009000900090012E-3</v>
      </c>
      <c r="T30" s="14">
        <f>0.406*1000/33.33</f>
        <v>12.181218121812181</v>
      </c>
      <c r="U30" s="1" t="s">
        <v>3</v>
      </c>
      <c r="V30" s="7">
        <f>0.0433*1000/33.33</f>
        <v>1.2991299129912992</v>
      </c>
      <c r="W30" s="1" t="s">
        <v>3</v>
      </c>
      <c r="X30" s="14">
        <f>19.69*1000/33.33</f>
        <v>590.75907590759084</v>
      </c>
      <c r="Y30" s="14">
        <f>0.0000218*1000/33.33*10^6</f>
        <v>654.06540654065407</v>
      </c>
      <c r="Z30" s="1" t="s">
        <v>3</v>
      </c>
    </row>
    <row r="31" spans="1:26" x14ac:dyDescent="0.25">
      <c r="A31" s="1" t="s">
        <v>224</v>
      </c>
      <c r="B31" s="1" t="s">
        <v>228</v>
      </c>
      <c r="C31" s="1">
        <v>2018</v>
      </c>
      <c r="D31" s="21" t="s">
        <v>239</v>
      </c>
      <c r="E31" s="1" t="s">
        <v>3</v>
      </c>
      <c r="F31" s="14">
        <f>(0.19+0.11-0.12)*3600</f>
        <v>648</v>
      </c>
      <c r="G31" s="1" t="s">
        <v>3</v>
      </c>
      <c r="H31" s="1" t="s">
        <v>3</v>
      </c>
      <c r="I31" s="1" t="s">
        <v>3</v>
      </c>
      <c r="J31" s="1">
        <f>(0.39+0.14+0.3)*3600</f>
        <v>2988.0000000000005</v>
      </c>
      <c r="K31" s="1" t="s">
        <v>3</v>
      </c>
      <c r="L31" s="7" t="s">
        <v>3</v>
      </c>
      <c r="M31" s="14" t="s">
        <v>3</v>
      </c>
      <c r="N31" s="7">
        <f>(0.0002+0.00013+0.000015)*3600</f>
        <v>1.242</v>
      </c>
      <c r="O31" s="14">
        <f>(0.0005+0.000036+0.0000033)*3600*1000*0.326</f>
        <v>632.92248000000006</v>
      </c>
      <c r="P31" s="1" t="s">
        <v>3</v>
      </c>
      <c r="Q31" s="1" t="s">
        <v>3</v>
      </c>
      <c r="R31" s="1" t="s">
        <v>3</v>
      </c>
      <c r="S31" s="1" t="s">
        <v>3</v>
      </c>
      <c r="T31" s="1" t="s">
        <v>3</v>
      </c>
      <c r="U31" s="1" t="s">
        <v>3</v>
      </c>
      <c r="V31" s="1" t="s">
        <v>3</v>
      </c>
      <c r="W31" s="1" t="s">
        <v>3</v>
      </c>
      <c r="X31" s="1" t="s">
        <v>3</v>
      </c>
      <c r="Y31" s="1" t="s">
        <v>3</v>
      </c>
      <c r="Z31" s="1" t="s">
        <v>3</v>
      </c>
    </row>
    <row r="32" spans="1:26" x14ac:dyDescent="0.25">
      <c r="A32" s="1" t="s">
        <v>224</v>
      </c>
      <c r="B32" s="1" t="s">
        <v>229</v>
      </c>
      <c r="C32" s="1">
        <v>2016</v>
      </c>
      <c r="D32" s="21" t="s">
        <v>239</v>
      </c>
      <c r="E32" s="1" t="s">
        <v>3</v>
      </c>
      <c r="F32" s="14">
        <f>5.59*1000/33.33</f>
        <v>167.71677167716771</v>
      </c>
      <c r="G32" s="1" t="s">
        <v>3</v>
      </c>
      <c r="H32" s="7">
        <f>(-0.00012)*1000/33.33*1000</f>
        <v>-3.6003600360036008</v>
      </c>
      <c r="I32" s="1" t="s">
        <v>3</v>
      </c>
      <c r="J32" s="14">
        <f>(4.98+4.15)*1000/33.33</f>
        <v>273.92739273927396</v>
      </c>
      <c r="K32" s="6">
        <f>(-0.00167)*1000/33.33</f>
        <v>-5.010501050105011E-2</v>
      </c>
      <c r="L32" s="7">
        <f>0.00525*1000/33.33</f>
        <v>0.15751575157515751</v>
      </c>
      <c r="M32" s="14">
        <f>0.29*1000/33.337</f>
        <v>8.6990431052584203</v>
      </c>
      <c r="N32" s="7">
        <f>M32/1000*1.3</f>
        <v>1.1308756036835947E-2</v>
      </c>
      <c r="O32" s="14">
        <f>-0.0000602*1000/33.33*1000</f>
        <v>-1.8061806180618063</v>
      </c>
      <c r="P32" s="14">
        <f>0.0066*1000/33.33*1000</f>
        <v>198.01980198019803</v>
      </c>
      <c r="Q32" s="1" t="s">
        <v>3</v>
      </c>
      <c r="R32" s="1" t="s">
        <v>3</v>
      </c>
      <c r="T32" s="1" t="s">
        <v>3</v>
      </c>
      <c r="U32" s="78">
        <f>0.00000000864*1000/33.33</f>
        <v>2.5922592259225926E-7</v>
      </c>
      <c r="V32" s="1" t="s">
        <v>3</v>
      </c>
      <c r="W32" s="78">
        <f>0.000000276*1000/33.33</f>
        <v>8.2808280828082808E-6</v>
      </c>
      <c r="X32" s="1" t="s">
        <v>3</v>
      </c>
      <c r="Y32" s="7">
        <f>0.0000000153*10^6*1000/33.33</f>
        <v>0.45904590459045908</v>
      </c>
      <c r="Z32" s="1" t="s">
        <v>232</v>
      </c>
    </row>
    <row r="33" spans="1:26" x14ac:dyDescent="0.25">
      <c r="A33" s="1" t="s">
        <v>224</v>
      </c>
      <c r="B33" s="1" t="s">
        <v>231</v>
      </c>
      <c r="C33" s="1">
        <v>2014</v>
      </c>
      <c r="D33" s="21" t="s">
        <v>239</v>
      </c>
      <c r="E33" s="1" t="s">
        <v>3</v>
      </c>
      <c r="F33" s="14">
        <f>0.13*1000/33.33/0.0899</f>
        <v>43.385873626294782</v>
      </c>
      <c r="G33" s="14">
        <f>0.793*1000/33.33/0.089</f>
        <v>267.33010379689654</v>
      </c>
      <c r="H33" s="1" t="s">
        <v>3</v>
      </c>
      <c r="I33" s="1" t="s">
        <v>3</v>
      </c>
      <c r="J33" s="14">
        <f>2.05*1000/33.33/0.0899</f>
        <v>684.16185333772535</v>
      </c>
      <c r="K33" s="1" t="s">
        <v>3</v>
      </c>
      <c r="L33" s="1" t="s">
        <v>3</v>
      </c>
      <c r="M33" s="14" t="s">
        <v>3</v>
      </c>
      <c r="N33" s="7">
        <f>0.00116*1000/33.33/0.089</f>
        <v>0.39105034098915509</v>
      </c>
      <c r="O33" s="14">
        <f>0.000252*1000/33.33/0.089*1000*0.326</f>
        <v>27.694454838742303</v>
      </c>
      <c r="P33" s="1" t="s">
        <v>3</v>
      </c>
      <c r="Q33" s="1" t="s">
        <v>3</v>
      </c>
      <c r="R33" s="1" t="s">
        <v>3</v>
      </c>
      <c r="S33" s="1" t="s">
        <v>3</v>
      </c>
      <c r="T33" s="1" t="s">
        <v>3</v>
      </c>
      <c r="U33" s="1" t="s">
        <v>3</v>
      </c>
      <c r="V33" s="1" t="s">
        <v>3</v>
      </c>
      <c r="W33" s="1" t="s">
        <v>3</v>
      </c>
      <c r="X33" s="1" t="s">
        <v>3</v>
      </c>
      <c r="Y33" s="7">
        <f>0.0000000149*1000/33.33/0.089*10^6</f>
        <v>5.022974207533113</v>
      </c>
      <c r="Z33" s="1" t="s">
        <v>3</v>
      </c>
    </row>
    <row r="34" spans="1:26" x14ac:dyDescent="0.25">
      <c r="D34" s="21"/>
      <c r="F34" s="14"/>
      <c r="G34" s="14"/>
      <c r="J34" s="14"/>
      <c r="M34" s="14"/>
      <c r="N34" s="7"/>
      <c r="O34" s="14"/>
      <c r="Y34" s="7"/>
    </row>
    <row r="35" spans="1:26" x14ac:dyDescent="0.25">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x14ac:dyDescent="0.25">
      <c r="A36" s="4" t="s">
        <v>316</v>
      </c>
      <c r="B36" s="3" t="s">
        <v>7</v>
      </c>
      <c r="C36" s="3" t="s">
        <v>4</v>
      </c>
      <c r="D36" s="3" t="s">
        <v>236</v>
      </c>
      <c r="E36" s="3" t="s">
        <v>478</v>
      </c>
      <c r="F36" s="3" t="s">
        <v>480</v>
      </c>
      <c r="G36" s="3" t="s">
        <v>483</v>
      </c>
      <c r="H36" s="3" t="s">
        <v>485</v>
      </c>
      <c r="I36" s="3" t="s">
        <v>487</v>
      </c>
      <c r="J36" s="3" t="s">
        <v>489</v>
      </c>
      <c r="K36" s="3" t="s">
        <v>491</v>
      </c>
      <c r="L36" s="3" t="s">
        <v>493</v>
      </c>
      <c r="M36" s="3" t="s">
        <v>495</v>
      </c>
      <c r="N36" s="3" t="s">
        <v>497</v>
      </c>
      <c r="O36" s="3" t="s">
        <v>499</v>
      </c>
      <c r="P36" s="3" t="s">
        <v>501</v>
      </c>
      <c r="Q36" s="3" t="s">
        <v>503</v>
      </c>
      <c r="R36" s="3" t="s">
        <v>505</v>
      </c>
      <c r="S36" s="3" t="s">
        <v>506</v>
      </c>
      <c r="T36" s="3" t="s">
        <v>507</v>
      </c>
      <c r="U36" s="3" t="s">
        <v>512</v>
      </c>
      <c r="V36" s="3" t="s">
        <v>514</v>
      </c>
      <c r="W36" s="3" t="s">
        <v>516</v>
      </c>
      <c r="X36" s="3" t="s">
        <v>517</v>
      </c>
      <c r="Y36" s="3" t="s">
        <v>518</v>
      </c>
      <c r="Z36" s="4" t="s">
        <v>14</v>
      </c>
    </row>
    <row r="37" spans="1:26" x14ac:dyDescent="0.25">
      <c r="A37" s="1" t="s">
        <v>203</v>
      </c>
      <c r="B37" s="1" t="s">
        <v>234</v>
      </c>
      <c r="C37" s="1">
        <v>2019</v>
      </c>
      <c r="D37" s="1" t="s">
        <v>241</v>
      </c>
      <c r="E37" s="1" t="s">
        <v>3</v>
      </c>
      <c r="F37" s="14">
        <f>(3327431+2837203)/1735299*3600/20</f>
        <v>639.44837172153041</v>
      </c>
      <c r="G37" s="14">
        <f>(685693+46675+68654+180794+653+858)/1735299*3600/20</f>
        <v>101.99905607045241</v>
      </c>
      <c r="H37" s="1" t="s">
        <v>3</v>
      </c>
      <c r="I37" s="14">
        <f>(234385+153445)/1735299*3600/20</f>
        <v>40.229032575942242</v>
      </c>
      <c r="J37" s="14">
        <f>(440345+993172)/1735299*3600/20</f>
        <v>148.69659926041567</v>
      </c>
      <c r="K37" s="14">
        <f>(111034+1640140)/1735299*3600/20</f>
        <v>181.64669028219345</v>
      </c>
      <c r="L37" s="7">
        <f>(12855+17942)/1735299/20*3600</f>
        <v>3.1945272831944234</v>
      </c>
      <c r="M37" s="14" t="s">
        <v>3</v>
      </c>
      <c r="N37" s="7">
        <f>(13828+11315)/1735299*3600/20</f>
        <v>2.6080462214292757</v>
      </c>
      <c r="O37" s="14">
        <f>(1214+235)/1735299*3600/20*1000</f>
        <v>150.30262796209763</v>
      </c>
      <c r="P37" s="14">
        <f>(14071+629)/1735299*3600/20*1000</f>
        <v>1524.8092691807003</v>
      </c>
      <c r="Q37" s="7">
        <f>(57665+15290)/1735299*3600/20</f>
        <v>7.5675143015699318</v>
      </c>
      <c r="R37" s="14">
        <f>(51660+17011)/1735299*3600/20</f>
        <v>7.1231413145515559</v>
      </c>
      <c r="S37" s="7">
        <f>(2221+288)/1735299*3600/20</f>
        <v>0.26025486097784878</v>
      </c>
      <c r="T37" s="14">
        <f>(238656+236329)/1735299*3600/20</f>
        <v>49.269491885836388</v>
      </c>
      <c r="U37" s="1" t="s">
        <v>3</v>
      </c>
      <c r="V37" s="1" t="s">
        <v>3</v>
      </c>
      <c r="W37" s="1" t="s">
        <v>3</v>
      </c>
      <c r="X37" s="1" t="s">
        <v>3</v>
      </c>
      <c r="Y37" s="14">
        <f>(0.19+0.2)/1735299*3600/20*10^6</f>
        <v>40.4541234680594</v>
      </c>
      <c r="Z37" s="1" t="s">
        <v>482</v>
      </c>
    </row>
    <row r="38" spans="1:26" x14ac:dyDescent="0.25">
      <c r="A38" s="1" t="s">
        <v>203</v>
      </c>
      <c r="B38" s="1" t="s">
        <v>240</v>
      </c>
      <c r="C38" s="1">
        <v>2024</v>
      </c>
      <c r="D38" s="1" t="s">
        <v>244</v>
      </c>
      <c r="E38" s="1" t="s">
        <v>3</v>
      </c>
      <c r="F38" s="14">
        <f>(0.00837+0.0095+0.00017)/20*3600</f>
        <v>3.2472000000000003</v>
      </c>
      <c r="G38" s="1" t="s">
        <v>3</v>
      </c>
      <c r="H38" s="1" t="s">
        <v>3</v>
      </c>
      <c r="I38" s="1" t="s">
        <v>3</v>
      </c>
      <c r="J38" s="1" t="s">
        <v>3</v>
      </c>
      <c r="K38" s="1" t="s">
        <v>3</v>
      </c>
      <c r="L38" s="1" t="s">
        <v>3</v>
      </c>
      <c r="M38" s="14" t="s">
        <v>3</v>
      </c>
      <c r="N38" s="7">
        <f>(0.00000382+0.00000573+0.0000000411)/20*3600*1000</f>
        <v>1.7263980000000003</v>
      </c>
      <c r="O38" s="14">
        <f>(0.00000883+0.0000101+0.000000154)/20*1000*3600*0.326</f>
        <v>1.1198491199999998</v>
      </c>
      <c r="P38" s="1" t="s">
        <v>3</v>
      </c>
      <c r="Q38" s="1" t="s">
        <v>3</v>
      </c>
      <c r="R38" s="1" t="s">
        <v>3</v>
      </c>
      <c r="S38" s="1" t="s">
        <v>3</v>
      </c>
      <c r="T38" s="1" t="s">
        <v>3</v>
      </c>
      <c r="U38" s="1" t="s">
        <v>3</v>
      </c>
      <c r="V38" s="1" t="s">
        <v>3</v>
      </c>
      <c r="W38" s="1" t="s">
        <v>3</v>
      </c>
      <c r="X38" s="1" t="s">
        <v>3</v>
      </c>
      <c r="Y38" s="1" t="s">
        <v>3</v>
      </c>
      <c r="Z38" s="1" t="s">
        <v>3</v>
      </c>
    </row>
    <row r="39" spans="1:26" x14ac:dyDescent="0.25">
      <c r="A39" s="1" t="s">
        <v>203</v>
      </c>
      <c r="B39" s="1" t="s">
        <v>240</v>
      </c>
      <c r="C39" s="1">
        <v>2024</v>
      </c>
      <c r="D39" s="1" t="s">
        <v>244</v>
      </c>
      <c r="E39" s="1" t="s">
        <v>3</v>
      </c>
      <c r="F39" s="14">
        <f>(0.00538+0.0073+0.004)/20*3600</f>
        <v>3.0024000000000002</v>
      </c>
      <c r="G39" s="1" t="s">
        <v>3</v>
      </c>
      <c r="H39" s="1" t="s">
        <v>3</v>
      </c>
      <c r="I39" s="1" t="s">
        <v>3</v>
      </c>
      <c r="J39" s="1" t="s">
        <v>3</v>
      </c>
      <c r="K39" s="1" t="s">
        <v>3</v>
      </c>
      <c r="L39" s="1" t="s">
        <v>3</v>
      </c>
      <c r="M39" s="14" t="s">
        <v>3</v>
      </c>
      <c r="N39" s="7">
        <f>(0.00000369+0.0000102+0.00000263)/20*3600*1000</f>
        <v>2.9735999999999998</v>
      </c>
      <c r="O39" s="14">
        <f>(0.00000455+0.00000819+0.00000701)/20*3600*1000</f>
        <v>3.5549999999999997</v>
      </c>
      <c r="P39" s="1" t="s">
        <v>3</v>
      </c>
      <c r="Q39" s="1" t="s">
        <v>3</v>
      </c>
      <c r="R39" s="1" t="s">
        <v>3</v>
      </c>
      <c r="S39" s="1" t="s">
        <v>3</v>
      </c>
      <c r="T39" s="1" t="s">
        <v>3</v>
      </c>
      <c r="U39" s="1" t="s">
        <v>3</v>
      </c>
      <c r="V39" s="1" t="s">
        <v>3</v>
      </c>
      <c r="W39" s="1" t="s">
        <v>3</v>
      </c>
      <c r="X39" s="1" t="s">
        <v>3</v>
      </c>
      <c r="Y39" s="1" t="s">
        <v>3</v>
      </c>
      <c r="Z39" s="1" t="s">
        <v>3</v>
      </c>
    </row>
    <row r="40" spans="1:26" x14ac:dyDescent="0.25">
      <c r="A40" s="1" t="s">
        <v>203</v>
      </c>
      <c r="B40" s="1" t="s">
        <v>243</v>
      </c>
      <c r="C40" s="1">
        <v>2011</v>
      </c>
      <c r="D40" s="1" t="s">
        <v>246</v>
      </c>
      <c r="E40" s="14">
        <f>35*0.36*3600/1000</f>
        <v>45.36</v>
      </c>
      <c r="F40" s="14">
        <f>140*0.36*3600/1000</f>
        <v>181.44</v>
      </c>
      <c r="G40" s="1" t="s">
        <v>3</v>
      </c>
      <c r="H40" s="7">
        <f>0.0000001*0.36*3600*1000</f>
        <v>0.12959999999999999</v>
      </c>
      <c r="I40" s="1" t="s">
        <v>3</v>
      </c>
      <c r="J40" s="1" t="s">
        <v>3</v>
      </c>
      <c r="K40" s="1" t="s">
        <v>3</v>
      </c>
      <c r="L40" s="7">
        <f>0.00036*3600*0.36</f>
        <v>0.46655999999999997</v>
      </c>
      <c r="M40" s="14" t="s">
        <v>3</v>
      </c>
      <c r="N40" s="7">
        <f>0.002*0.36*3600</f>
        <v>2.5919999999999996</v>
      </c>
      <c r="O40" s="14">
        <f>0.000015*0.36*3600*1000</f>
        <v>19.439999999999998</v>
      </c>
      <c r="P40" s="14">
        <f>0.00088*0.36*3600*1000</f>
        <v>1140.48</v>
      </c>
      <c r="Q40" s="1" t="s">
        <v>3</v>
      </c>
      <c r="R40" s="1" t="s">
        <v>3</v>
      </c>
      <c r="S40" s="6">
        <f>0.00001*0.36*3600</f>
        <v>1.2960000000000001E-2</v>
      </c>
      <c r="T40" s="1" t="s">
        <v>3</v>
      </c>
      <c r="U40" s="1" t="s">
        <v>3</v>
      </c>
      <c r="V40" s="1" t="s">
        <v>3</v>
      </c>
      <c r="W40" s="1" t="s">
        <v>3</v>
      </c>
      <c r="X40" s="1" t="s">
        <v>3</v>
      </c>
      <c r="Y40" s="7">
        <f>0.0000000028*0.36*3600*10^6</f>
        <v>3.6287999999999996</v>
      </c>
      <c r="Z40" s="1" t="s">
        <v>3</v>
      </c>
    </row>
    <row r="41" spans="1:26" x14ac:dyDescent="0.25">
      <c r="A41" s="1" t="s">
        <v>203</v>
      </c>
      <c r="B41" s="1" t="s">
        <v>95</v>
      </c>
      <c r="C41" s="1">
        <v>2017</v>
      </c>
      <c r="D41" s="1" t="s">
        <v>250</v>
      </c>
      <c r="E41" s="14" t="s">
        <v>3</v>
      </c>
      <c r="F41" s="14">
        <f>1.19/20*3600</f>
        <v>214.2</v>
      </c>
      <c r="G41" s="1" t="s">
        <v>3</v>
      </c>
      <c r="H41" s="1" t="s">
        <v>3</v>
      </c>
      <c r="I41" s="1" t="s">
        <v>3</v>
      </c>
      <c r="J41" s="14">
        <f>17.5/20*3600</f>
        <v>3150</v>
      </c>
      <c r="K41" s="1" t="s">
        <v>3</v>
      </c>
      <c r="L41" s="7">
        <f>0.5/1000/20*3600</f>
        <v>9.0000000000000011E-2</v>
      </c>
      <c r="M41" s="14" t="s">
        <v>3</v>
      </c>
      <c r="N41" s="7">
        <f>1.63/20*3600/1000</f>
        <v>0.29339999999999999</v>
      </c>
      <c r="O41" s="1" t="s">
        <v>3</v>
      </c>
      <c r="P41" s="1" t="s">
        <v>3</v>
      </c>
      <c r="Q41" s="1" t="s">
        <v>3</v>
      </c>
      <c r="R41" s="1" t="s">
        <v>3</v>
      </c>
      <c r="S41" s="1" t="s">
        <v>3</v>
      </c>
      <c r="T41" s="1" t="s">
        <v>3</v>
      </c>
      <c r="U41" s="1" t="s">
        <v>3</v>
      </c>
      <c r="V41" s="1" t="s">
        <v>3</v>
      </c>
      <c r="W41" s="1" t="s">
        <v>3</v>
      </c>
      <c r="X41" s="1" t="s">
        <v>3</v>
      </c>
      <c r="Y41" s="1" t="s">
        <v>3</v>
      </c>
      <c r="Z41" s="1" t="s">
        <v>3</v>
      </c>
    </row>
    <row r="42" spans="1:26" x14ac:dyDescent="0.25">
      <c r="A42" s="1" t="s">
        <v>203</v>
      </c>
      <c r="B42" s="1" t="s">
        <v>95</v>
      </c>
      <c r="C42" s="1">
        <v>2017</v>
      </c>
      <c r="D42" s="1" t="s">
        <v>250</v>
      </c>
      <c r="E42" s="14" t="s">
        <v>3</v>
      </c>
      <c r="F42" s="14">
        <f>0.63/20*3600</f>
        <v>113.4</v>
      </c>
      <c r="G42" s="1" t="s">
        <v>3</v>
      </c>
      <c r="H42" s="1" t="s">
        <v>3</v>
      </c>
      <c r="I42" s="1" t="s">
        <v>3</v>
      </c>
      <c r="J42" s="14">
        <f>7.7/20*3600</f>
        <v>1386</v>
      </c>
      <c r="K42" s="1" t="s">
        <v>3</v>
      </c>
      <c r="L42" s="7">
        <f>0.51/1000/20*3600</f>
        <v>9.1800000000000007E-2</v>
      </c>
      <c r="M42" s="14" t="s">
        <v>3</v>
      </c>
      <c r="N42" s="7">
        <f>1.65/1000/20*3600</f>
        <v>0.29699999999999999</v>
      </c>
      <c r="O42" s="1" t="s">
        <v>3</v>
      </c>
      <c r="P42" s="1" t="s">
        <v>3</v>
      </c>
      <c r="Q42" s="1" t="s">
        <v>3</v>
      </c>
      <c r="R42" s="1" t="s">
        <v>3</v>
      </c>
      <c r="S42" s="1" t="s">
        <v>3</v>
      </c>
      <c r="T42" s="1" t="s">
        <v>3</v>
      </c>
      <c r="U42" s="1" t="s">
        <v>3</v>
      </c>
      <c r="V42" s="1" t="s">
        <v>3</v>
      </c>
      <c r="W42" s="1" t="s">
        <v>3</v>
      </c>
      <c r="X42" s="1" t="s">
        <v>3</v>
      </c>
      <c r="Y42" s="1" t="s">
        <v>3</v>
      </c>
      <c r="Z42" s="1" t="s">
        <v>3</v>
      </c>
    </row>
    <row r="43" spans="1:26" x14ac:dyDescent="0.25">
      <c r="A43" s="1" t="s">
        <v>203</v>
      </c>
      <c r="B43" s="1" t="s">
        <v>249</v>
      </c>
      <c r="C43" s="1">
        <v>2015</v>
      </c>
      <c r="D43" s="1" t="s">
        <v>3</v>
      </c>
      <c r="E43" s="14" t="s">
        <v>3</v>
      </c>
      <c r="F43" s="14" t="s">
        <v>3</v>
      </c>
      <c r="G43" s="1" t="s">
        <v>3</v>
      </c>
      <c r="H43" s="1" t="s">
        <v>3</v>
      </c>
      <c r="I43" s="1" t="s">
        <v>3</v>
      </c>
      <c r="J43" s="1" t="s">
        <v>3</v>
      </c>
      <c r="K43" s="1" t="s">
        <v>251</v>
      </c>
      <c r="L43" s="1" t="s">
        <v>3</v>
      </c>
      <c r="M43" s="1" t="s">
        <v>3</v>
      </c>
      <c r="N43" s="1" t="s">
        <v>3</v>
      </c>
      <c r="O43" s="1" t="s">
        <v>3</v>
      </c>
      <c r="P43" s="1" t="s">
        <v>3</v>
      </c>
      <c r="Q43" s="1" t="s">
        <v>3</v>
      </c>
      <c r="R43" s="1" t="s">
        <v>3</v>
      </c>
      <c r="S43" s="1" t="s">
        <v>3</v>
      </c>
      <c r="T43" s="1" t="s">
        <v>3</v>
      </c>
      <c r="U43" s="1" t="s">
        <v>3</v>
      </c>
      <c r="V43" s="1" t="s">
        <v>3</v>
      </c>
      <c r="W43" s="1" t="s">
        <v>3</v>
      </c>
      <c r="X43" s="1" t="s">
        <v>3</v>
      </c>
      <c r="Y43" s="1" t="s">
        <v>3</v>
      </c>
      <c r="Z43" s="1" t="s">
        <v>3</v>
      </c>
    </row>
    <row r="44" spans="1:26" x14ac:dyDescent="0.25">
      <c r="A44" s="1" t="s">
        <v>203</v>
      </c>
      <c r="B44" s="1" t="s">
        <v>252</v>
      </c>
      <c r="C44" s="1">
        <v>2023</v>
      </c>
      <c r="D44" s="1" t="s">
        <v>3</v>
      </c>
      <c r="E44" s="14">
        <f>300/1000/20*3600</f>
        <v>54</v>
      </c>
      <c r="F44" s="14" t="s">
        <v>3</v>
      </c>
      <c r="G44" s="14" t="s">
        <v>3</v>
      </c>
      <c r="H44" s="14" t="s">
        <v>3</v>
      </c>
      <c r="I44" s="14" t="s">
        <v>3</v>
      </c>
      <c r="J44" s="14" t="s">
        <v>3</v>
      </c>
      <c r="K44" s="14" t="s">
        <v>3</v>
      </c>
      <c r="L44" s="14" t="s">
        <v>3</v>
      </c>
      <c r="M44" s="14" t="s">
        <v>3</v>
      </c>
      <c r="N44" s="14" t="s">
        <v>3</v>
      </c>
      <c r="O44" s="14" t="s">
        <v>3</v>
      </c>
      <c r="P44" s="14" t="s">
        <v>3</v>
      </c>
      <c r="Q44" s="14" t="s">
        <v>3</v>
      </c>
      <c r="R44" s="14" t="s">
        <v>3</v>
      </c>
      <c r="S44" s="14" t="s">
        <v>3</v>
      </c>
      <c r="T44" s="14" t="s">
        <v>3</v>
      </c>
      <c r="U44" s="14" t="s">
        <v>3</v>
      </c>
      <c r="V44" s="14" t="s">
        <v>3</v>
      </c>
      <c r="W44" s="14" t="s">
        <v>3</v>
      </c>
      <c r="X44" s="14" t="s">
        <v>3</v>
      </c>
      <c r="Y44" s="14" t="s">
        <v>3</v>
      </c>
      <c r="Z44" s="1" t="s">
        <v>3</v>
      </c>
    </row>
    <row r="45" spans="1:26" x14ac:dyDescent="0.25">
      <c r="E45" s="14"/>
      <c r="F45" s="14"/>
      <c r="J45" s="14"/>
      <c r="L45" s="7"/>
      <c r="M45" s="14"/>
      <c r="N45" s="7"/>
      <c r="O45" s="14"/>
    </row>
    <row r="46" spans="1:26" x14ac:dyDescent="0.25">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1:26" x14ac:dyDescent="0.25">
      <c r="A47" s="4" t="s">
        <v>316</v>
      </c>
      <c r="B47" s="3" t="s">
        <v>7</v>
      </c>
      <c r="C47" s="3" t="s">
        <v>4</v>
      </c>
      <c r="D47" s="3" t="s">
        <v>236</v>
      </c>
      <c r="E47" s="3" t="s">
        <v>478</v>
      </c>
      <c r="F47" s="3" t="s">
        <v>480</v>
      </c>
      <c r="G47" s="3" t="s">
        <v>483</v>
      </c>
      <c r="H47" s="3" t="s">
        <v>485</v>
      </c>
      <c r="I47" s="3" t="s">
        <v>487</v>
      </c>
      <c r="J47" s="3" t="s">
        <v>489</v>
      </c>
      <c r="K47" s="3" t="s">
        <v>491</v>
      </c>
      <c r="L47" s="3" t="s">
        <v>493</v>
      </c>
      <c r="M47" s="3" t="s">
        <v>495</v>
      </c>
      <c r="N47" s="3" t="s">
        <v>497</v>
      </c>
      <c r="O47" s="3" t="s">
        <v>499</v>
      </c>
      <c r="P47" s="3" t="s">
        <v>501</v>
      </c>
      <c r="Q47" s="3" t="s">
        <v>503</v>
      </c>
      <c r="R47" s="3" t="s">
        <v>505</v>
      </c>
      <c r="S47" s="3" t="s">
        <v>506</v>
      </c>
      <c r="T47" s="3" t="s">
        <v>509</v>
      </c>
      <c r="U47" s="3" t="s">
        <v>512</v>
      </c>
      <c r="V47" s="3" t="s">
        <v>514</v>
      </c>
      <c r="W47" s="3" t="s">
        <v>516</v>
      </c>
      <c r="X47" s="3" t="s">
        <v>517</v>
      </c>
      <c r="Y47" s="3" t="s">
        <v>518</v>
      </c>
      <c r="Z47" s="4" t="s">
        <v>14</v>
      </c>
    </row>
    <row r="48" spans="1:26" x14ac:dyDescent="0.25">
      <c r="A48" s="1" t="s">
        <v>194</v>
      </c>
      <c r="B48" s="1" t="s">
        <v>254</v>
      </c>
      <c r="C48" s="1">
        <v>2018</v>
      </c>
      <c r="D48" s="1" t="s">
        <v>256</v>
      </c>
      <c r="E48" s="14">
        <f>3.3/1000*3600</f>
        <v>11.88</v>
      </c>
      <c r="F48" s="14">
        <f>(26.9-3.3)*3600/1000</f>
        <v>84.95999999999998</v>
      </c>
      <c r="G48" s="1" t="s">
        <v>3</v>
      </c>
      <c r="H48" s="1" t="s">
        <v>3</v>
      </c>
      <c r="I48" s="1" t="s">
        <v>3</v>
      </c>
      <c r="J48" s="1" t="s">
        <v>3</v>
      </c>
      <c r="K48" s="1" t="s">
        <v>3</v>
      </c>
      <c r="L48" s="7">
        <f>-0.07*3600/1000</f>
        <v>-0.252</v>
      </c>
      <c r="M48" s="14" t="s">
        <v>3</v>
      </c>
      <c r="N48" s="7">
        <f>0.47*3600/1000</f>
        <v>1.6919999999999999</v>
      </c>
      <c r="O48" s="1" t="s">
        <v>3</v>
      </c>
      <c r="P48" s="1">
        <f>0.03*3600</f>
        <v>108</v>
      </c>
      <c r="Q48" s="1" t="s">
        <v>3</v>
      </c>
      <c r="R48" s="1" t="s">
        <v>3</v>
      </c>
      <c r="S48" s="1" t="s">
        <v>3</v>
      </c>
      <c r="T48" s="1" t="s">
        <v>3</v>
      </c>
      <c r="U48" s="78">
        <f>0.000000054*3600/1000</f>
        <v>1.9440000000000002E-7</v>
      </c>
      <c r="V48" s="1" t="s">
        <v>3</v>
      </c>
      <c r="W48" s="78">
        <f>0.00000755*3600/1000</f>
        <v>2.7180000000000001E-5</v>
      </c>
      <c r="X48" s="1" t="s">
        <v>3</v>
      </c>
      <c r="Y48" s="1" t="s">
        <v>3</v>
      </c>
      <c r="Z48" s="1" t="s">
        <v>3</v>
      </c>
    </row>
    <row r="49" spans="1:26" x14ac:dyDescent="0.25">
      <c r="A49" s="1" t="s">
        <v>194</v>
      </c>
      <c r="B49" s="1" t="s">
        <v>247</v>
      </c>
      <c r="C49" s="1">
        <v>2017</v>
      </c>
      <c r="D49" s="1" t="s">
        <v>258</v>
      </c>
      <c r="E49" s="1" t="s">
        <v>3</v>
      </c>
      <c r="F49" s="14">
        <f>0.94/20*3600</f>
        <v>169.2</v>
      </c>
      <c r="G49" s="1" t="s">
        <v>3</v>
      </c>
      <c r="H49" s="1" t="s">
        <v>3</v>
      </c>
      <c r="I49" s="1" t="s">
        <v>3</v>
      </c>
      <c r="J49" s="1" t="s">
        <v>3</v>
      </c>
      <c r="K49" s="14">
        <f>138/1000/20*3600</f>
        <v>24.840000000000003</v>
      </c>
      <c r="L49" s="1" t="s">
        <v>3</v>
      </c>
      <c r="M49" s="14" t="s">
        <v>3</v>
      </c>
      <c r="N49" s="14">
        <f>0.075/20*3600</f>
        <v>13.5</v>
      </c>
      <c r="O49" s="14">
        <f>0.026*3600/20</f>
        <v>4.68</v>
      </c>
      <c r="P49" s="1" t="s">
        <v>3</v>
      </c>
      <c r="Q49" s="1" t="s">
        <v>3</v>
      </c>
      <c r="R49" s="1" t="s">
        <v>3</v>
      </c>
      <c r="S49" s="1" t="s">
        <v>3</v>
      </c>
      <c r="T49" s="1" t="s">
        <v>3</v>
      </c>
      <c r="U49" s="1" t="s">
        <v>3</v>
      </c>
      <c r="V49" s="1" t="s">
        <v>3</v>
      </c>
      <c r="W49" s="1" t="s">
        <v>3</v>
      </c>
      <c r="X49" s="1" t="s">
        <v>3</v>
      </c>
      <c r="Y49" s="1" t="s">
        <v>3</v>
      </c>
      <c r="Z49" s="1" t="s">
        <v>3</v>
      </c>
    </row>
    <row r="50" spans="1:26" x14ac:dyDescent="0.25">
      <c r="A50" s="1" t="s">
        <v>194</v>
      </c>
      <c r="B50" s="1" t="s">
        <v>247</v>
      </c>
      <c r="C50" s="1">
        <v>2018</v>
      </c>
      <c r="D50" s="1" t="s">
        <v>258</v>
      </c>
      <c r="E50" s="1" t="s">
        <v>3</v>
      </c>
      <c r="F50" s="14">
        <f>9.23*3600/20</f>
        <v>1661.4</v>
      </c>
      <c r="G50" s="1" t="s">
        <v>3</v>
      </c>
      <c r="H50" s="1" t="s">
        <v>3</v>
      </c>
      <c r="I50" s="1" t="s">
        <v>3</v>
      </c>
      <c r="J50" s="1" t="s">
        <v>3</v>
      </c>
      <c r="K50" s="14">
        <f>180/20*3600/1000</f>
        <v>32.4</v>
      </c>
      <c r="L50" s="1" t="s">
        <v>3</v>
      </c>
      <c r="M50" s="14" t="s">
        <v>3</v>
      </c>
      <c r="N50" s="7">
        <f>0.025*3600/20</f>
        <v>4.5</v>
      </c>
      <c r="O50" s="14">
        <f>0.053/20*3600</f>
        <v>9.5400000000000009</v>
      </c>
      <c r="P50" s="1" t="s">
        <v>3</v>
      </c>
      <c r="Q50" s="1" t="s">
        <v>3</v>
      </c>
      <c r="R50" s="1" t="s">
        <v>3</v>
      </c>
      <c r="S50" s="1" t="s">
        <v>3</v>
      </c>
      <c r="T50" s="1" t="s">
        <v>3</v>
      </c>
      <c r="U50" s="1" t="s">
        <v>3</v>
      </c>
      <c r="V50" s="1" t="s">
        <v>3</v>
      </c>
      <c r="W50" s="1" t="s">
        <v>3</v>
      </c>
      <c r="X50" s="1" t="s">
        <v>3</v>
      </c>
      <c r="Y50" s="1" t="s">
        <v>3</v>
      </c>
      <c r="Z50" s="1" t="s">
        <v>3</v>
      </c>
    </row>
    <row r="51" spans="1:26" x14ac:dyDescent="0.25">
      <c r="A51" s="1" t="s">
        <v>194</v>
      </c>
      <c r="B51" s="1" t="s">
        <v>217</v>
      </c>
      <c r="C51" s="1">
        <v>2024</v>
      </c>
      <c r="D51" s="1" t="s">
        <v>260</v>
      </c>
      <c r="E51" s="1">
        <f>100/1000/20*3600</f>
        <v>18</v>
      </c>
      <c r="F51" s="14">
        <f>(257-100)/1000/20*3600</f>
        <v>28.259999999999998</v>
      </c>
      <c r="G51" s="7">
        <f>3.26/1000/20*3600</f>
        <v>0.58679999999999999</v>
      </c>
      <c r="H51" s="6" t="s">
        <v>3</v>
      </c>
      <c r="I51" s="7">
        <f>0.678/1000/20*3600</f>
        <v>0.12204</v>
      </c>
      <c r="J51" s="14">
        <f>49.5/1000/20*3600*41.87</f>
        <v>373.06169999999997</v>
      </c>
      <c r="K51" s="14">
        <f>141/1000/20*3600</f>
        <v>25.379999999999995</v>
      </c>
      <c r="L51" s="7">
        <f>8.3/1000/20*3600</f>
        <v>1.494</v>
      </c>
      <c r="M51" s="14" t="s">
        <v>3</v>
      </c>
      <c r="N51" s="7">
        <f>2.62/1000/20*3600</f>
        <v>0.47159999999999996</v>
      </c>
      <c r="O51" s="14">
        <f>0.264/20*3600</f>
        <v>47.52</v>
      </c>
      <c r="P51" s="7">
        <f>0.00748/20*3600</f>
        <v>1.3464</v>
      </c>
      <c r="Q51" s="7">
        <f>3.24/1000/20*3600</f>
        <v>0.58320000000000005</v>
      </c>
      <c r="R51" s="7">
        <f>4.16/1000/20*3600</f>
        <v>0.74880000000000002</v>
      </c>
      <c r="S51" s="1" t="s">
        <v>3</v>
      </c>
      <c r="T51" s="7">
        <f>15.7/1000/20*3600</f>
        <v>2.8259999999999996</v>
      </c>
      <c r="U51" s="1" t="s">
        <v>3</v>
      </c>
      <c r="V51" s="14">
        <f>60.9/20/1000*3600</f>
        <v>10.962</v>
      </c>
      <c r="W51" s="1" t="s">
        <v>3</v>
      </c>
      <c r="X51" s="1">
        <f>150/1000/20*3600</f>
        <v>27</v>
      </c>
      <c r="Y51" s="7">
        <f>-0.0000168/1000/20*3600*10^6</f>
        <v>-3.0239999999999996</v>
      </c>
      <c r="Z51" s="1" t="s">
        <v>3</v>
      </c>
    </row>
    <row r="57" spans="1:26" x14ac:dyDescent="0.25">
      <c r="B57" s="18"/>
    </row>
    <row r="58" spans="1:26" x14ac:dyDescent="0.25">
      <c r="B58" s="18"/>
    </row>
    <row r="59" spans="1:26" x14ac:dyDescent="0.25">
      <c r="B59" s="18"/>
    </row>
    <row r="60" spans="1:26" x14ac:dyDescent="0.25">
      <c r="B60" s="18"/>
    </row>
    <row r="61" spans="1:26" x14ac:dyDescent="0.25">
      <c r="B61" s="18"/>
    </row>
    <row r="62" spans="1:26" x14ac:dyDescent="0.25">
      <c r="B62" s="18"/>
    </row>
    <row r="63" spans="1:26" x14ac:dyDescent="0.25">
      <c r="B63" s="18"/>
    </row>
    <row r="64" spans="1:26" x14ac:dyDescent="0.25">
      <c r="B64" s="18"/>
    </row>
    <row r="65" spans="2:2" x14ac:dyDescent="0.25">
      <c r="B65" s="18"/>
    </row>
    <row r="66" spans="2:2" x14ac:dyDescent="0.25">
      <c r="B66" s="18"/>
    </row>
    <row r="67" spans="2:2" x14ac:dyDescent="0.25">
      <c r="B67" s="18"/>
    </row>
    <row r="68" spans="2:2" x14ac:dyDescent="0.25">
      <c r="B68" s="18"/>
    </row>
    <row r="69" spans="2:2" x14ac:dyDescent="0.25">
      <c r="B69" s="18"/>
    </row>
    <row r="70" spans="2:2" x14ac:dyDescent="0.25">
      <c r="B70" s="18"/>
    </row>
    <row r="71" spans="2:2" x14ac:dyDescent="0.25">
      <c r="B71" s="2"/>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CC01D-86F4-4577-A8CE-2162AD324DC5}">
  <sheetPr>
    <tabColor rgb="FFB6D2CD"/>
  </sheetPr>
  <dimension ref="A1:D80"/>
  <sheetViews>
    <sheetView topLeftCell="A79" zoomScale="85" zoomScaleNormal="85" workbookViewId="0">
      <selection activeCell="F20" sqref="F20"/>
    </sheetView>
  </sheetViews>
  <sheetFormatPr defaultColWidth="9.140625" defaultRowHeight="15.75" x14ac:dyDescent="0.25"/>
  <cols>
    <col min="1" max="1" width="23.42578125" style="57" bestFit="1" customWidth="1"/>
    <col min="2" max="2" width="8" style="57" bestFit="1" customWidth="1"/>
    <col min="3" max="3" width="255.5703125" style="57" customWidth="1"/>
    <col min="4" max="4" width="181.140625" style="95" bestFit="1" customWidth="1"/>
    <col min="5" max="16384" width="9.140625" style="57"/>
  </cols>
  <sheetData>
    <row r="1" spans="1:4" s="58" customFormat="1" x14ac:dyDescent="0.25">
      <c r="A1" s="56" t="s">
        <v>7</v>
      </c>
      <c r="B1" s="56" t="s">
        <v>8</v>
      </c>
      <c r="C1" s="56" t="s">
        <v>10</v>
      </c>
      <c r="D1" s="96" t="s">
        <v>11</v>
      </c>
    </row>
    <row r="2" spans="1:4" x14ac:dyDescent="0.25">
      <c r="A2" s="57" t="s">
        <v>6</v>
      </c>
      <c r="B2" s="57" t="s">
        <v>9</v>
      </c>
      <c r="C2" s="94" t="s">
        <v>538</v>
      </c>
      <c r="D2" s="143" t="s">
        <v>539</v>
      </c>
    </row>
    <row r="3" spans="1:4" x14ac:dyDescent="0.25">
      <c r="A3" s="57" t="s">
        <v>15</v>
      </c>
      <c r="B3" s="57" t="s">
        <v>9</v>
      </c>
      <c r="C3" s="94" t="s">
        <v>540</v>
      </c>
      <c r="D3" s="143" t="s">
        <v>16</v>
      </c>
    </row>
    <row r="4" spans="1:4" x14ac:dyDescent="0.25">
      <c r="A4" s="57" t="s">
        <v>21</v>
      </c>
      <c r="B4" s="57" t="s">
        <v>22</v>
      </c>
      <c r="C4" s="94" t="s">
        <v>541</v>
      </c>
      <c r="D4" s="95" t="s">
        <v>23</v>
      </c>
    </row>
    <row r="5" spans="1:4" x14ac:dyDescent="0.25">
      <c r="A5" s="57" t="s">
        <v>25</v>
      </c>
      <c r="B5" s="57" t="s">
        <v>22</v>
      </c>
      <c r="C5" s="94" t="s">
        <v>542</v>
      </c>
      <c r="D5" s="95" t="s">
        <v>26</v>
      </c>
    </row>
    <row r="6" spans="1:4" x14ac:dyDescent="0.25">
      <c r="A6" s="57" t="s">
        <v>27</v>
      </c>
      <c r="B6" s="57" t="s">
        <v>22</v>
      </c>
      <c r="C6" s="95" t="s">
        <v>543</v>
      </c>
      <c r="D6" s="95" t="s">
        <v>28</v>
      </c>
    </row>
    <row r="7" spans="1:4" x14ac:dyDescent="0.25">
      <c r="A7" s="57" t="s">
        <v>29</v>
      </c>
      <c r="B7" s="57" t="s">
        <v>22</v>
      </c>
      <c r="C7" s="94" t="s">
        <v>544</v>
      </c>
      <c r="D7" s="95" t="s">
        <v>30</v>
      </c>
    </row>
    <row r="8" spans="1:4" x14ac:dyDescent="0.25">
      <c r="A8" s="57" t="s">
        <v>31</v>
      </c>
      <c r="B8" s="57" t="s">
        <v>9</v>
      </c>
      <c r="C8" s="94" t="s">
        <v>545</v>
      </c>
      <c r="D8" s="95" t="s">
        <v>32</v>
      </c>
    </row>
    <row r="9" spans="1:4" x14ac:dyDescent="0.25">
      <c r="A9" s="57" t="s">
        <v>33</v>
      </c>
      <c r="B9" s="57" t="s">
        <v>9</v>
      </c>
      <c r="C9" s="94" t="s">
        <v>546</v>
      </c>
      <c r="D9" s="95" t="s">
        <v>34</v>
      </c>
    </row>
    <row r="10" spans="1:4" x14ac:dyDescent="0.25">
      <c r="A10" s="57" t="s">
        <v>35</v>
      </c>
      <c r="B10" s="57" t="s">
        <v>22</v>
      </c>
      <c r="C10" s="94" t="s">
        <v>547</v>
      </c>
      <c r="D10" s="95" t="s">
        <v>36</v>
      </c>
    </row>
    <row r="11" spans="1:4" x14ac:dyDescent="0.25">
      <c r="A11" s="57" t="s">
        <v>38</v>
      </c>
      <c r="B11" s="57" t="s">
        <v>22</v>
      </c>
      <c r="C11" s="95" t="s">
        <v>548</v>
      </c>
      <c r="D11" s="95" t="s">
        <v>428</v>
      </c>
    </row>
    <row r="12" spans="1:4" x14ac:dyDescent="0.25">
      <c r="A12" s="57" t="s">
        <v>40</v>
      </c>
      <c r="B12" s="57" t="s">
        <v>41</v>
      </c>
      <c r="C12" s="94" t="s">
        <v>549</v>
      </c>
      <c r="D12" s="95" t="s">
        <v>56</v>
      </c>
    </row>
    <row r="13" spans="1:4" x14ac:dyDescent="0.25">
      <c r="A13" s="57" t="s">
        <v>44</v>
      </c>
      <c r="B13" s="57" t="s">
        <v>22</v>
      </c>
      <c r="C13" s="95" t="s">
        <v>550</v>
      </c>
      <c r="D13" s="143" t="s">
        <v>43</v>
      </c>
    </row>
    <row r="14" spans="1:4" x14ac:dyDescent="0.25">
      <c r="A14" s="57" t="s">
        <v>49</v>
      </c>
      <c r="B14" s="57" t="s">
        <v>22</v>
      </c>
      <c r="C14" s="94" t="s">
        <v>551</v>
      </c>
      <c r="D14" s="95" t="s">
        <v>50</v>
      </c>
    </row>
    <row r="15" spans="1:4" x14ac:dyDescent="0.25">
      <c r="A15" s="57" t="s">
        <v>52</v>
      </c>
      <c r="B15" s="57" t="s">
        <v>22</v>
      </c>
      <c r="C15" s="94" t="s">
        <v>552</v>
      </c>
      <c r="D15" s="95" t="s">
        <v>53</v>
      </c>
    </row>
    <row r="16" spans="1:4" x14ac:dyDescent="0.25">
      <c r="A16" s="57" t="s">
        <v>57</v>
      </c>
      <c r="B16" s="57" t="s">
        <v>22</v>
      </c>
      <c r="C16" s="94" t="s">
        <v>553</v>
      </c>
      <c r="D16" s="95" t="s">
        <v>58</v>
      </c>
    </row>
    <row r="17" spans="1:4" x14ac:dyDescent="0.25">
      <c r="A17" s="57" t="s">
        <v>62</v>
      </c>
      <c r="B17" s="57" t="s">
        <v>22</v>
      </c>
      <c r="C17" s="94" t="s">
        <v>554</v>
      </c>
      <c r="D17" s="95" t="s">
        <v>69</v>
      </c>
    </row>
    <row r="18" spans="1:4" x14ac:dyDescent="0.25">
      <c r="A18" s="57" t="s">
        <v>63</v>
      </c>
      <c r="B18" s="57" t="s">
        <v>9</v>
      </c>
      <c r="C18" s="94" t="s">
        <v>555</v>
      </c>
      <c r="D18" s="95" t="s">
        <v>64</v>
      </c>
    </row>
    <row r="19" spans="1:4" x14ac:dyDescent="0.25">
      <c r="A19" s="57" t="s">
        <v>66</v>
      </c>
      <c r="B19" s="57" t="s">
        <v>22</v>
      </c>
      <c r="C19" s="94" t="s">
        <v>556</v>
      </c>
      <c r="D19" s="95" t="s">
        <v>67</v>
      </c>
    </row>
    <row r="20" spans="1:4" x14ac:dyDescent="0.25">
      <c r="A20" s="57" t="s">
        <v>72</v>
      </c>
      <c r="B20" s="57" t="s">
        <v>22</v>
      </c>
      <c r="C20" s="94" t="s">
        <v>557</v>
      </c>
      <c r="D20" s="95" t="s">
        <v>73</v>
      </c>
    </row>
    <row r="21" spans="1:4" x14ac:dyDescent="0.25">
      <c r="A21" s="57" t="s">
        <v>76</v>
      </c>
      <c r="B21" s="57" t="s">
        <v>22</v>
      </c>
      <c r="C21" s="94" t="s">
        <v>558</v>
      </c>
      <c r="D21" s="95" t="s">
        <v>77</v>
      </c>
    </row>
    <row r="22" spans="1:4" x14ac:dyDescent="0.25">
      <c r="A22" s="57" t="s">
        <v>79</v>
      </c>
      <c r="B22" s="57" t="s">
        <v>22</v>
      </c>
      <c r="C22" s="94" t="s">
        <v>559</v>
      </c>
      <c r="D22" s="95" t="s">
        <v>80</v>
      </c>
    </row>
    <row r="23" spans="1:4" x14ac:dyDescent="0.25">
      <c r="A23" s="57" t="s">
        <v>84</v>
      </c>
      <c r="B23" s="57" t="s">
        <v>22</v>
      </c>
      <c r="C23" s="94" t="s">
        <v>560</v>
      </c>
      <c r="D23" s="95" t="s">
        <v>83</v>
      </c>
    </row>
    <row r="24" spans="1:4" x14ac:dyDescent="0.25">
      <c r="A24" s="57" t="s">
        <v>85</v>
      </c>
      <c r="B24" s="57" t="s">
        <v>22</v>
      </c>
      <c r="C24" s="94" t="s">
        <v>561</v>
      </c>
      <c r="D24" s="95" t="s">
        <v>86</v>
      </c>
    </row>
    <row r="25" spans="1:4" x14ac:dyDescent="0.25">
      <c r="A25" s="57" t="s">
        <v>91</v>
      </c>
      <c r="B25" s="57" t="s">
        <v>22</v>
      </c>
      <c r="C25" s="94" t="s">
        <v>562</v>
      </c>
      <c r="D25" s="95" t="s">
        <v>92</v>
      </c>
    </row>
    <row r="26" spans="1:4" x14ac:dyDescent="0.25">
      <c r="A26" s="57" t="s">
        <v>94</v>
      </c>
      <c r="B26" s="57" t="s">
        <v>22</v>
      </c>
      <c r="C26" s="94" t="s">
        <v>563</v>
      </c>
      <c r="D26" s="95" t="s">
        <v>93</v>
      </c>
    </row>
    <row r="27" spans="1:4" x14ac:dyDescent="0.25">
      <c r="A27" s="57" t="s">
        <v>95</v>
      </c>
      <c r="B27" s="57" t="s">
        <v>22</v>
      </c>
      <c r="C27" s="94" t="s">
        <v>564</v>
      </c>
      <c r="D27" s="95" t="s">
        <v>102</v>
      </c>
    </row>
    <row r="28" spans="1:4" ht="13.5" customHeight="1" x14ac:dyDescent="0.25">
      <c r="A28" s="57" t="s">
        <v>100</v>
      </c>
      <c r="B28" s="57" t="s">
        <v>22</v>
      </c>
      <c r="C28" s="94" t="s">
        <v>565</v>
      </c>
      <c r="D28" s="95" t="s">
        <v>101</v>
      </c>
    </row>
    <row r="29" spans="1:4" x14ac:dyDescent="0.25">
      <c r="A29" s="57" t="s">
        <v>103</v>
      </c>
      <c r="B29" s="57" t="s">
        <v>22</v>
      </c>
      <c r="C29" s="94" t="s">
        <v>566</v>
      </c>
      <c r="D29" s="95" t="s">
        <v>104</v>
      </c>
    </row>
    <row r="30" spans="1:4" x14ac:dyDescent="0.25">
      <c r="A30" s="57" t="s">
        <v>105</v>
      </c>
      <c r="B30" s="57" t="s">
        <v>22</v>
      </c>
      <c r="C30" s="94" t="s">
        <v>567</v>
      </c>
      <c r="D30" s="95" t="s">
        <v>106</v>
      </c>
    </row>
    <row r="31" spans="1:4" x14ac:dyDescent="0.25">
      <c r="A31" s="57" t="s">
        <v>107</v>
      </c>
      <c r="B31" s="57" t="s">
        <v>22</v>
      </c>
      <c r="C31" s="94" t="s">
        <v>568</v>
      </c>
      <c r="D31" s="95" t="s">
        <v>108</v>
      </c>
    </row>
    <row r="32" spans="1:4" x14ac:dyDescent="0.25">
      <c r="A32" s="57" t="s">
        <v>109</v>
      </c>
      <c r="B32" s="57" t="s">
        <v>22</v>
      </c>
      <c r="C32" s="94" t="s">
        <v>569</v>
      </c>
      <c r="D32" s="95" t="s">
        <v>110</v>
      </c>
    </row>
    <row r="33" spans="1:4" x14ac:dyDescent="0.25">
      <c r="A33" s="57" t="s">
        <v>112</v>
      </c>
      <c r="B33" s="57" t="s">
        <v>22</v>
      </c>
      <c r="C33" s="94" t="s">
        <v>570</v>
      </c>
      <c r="D33" s="95" t="s">
        <v>113</v>
      </c>
    </row>
    <row r="34" spans="1:4" x14ac:dyDescent="0.25">
      <c r="A34" s="57" t="s">
        <v>115</v>
      </c>
      <c r="B34" s="57" t="s">
        <v>22</v>
      </c>
      <c r="C34" s="94" t="s">
        <v>571</v>
      </c>
      <c r="D34" s="95" t="s">
        <v>117</v>
      </c>
    </row>
    <row r="35" spans="1:4" x14ac:dyDescent="0.25">
      <c r="A35" s="57" t="s">
        <v>116</v>
      </c>
      <c r="B35" s="57" t="s">
        <v>22</v>
      </c>
      <c r="C35" s="94" t="s">
        <v>572</v>
      </c>
      <c r="D35" s="95" t="s">
        <v>118</v>
      </c>
    </row>
    <row r="36" spans="1:4" x14ac:dyDescent="0.25">
      <c r="A36" s="57" t="s">
        <v>120</v>
      </c>
      <c r="B36" s="57" t="s">
        <v>41</v>
      </c>
      <c r="C36" s="94" t="s">
        <v>573</v>
      </c>
      <c r="D36" s="95" t="s">
        <v>119</v>
      </c>
    </row>
    <row r="37" spans="1:4" x14ac:dyDescent="0.25">
      <c r="A37" s="57" t="s">
        <v>121</v>
      </c>
      <c r="B37" s="57" t="s">
        <v>41</v>
      </c>
      <c r="C37" s="94" t="s">
        <v>574</v>
      </c>
      <c r="D37" s="95" t="s">
        <v>122</v>
      </c>
    </row>
    <row r="38" spans="1:4" x14ac:dyDescent="0.25">
      <c r="A38" s="57" t="s">
        <v>126</v>
      </c>
      <c r="B38" s="57" t="s">
        <v>22</v>
      </c>
      <c r="C38" s="94" t="s">
        <v>575</v>
      </c>
      <c r="D38" s="95" t="s">
        <v>127</v>
      </c>
    </row>
    <row r="39" spans="1:4" x14ac:dyDescent="0.25">
      <c r="A39" s="57" t="s">
        <v>128</v>
      </c>
      <c r="B39" s="57" t="s">
        <v>22</v>
      </c>
      <c r="C39" s="94" t="s">
        <v>576</v>
      </c>
      <c r="D39" s="95" t="s">
        <v>129</v>
      </c>
    </row>
    <row r="40" spans="1:4" x14ac:dyDescent="0.25">
      <c r="A40" s="57" t="s">
        <v>130</v>
      </c>
      <c r="B40" s="57" t="s">
        <v>9</v>
      </c>
      <c r="C40" s="94" t="s">
        <v>577</v>
      </c>
      <c r="D40" s="95" t="s">
        <v>131</v>
      </c>
    </row>
    <row r="41" spans="1:4" x14ac:dyDescent="0.25">
      <c r="A41" s="57" t="s">
        <v>134</v>
      </c>
      <c r="B41" s="57" t="s">
        <v>9</v>
      </c>
      <c r="C41" s="94" t="s">
        <v>578</v>
      </c>
      <c r="D41" s="95" t="s">
        <v>477</v>
      </c>
    </row>
    <row r="42" spans="1:4" x14ac:dyDescent="0.25">
      <c r="A42" s="57" t="s">
        <v>135</v>
      </c>
      <c r="B42" s="57" t="s">
        <v>22</v>
      </c>
      <c r="C42" s="94" t="s">
        <v>579</v>
      </c>
      <c r="D42" s="95" t="s">
        <v>143</v>
      </c>
    </row>
    <row r="43" spans="1:4" x14ac:dyDescent="0.25">
      <c r="A43" s="57" t="s">
        <v>144</v>
      </c>
      <c r="B43" s="57" t="s">
        <v>147</v>
      </c>
      <c r="C43" s="94" t="s">
        <v>580</v>
      </c>
      <c r="D43" s="95" t="s">
        <v>148</v>
      </c>
    </row>
    <row r="44" spans="1:4" ht="18.75" customHeight="1" x14ac:dyDescent="0.25">
      <c r="A44" s="57" t="s">
        <v>149</v>
      </c>
      <c r="B44" s="57" t="s">
        <v>22</v>
      </c>
      <c r="C44" s="94" t="s">
        <v>581</v>
      </c>
      <c r="D44" s="95" t="s">
        <v>153</v>
      </c>
    </row>
    <row r="45" spans="1:4" x14ac:dyDescent="0.25">
      <c r="A45" s="57" t="s">
        <v>151</v>
      </c>
      <c r="B45" s="57" t="s">
        <v>22</v>
      </c>
      <c r="C45" s="94" t="s">
        <v>582</v>
      </c>
      <c r="D45" s="95" t="s">
        <v>152</v>
      </c>
    </row>
    <row r="46" spans="1:4" x14ac:dyDescent="0.25">
      <c r="A46" s="57" t="s">
        <v>155</v>
      </c>
      <c r="B46" s="57" t="s">
        <v>22</v>
      </c>
      <c r="C46" s="94" t="s">
        <v>583</v>
      </c>
      <c r="D46" s="95" t="s">
        <v>156</v>
      </c>
    </row>
    <row r="47" spans="1:4" x14ac:dyDescent="0.25">
      <c r="A47" s="57" t="s">
        <v>157</v>
      </c>
      <c r="B47" s="57" t="s">
        <v>22</v>
      </c>
      <c r="C47" s="94" t="s">
        <v>584</v>
      </c>
      <c r="D47" s="95" t="s">
        <v>158</v>
      </c>
    </row>
    <row r="48" spans="1:4" x14ac:dyDescent="0.25">
      <c r="A48" s="57" t="s">
        <v>159</v>
      </c>
      <c r="B48" s="57" t="s">
        <v>22</v>
      </c>
      <c r="C48" s="94" t="s">
        <v>585</v>
      </c>
      <c r="D48" s="95" t="s">
        <v>160</v>
      </c>
    </row>
    <row r="49" spans="1:4" x14ac:dyDescent="0.25">
      <c r="A49" s="57" t="s">
        <v>168</v>
      </c>
      <c r="B49" s="57" t="s">
        <v>22</v>
      </c>
      <c r="C49" s="94" t="s">
        <v>586</v>
      </c>
      <c r="D49" s="95" t="s">
        <v>169</v>
      </c>
    </row>
    <row r="50" spans="1:4" x14ac:dyDescent="0.25">
      <c r="A50" s="57" t="s">
        <v>170</v>
      </c>
      <c r="B50" s="57" t="s">
        <v>22</v>
      </c>
      <c r="C50" s="94" t="s">
        <v>587</v>
      </c>
      <c r="D50" s="95" t="s">
        <v>173</v>
      </c>
    </row>
    <row r="51" spans="1:4" x14ac:dyDescent="0.25">
      <c r="A51" s="57" t="s">
        <v>174</v>
      </c>
      <c r="B51" s="57" t="s">
        <v>22</v>
      </c>
      <c r="C51" s="94" t="s">
        <v>588</v>
      </c>
      <c r="D51" s="95" t="s">
        <v>175</v>
      </c>
    </row>
    <row r="52" spans="1:4" x14ac:dyDescent="0.25">
      <c r="A52" s="57" t="s">
        <v>176</v>
      </c>
      <c r="B52" s="57" t="s">
        <v>22</v>
      </c>
      <c r="C52" s="94" t="s">
        <v>589</v>
      </c>
      <c r="D52" s="95" t="s">
        <v>177</v>
      </c>
    </row>
    <row r="53" spans="1:4" x14ac:dyDescent="0.25">
      <c r="A53" s="57" t="s">
        <v>178</v>
      </c>
      <c r="B53" s="57" t="s">
        <v>22</v>
      </c>
      <c r="C53" s="94" t="s">
        <v>590</v>
      </c>
      <c r="D53" s="95" t="s">
        <v>181</v>
      </c>
    </row>
    <row r="54" spans="1:4" x14ac:dyDescent="0.25">
      <c r="A54" s="57" t="s">
        <v>182</v>
      </c>
      <c r="B54" s="57" t="s">
        <v>22</v>
      </c>
      <c r="C54" s="94" t="s">
        <v>591</v>
      </c>
      <c r="D54" s="95" t="s">
        <v>183</v>
      </c>
    </row>
    <row r="55" spans="1:4" x14ac:dyDescent="0.25">
      <c r="A55" s="57" t="s">
        <v>185</v>
      </c>
      <c r="B55" s="57" t="s">
        <v>22</v>
      </c>
      <c r="C55" s="94" t="s">
        <v>592</v>
      </c>
      <c r="D55" s="95" t="s">
        <v>186</v>
      </c>
    </row>
    <row r="56" spans="1:4" x14ac:dyDescent="0.25">
      <c r="A56" s="57" t="s">
        <v>192</v>
      </c>
      <c r="B56" s="57" t="s">
        <v>22</v>
      </c>
      <c r="C56" s="94" t="s">
        <v>592</v>
      </c>
      <c r="D56" s="95" t="s">
        <v>193</v>
      </c>
    </row>
    <row r="57" spans="1:4" x14ac:dyDescent="0.25">
      <c r="A57" s="57" t="s">
        <v>195</v>
      </c>
      <c r="B57" s="57" t="s">
        <v>22</v>
      </c>
      <c r="C57" s="94" t="s">
        <v>593</v>
      </c>
      <c r="D57" s="95" t="s">
        <v>199</v>
      </c>
    </row>
    <row r="58" spans="1:4" x14ac:dyDescent="0.25">
      <c r="A58" s="57" t="s">
        <v>200</v>
      </c>
      <c r="B58" s="57" t="s">
        <v>9</v>
      </c>
      <c r="C58" s="94" t="s">
        <v>594</v>
      </c>
      <c r="D58" s="95" t="s">
        <v>201</v>
      </c>
    </row>
    <row r="59" spans="1:4" x14ac:dyDescent="0.25">
      <c r="A59" s="57" t="s">
        <v>204</v>
      </c>
      <c r="B59" s="57" t="s">
        <v>9</v>
      </c>
      <c r="C59" s="94" t="s">
        <v>595</v>
      </c>
      <c r="D59" s="95" t="s">
        <v>215</v>
      </c>
    </row>
    <row r="60" spans="1:4" x14ac:dyDescent="0.25">
      <c r="A60" s="57" t="s">
        <v>205</v>
      </c>
      <c r="B60" s="57" t="s">
        <v>22</v>
      </c>
      <c r="C60" s="94" t="s">
        <v>596</v>
      </c>
      <c r="D60" s="95" t="s">
        <v>206</v>
      </c>
    </row>
    <row r="61" spans="1:4" x14ac:dyDescent="0.25">
      <c r="A61" s="57" t="s">
        <v>207</v>
      </c>
      <c r="B61" s="57" t="s">
        <v>9</v>
      </c>
      <c r="C61" s="94" t="s">
        <v>597</v>
      </c>
      <c r="D61" s="95" t="s">
        <v>537</v>
      </c>
    </row>
    <row r="62" spans="1:4" x14ac:dyDescent="0.25">
      <c r="A62" s="57" t="s">
        <v>208</v>
      </c>
      <c r="B62" s="57" t="s">
        <v>22</v>
      </c>
      <c r="C62" s="94" t="s">
        <v>598</v>
      </c>
      <c r="D62" s="95" t="s">
        <v>209</v>
      </c>
    </row>
    <row r="63" spans="1:4" x14ac:dyDescent="0.25">
      <c r="A63" s="57" t="s">
        <v>210</v>
      </c>
      <c r="B63" s="57" t="s">
        <v>22</v>
      </c>
      <c r="C63" s="94" t="s">
        <v>599</v>
      </c>
      <c r="D63" s="95" t="s">
        <v>211</v>
      </c>
    </row>
    <row r="64" spans="1:4" x14ac:dyDescent="0.25">
      <c r="A64" s="57" t="s">
        <v>212</v>
      </c>
      <c r="B64" s="57" t="s">
        <v>22</v>
      </c>
      <c r="C64" s="94" t="s">
        <v>600</v>
      </c>
      <c r="D64" s="95" t="s">
        <v>213</v>
      </c>
    </row>
    <row r="65" spans="1:4" x14ac:dyDescent="0.25">
      <c r="A65" s="57" t="s">
        <v>214</v>
      </c>
      <c r="B65" s="57" t="s">
        <v>22</v>
      </c>
      <c r="C65" s="94" t="s">
        <v>601</v>
      </c>
      <c r="D65" s="95" t="s">
        <v>216</v>
      </c>
    </row>
    <row r="66" spans="1:4" x14ac:dyDescent="0.25">
      <c r="A66" s="57" t="s">
        <v>217</v>
      </c>
      <c r="B66" s="57" t="s">
        <v>22</v>
      </c>
      <c r="C66" s="95" t="s">
        <v>602</v>
      </c>
      <c r="D66" s="95" t="s">
        <v>261</v>
      </c>
    </row>
    <row r="67" spans="1:4" x14ac:dyDescent="0.25">
      <c r="A67" s="57" t="s">
        <v>218</v>
      </c>
      <c r="B67" s="57" t="s">
        <v>22</v>
      </c>
      <c r="C67" s="95" t="s">
        <v>603</v>
      </c>
      <c r="D67" s="95" t="s">
        <v>219</v>
      </c>
    </row>
    <row r="68" spans="1:4" x14ac:dyDescent="0.25">
      <c r="A68" s="57" t="s">
        <v>220</v>
      </c>
      <c r="B68" s="57" t="s">
        <v>41</v>
      </c>
      <c r="C68" s="94" t="s">
        <v>604</v>
      </c>
      <c r="D68" s="95" t="s">
        <v>221</v>
      </c>
    </row>
    <row r="69" spans="1:4" x14ac:dyDescent="0.25">
      <c r="A69" s="57" t="s">
        <v>222</v>
      </c>
      <c r="B69" s="57" t="s">
        <v>22</v>
      </c>
      <c r="C69" s="94" t="s">
        <v>605</v>
      </c>
      <c r="D69" s="95" t="s">
        <v>225</v>
      </c>
    </row>
    <row r="70" spans="1:4" x14ac:dyDescent="0.25">
      <c r="A70" s="57" t="s">
        <v>226</v>
      </c>
      <c r="B70" s="57" t="s">
        <v>22</v>
      </c>
      <c r="C70" s="95" t="s">
        <v>606</v>
      </c>
      <c r="D70" s="95" t="s">
        <v>227</v>
      </c>
    </row>
    <row r="71" spans="1:4" x14ac:dyDescent="0.25">
      <c r="A71" s="57" t="s">
        <v>228</v>
      </c>
      <c r="B71" s="57" t="s">
        <v>22</v>
      </c>
      <c r="C71" s="94" t="s">
        <v>607</v>
      </c>
      <c r="D71" s="95" t="s">
        <v>230</v>
      </c>
    </row>
    <row r="72" spans="1:4" x14ac:dyDescent="0.25">
      <c r="A72" s="57" t="s">
        <v>229</v>
      </c>
      <c r="B72" s="57" t="s">
        <v>22</v>
      </c>
      <c r="C72" s="94" t="s">
        <v>608</v>
      </c>
      <c r="D72" s="95" t="s">
        <v>233</v>
      </c>
    </row>
    <row r="73" spans="1:4" x14ac:dyDescent="0.25">
      <c r="A73" s="57" t="s">
        <v>231</v>
      </c>
      <c r="B73" s="57" t="s">
        <v>22</v>
      </c>
      <c r="C73" s="94" t="s">
        <v>609</v>
      </c>
      <c r="D73" s="95" t="s">
        <v>235</v>
      </c>
    </row>
    <row r="74" spans="1:4" x14ac:dyDescent="0.25">
      <c r="A74" s="57" t="s">
        <v>234</v>
      </c>
      <c r="B74" s="57" t="s">
        <v>22</v>
      </c>
      <c r="C74" s="95" t="s">
        <v>610</v>
      </c>
      <c r="D74" s="95" t="s">
        <v>242</v>
      </c>
    </row>
    <row r="75" spans="1:4" x14ac:dyDescent="0.25">
      <c r="A75" s="57" t="s">
        <v>240</v>
      </c>
      <c r="B75" s="57" t="s">
        <v>22</v>
      </c>
      <c r="C75" s="95" t="s">
        <v>611</v>
      </c>
      <c r="D75" s="95" t="s">
        <v>245</v>
      </c>
    </row>
    <row r="76" spans="1:4" x14ac:dyDescent="0.25">
      <c r="A76" s="57" t="s">
        <v>243</v>
      </c>
      <c r="B76" s="57" t="s">
        <v>41</v>
      </c>
      <c r="C76" s="94" t="s">
        <v>612</v>
      </c>
      <c r="D76" s="95" t="s">
        <v>248</v>
      </c>
    </row>
    <row r="77" spans="1:4" x14ac:dyDescent="0.25">
      <c r="A77" s="57" t="s">
        <v>247</v>
      </c>
      <c r="B77" s="57" t="s">
        <v>22</v>
      </c>
      <c r="C77" s="94" t="s">
        <v>613</v>
      </c>
      <c r="D77" s="95" t="s">
        <v>259</v>
      </c>
    </row>
    <row r="78" spans="1:4" x14ac:dyDescent="0.25">
      <c r="A78" s="57" t="s">
        <v>249</v>
      </c>
      <c r="B78" s="57" t="s">
        <v>22</v>
      </c>
      <c r="C78" s="94" t="s">
        <v>614</v>
      </c>
      <c r="D78" s="95" t="s">
        <v>253</v>
      </c>
    </row>
    <row r="79" spans="1:4" x14ac:dyDescent="0.25">
      <c r="A79" s="57" t="s">
        <v>252</v>
      </c>
      <c r="B79" s="57" t="s">
        <v>22</v>
      </c>
      <c r="C79" s="94" t="s">
        <v>615</v>
      </c>
      <c r="D79" s="95" t="s">
        <v>255</v>
      </c>
    </row>
    <row r="80" spans="1:4" x14ac:dyDescent="0.25">
      <c r="A80" s="57" t="s">
        <v>254</v>
      </c>
      <c r="B80" s="57" t="s">
        <v>22</v>
      </c>
      <c r="C80" s="94" t="s">
        <v>616</v>
      </c>
      <c r="D80" s="95" t="s">
        <v>257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F971AB-F734-4C56-AD7B-94FA1DF5F4F4}">
  <sheetPr>
    <tabColor rgb="FFFFF093"/>
  </sheetPr>
  <dimension ref="A1:Y38"/>
  <sheetViews>
    <sheetView workbookViewId="0">
      <pane xSplit="5" ySplit="1" topLeftCell="F2" activePane="bottomRight" state="frozen"/>
      <selection pane="topRight" activeCell="H1" sqref="H1"/>
      <selection pane="bottomLeft" activeCell="A2" sqref="A2"/>
      <selection pane="bottomRight" activeCell="F22" sqref="F22"/>
    </sheetView>
  </sheetViews>
  <sheetFormatPr defaultColWidth="9.140625" defaultRowHeight="15" x14ac:dyDescent="0.25"/>
  <cols>
    <col min="1" max="1" width="18" style="1" bestFit="1" customWidth="1"/>
    <col min="2" max="2" width="11.28515625" style="1" bestFit="1" customWidth="1"/>
    <col min="3" max="3" width="11" style="1" bestFit="1" customWidth="1"/>
    <col min="4" max="4" width="10" style="1" bestFit="1" customWidth="1"/>
    <col min="5" max="5" width="9.5703125" style="1" bestFit="1" customWidth="1"/>
    <col min="6" max="6" width="31" style="1" bestFit="1" customWidth="1"/>
    <col min="7" max="7" width="30.140625" style="1" bestFit="1" customWidth="1"/>
    <col min="8" max="8" width="15.5703125" style="1" bestFit="1" customWidth="1"/>
    <col min="9" max="9" width="17.28515625" style="1" bestFit="1" customWidth="1"/>
    <col min="10" max="10" width="18.5703125" style="1" bestFit="1" customWidth="1"/>
    <col min="11" max="11" width="15.5703125" style="1" bestFit="1" customWidth="1"/>
    <col min="12" max="12" width="15.42578125" style="1" bestFit="1" customWidth="1"/>
    <col min="13" max="13" width="25.5703125" style="1" bestFit="1" customWidth="1"/>
    <col min="14" max="14" width="20.7109375" style="1" bestFit="1" customWidth="1"/>
    <col min="15" max="15" width="17.85546875" style="1" bestFit="1" customWidth="1"/>
    <col min="16" max="16" width="17.5703125" style="1" bestFit="1" customWidth="1"/>
    <col min="17" max="17" width="15" style="1" bestFit="1" customWidth="1"/>
    <col min="18" max="18" width="15.85546875" style="1" bestFit="1" customWidth="1"/>
    <col min="19" max="19" width="18.85546875" style="1" bestFit="1" customWidth="1"/>
    <col min="20" max="20" width="33.85546875" style="1" customWidth="1"/>
    <col min="21" max="21" width="19" style="1" bestFit="1" customWidth="1"/>
    <col min="22" max="22" width="20.85546875" style="1" bestFit="1" customWidth="1"/>
    <col min="23" max="23" width="20.28515625" style="1" bestFit="1" customWidth="1"/>
    <col min="24" max="24" width="18.42578125" style="1" bestFit="1" customWidth="1"/>
    <col min="25" max="25" width="109.85546875" style="1" bestFit="1" customWidth="1"/>
    <col min="26" max="16384" width="9.140625" style="1"/>
  </cols>
  <sheetData>
    <row r="1" spans="1:25" s="4" customFormat="1" x14ac:dyDescent="0.25">
      <c r="A1" s="3" t="s">
        <v>7</v>
      </c>
      <c r="B1" s="3" t="s">
        <v>4</v>
      </c>
      <c r="C1" s="3" t="s">
        <v>5</v>
      </c>
      <c r="D1" s="3" t="s">
        <v>324</v>
      </c>
      <c r="E1" s="3" t="s">
        <v>323</v>
      </c>
      <c r="F1" s="3" t="s">
        <v>345</v>
      </c>
      <c r="G1" s="3" t="s">
        <v>346</v>
      </c>
      <c r="H1" s="3" t="s">
        <v>347</v>
      </c>
      <c r="I1" s="3" t="s">
        <v>348</v>
      </c>
      <c r="J1" s="3" t="s">
        <v>367</v>
      </c>
      <c r="K1" s="3" t="s">
        <v>349</v>
      </c>
      <c r="L1" s="3" t="s">
        <v>350</v>
      </c>
      <c r="M1" s="3" t="s">
        <v>351</v>
      </c>
      <c r="N1" s="3" t="s">
        <v>352</v>
      </c>
      <c r="O1" s="3" t="s">
        <v>353</v>
      </c>
      <c r="P1" s="3" t="s">
        <v>354</v>
      </c>
      <c r="Q1" s="60" t="s">
        <v>355</v>
      </c>
      <c r="R1" s="3" t="s">
        <v>356</v>
      </c>
      <c r="S1" s="3" t="s">
        <v>380</v>
      </c>
      <c r="T1" s="61" t="s">
        <v>445</v>
      </c>
      <c r="U1" s="3" t="s">
        <v>357</v>
      </c>
      <c r="V1" s="3" t="s">
        <v>358</v>
      </c>
      <c r="W1" s="3" t="s">
        <v>359</v>
      </c>
      <c r="X1" s="3" t="s">
        <v>360</v>
      </c>
      <c r="Y1" s="4" t="s">
        <v>14</v>
      </c>
    </row>
    <row r="2" spans="1:25" x14ac:dyDescent="0.25">
      <c r="A2" s="1" t="s">
        <v>6</v>
      </c>
      <c r="B2" s="1">
        <v>2021</v>
      </c>
      <c r="C2" s="1" t="s">
        <v>12</v>
      </c>
      <c r="D2" s="1">
        <v>3</v>
      </c>
      <c r="E2" s="1" t="s">
        <v>20</v>
      </c>
      <c r="F2" s="14">
        <f>42.5/1000*975*30</f>
        <v>1243.125</v>
      </c>
      <c r="G2" s="1" t="s">
        <v>3</v>
      </c>
      <c r="H2" s="1" t="s">
        <v>3</v>
      </c>
      <c r="I2" s="14">
        <f>5.28*30*975/1000</f>
        <v>154.44</v>
      </c>
      <c r="J2" s="1" t="s">
        <v>3</v>
      </c>
      <c r="K2" s="1">
        <f>0.54*30*975</f>
        <v>15795.000000000004</v>
      </c>
      <c r="L2" s="14">
        <f>7.49*975/1000*30</f>
        <v>219.08249999999998</v>
      </c>
      <c r="M2" s="14">
        <f>3.63*975*30/1000</f>
        <v>106.17749999999999</v>
      </c>
      <c r="N2" s="1" t="s">
        <v>3</v>
      </c>
      <c r="O2" s="14">
        <f>0.36*30*975/1000</f>
        <v>10.529999999999998</v>
      </c>
      <c r="P2" s="1" t="s">
        <v>3</v>
      </c>
      <c r="Q2" s="14" t="s">
        <v>3</v>
      </c>
      <c r="R2" s="1" t="s">
        <v>3</v>
      </c>
      <c r="S2" s="1" t="s">
        <v>3</v>
      </c>
      <c r="T2" s="1" t="s">
        <v>3</v>
      </c>
      <c r="U2" s="1" t="s">
        <v>3</v>
      </c>
      <c r="V2" s="1" t="s">
        <v>3</v>
      </c>
      <c r="W2" s="1" t="s">
        <v>3</v>
      </c>
      <c r="X2" s="1" t="s">
        <v>3</v>
      </c>
      <c r="Y2" s="1" t="s">
        <v>328</v>
      </c>
    </row>
    <row r="3" spans="1:25" x14ac:dyDescent="0.25">
      <c r="A3" s="1" t="s">
        <v>6</v>
      </c>
      <c r="B3" s="1">
        <v>2021</v>
      </c>
      <c r="C3" s="1" t="s">
        <v>17</v>
      </c>
      <c r="D3" s="1">
        <v>3</v>
      </c>
      <c r="E3" s="1" t="s">
        <v>20</v>
      </c>
      <c r="F3" s="14">
        <f>42.3/1000*975*30</f>
        <v>1237.2750000000001</v>
      </c>
      <c r="G3" s="1" t="s">
        <v>3</v>
      </c>
      <c r="H3" s="1" t="s">
        <v>3</v>
      </c>
      <c r="I3" s="14">
        <f>5.35*30*975/1000</f>
        <v>156.48750000000001</v>
      </c>
      <c r="J3" s="1" t="s">
        <v>3</v>
      </c>
      <c r="K3" s="1">
        <f>0.54*975*30</f>
        <v>15795</v>
      </c>
      <c r="L3" s="14">
        <f>6.71*975/1000*30</f>
        <v>196.26750000000001</v>
      </c>
      <c r="M3" s="14">
        <f>3.51*30*975/1000</f>
        <v>102.6675</v>
      </c>
      <c r="N3" s="1" t="s">
        <v>3</v>
      </c>
      <c r="O3" s="14">
        <f>0.36*30*975/1000</f>
        <v>10.529999999999998</v>
      </c>
      <c r="P3" s="1" t="s">
        <v>3</v>
      </c>
      <c r="Q3" s="14" t="s">
        <v>3</v>
      </c>
      <c r="R3" s="1" t="s">
        <v>3</v>
      </c>
      <c r="S3" s="1" t="s">
        <v>3</v>
      </c>
      <c r="T3" s="1" t="s">
        <v>3</v>
      </c>
      <c r="U3" s="1" t="s">
        <v>3</v>
      </c>
      <c r="V3" s="1" t="s">
        <v>3</v>
      </c>
      <c r="W3" s="1" t="s">
        <v>3</v>
      </c>
      <c r="X3" s="1" t="s">
        <v>3</v>
      </c>
      <c r="Y3" s="1" t="s">
        <v>328</v>
      </c>
    </row>
    <row r="4" spans="1:25" x14ac:dyDescent="0.25">
      <c r="A4" s="1" t="s">
        <v>6</v>
      </c>
      <c r="B4" s="1">
        <v>2021</v>
      </c>
      <c r="C4" s="1" t="s">
        <v>18</v>
      </c>
      <c r="D4" s="1">
        <v>3</v>
      </c>
      <c r="E4" s="1" t="s">
        <v>20</v>
      </c>
      <c r="F4" s="14">
        <f>36.3/1000*975*30</f>
        <v>1061.7749999999999</v>
      </c>
      <c r="G4" s="1" t="s">
        <v>3</v>
      </c>
      <c r="H4" s="1" t="s">
        <v>3</v>
      </c>
      <c r="I4" s="14">
        <f>4.65*30*975/1000</f>
        <v>136.01249999999999</v>
      </c>
      <c r="J4" s="1" t="s">
        <v>3</v>
      </c>
      <c r="K4" s="1">
        <f>0.54*30*975</f>
        <v>15795.000000000004</v>
      </c>
      <c r="L4" s="14">
        <f>4.88*975/1000*30</f>
        <v>142.74</v>
      </c>
      <c r="M4" s="14">
        <f>1.38*975*30/1000</f>
        <v>40.365000000000002</v>
      </c>
      <c r="N4" s="1" t="s">
        <v>3</v>
      </c>
      <c r="O4" s="14">
        <f>0.23*975/1000*30</f>
        <v>6.7275</v>
      </c>
      <c r="P4" s="1" t="s">
        <v>3</v>
      </c>
      <c r="Q4" s="14" t="s">
        <v>3</v>
      </c>
      <c r="R4" s="1" t="s">
        <v>3</v>
      </c>
      <c r="S4" s="1" t="s">
        <v>3</v>
      </c>
      <c r="T4" s="1" t="s">
        <v>3</v>
      </c>
      <c r="U4" s="1" t="s">
        <v>3</v>
      </c>
      <c r="V4" s="1" t="s">
        <v>3</v>
      </c>
      <c r="W4" s="1" t="s">
        <v>3</v>
      </c>
      <c r="X4" s="1" t="s">
        <v>3</v>
      </c>
      <c r="Y4" s="1" t="s">
        <v>328</v>
      </c>
    </row>
    <row r="5" spans="1:25" x14ac:dyDescent="0.25">
      <c r="A5" s="1" t="s">
        <v>6</v>
      </c>
      <c r="B5" s="1">
        <v>2021</v>
      </c>
      <c r="C5" s="1" t="s">
        <v>13</v>
      </c>
      <c r="D5" s="1">
        <v>3</v>
      </c>
      <c r="E5" s="1" t="s">
        <v>20</v>
      </c>
      <c r="F5" s="14">
        <f>26.5/1000*975*30</f>
        <v>775.125</v>
      </c>
      <c r="G5" s="1" t="s">
        <v>3</v>
      </c>
      <c r="H5" s="1" t="s">
        <v>3</v>
      </c>
      <c r="I5" s="14">
        <f>5.26*30*975/1000</f>
        <v>153.85499999999996</v>
      </c>
      <c r="J5" s="1" t="s">
        <v>3</v>
      </c>
      <c r="K5" s="1">
        <f>0.38*30*975</f>
        <v>11115</v>
      </c>
      <c r="L5" s="14">
        <f>3.08*975/1000*30</f>
        <v>90.09</v>
      </c>
      <c r="M5" s="14">
        <f>1.08*30*975/1000</f>
        <v>31.590000000000007</v>
      </c>
      <c r="N5" s="1" t="s">
        <v>3</v>
      </c>
      <c r="O5" s="14">
        <f>0.19*30*975/1000</f>
        <v>5.5575000000000001</v>
      </c>
      <c r="P5" s="1" t="s">
        <v>3</v>
      </c>
      <c r="Q5" s="14" t="s">
        <v>3</v>
      </c>
      <c r="R5" s="1" t="s">
        <v>3</v>
      </c>
      <c r="S5" s="1" t="s">
        <v>3</v>
      </c>
      <c r="T5" s="1" t="s">
        <v>3</v>
      </c>
      <c r="U5" s="1" t="s">
        <v>3</v>
      </c>
      <c r="V5" s="1" t="s">
        <v>3</v>
      </c>
      <c r="W5" s="1" t="s">
        <v>3</v>
      </c>
      <c r="X5" s="1" t="s">
        <v>3</v>
      </c>
      <c r="Y5" s="1" t="s">
        <v>328</v>
      </c>
    </row>
    <row r="6" spans="1:25" x14ac:dyDescent="0.25">
      <c r="A6" s="1" t="s">
        <v>15</v>
      </c>
      <c r="B6" s="1">
        <v>2021</v>
      </c>
      <c r="C6" s="1" t="s">
        <v>17</v>
      </c>
      <c r="D6" s="1" t="s">
        <v>3</v>
      </c>
      <c r="E6" s="1" t="s">
        <v>19</v>
      </c>
      <c r="F6" s="14">
        <f>36.7*1000*30/1000</f>
        <v>1101</v>
      </c>
      <c r="G6" s="1" t="s">
        <v>3</v>
      </c>
      <c r="H6" s="1" t="str">
        <f>13.7*1000*30/1000&amp;"-"&amp;40*1000*30/1000</f>
        <v>411-1200</v>
      </c>
      <c r="I6" s="14">
        <f>4.45*30*1000/1000</f>
        <v>133.5</v>
      </c>
      <c r="J6" s="1" t="s">
        <v>3</v>
      </c>
      <c r="K6" s="1">
        <f>0.643*30*1000</f>
        <v>19290</v>
      </c>
      <c r="L6" s="14">
        <f>24.9*1000/1000*30</f>
        <v>747</v>
      </c>
      <c r="M6" s="14">
        <f>2.21*30*1000/1000</f>
        <v>66.3</v>
      </c>
      <c r="N6" s="1" t="s">
        <v>3</v>
      </c>
      <c r="O6" s="14">
        <f>0.301*30*1000/1000</f>
        <v>9.0299999999999994</v>
      </c>
      <c r="P6" s="1" t="s">
        <v>3</v>
      </c>
      <c r="Q6" s="14">
        <f>0.0284*30*1000</f>
        <v>852.00000000000011</v>
      </c>
      <c r="R6" s="1">
        <f>0.0462*30*1000</f>
        <v>1386</v>
      </c>
      <c r="S6" s="1">
        <f>0.0719*30*1000</f>
        <v>2157</v>
      </c>
      <c r="T6" s="1" t="s">
        <v>3</v>
      </c>
      <c r="U6" s="14">
        <f>9.14*30*1000/1000</f>
        <v>274.20000000000005</v>
      </c>
      <c r="V6" s="6">
        <f>0.00000412*30*1000</f>
        <v>0.12360000000000003</v>
      </c>
      <c r="W6" s="1" t="s">
        <v>3</v>
      </c>
      <c r="X6" s="14">
        <f>0.00697*30*1000</f>
        <v>209.1</v>
      </c>
      <c r="Y6" s="1" t="s">
        <v>327</v>
      </c>
    </row>
    <row r="7" spans="1:25" x14ac:dyDescent="0.25">
      <c r="A7" s="1" t="s">
        <v>15</v>
      </c>
      <c r="B7" s="1">
        <v>2021</v>
      </c>
      <c r="C7" s="1" t="s">
        <v>17</v>
      </c>
      <c r="D7" s="1" t="s">
        <v>3</v>
      </c>
      <c r="E7" s="1" t="s">
        <v>20</v>
      </c>
      <c r="F7" s="14">
        <f>37.2*1000*30/1000</f>
        <v>1116</v>
      </c>
      <c r="G7" s="1" t="s">
        <v>3</v>
      </c>
      <c r="H7" s="1" t="str">
        <f>7.6*1000*30/1000&amp;"-"&amp;21.7*1000*30/1000</f>
        <v>228-651</v>
      </c>
      <c r="I7" s="14">
        <f>7.21*30*1000/1000</f>
        <v>216.3</v>
      </c>
      <c r="J7" s="1" t="s">
        <v>3</v>
      </c>
      <c r="K7" s="1">
        <f>0.664*30*1000</f>
        <v>19920</v>
      </c>
      <c r="L7" s="14">
        <f>27.2*1000/1000*30</f>
        <v>816</v>
      </c>
      <c r="M7" s="14">
        <f>2.31*30*1000/1000</f>
        <v>69.3</v>
      </c>
      <c r="N7" s="1" t="s">
        <v>3</v>
      </c>
      <c r="O7" s="14">
        <f>0.334*30*1000/1000</f>
        <v>10.020000000000001</v>
      </c>
      <c r="P7" s="1" t="s">
        <v>3</v>
      </c>
      <c r="Q7" s="14">
        <f>0.0393*30*1000</f>
        <v>1179</v>
      </c>
      <c r="R7" s="1">
        <f>0.0512*30*1000</f>
        <v>1536</v>
      </c>
      <c r="S7" s="1">
        <f>0.0699*30*1000</f>
        <v>2097</v>
      </c>
      <c r="T7" s="1" t="s">
        <v>3</v>
      </c>
      <c r="U7" s="14">
        <f>9.76*30*1000/1000</f>
        <v>292.8</v>
      </c>
      <c r="V7" s="6">
        <f>0.00000163*30*1000</f>
        <v>4.8900000000000006E-2</v>
      </c>
      <c r="W7" s="1" t="s">
        <v>3</v>
      </c>
      <c r="X7" s="14">
        <f>0.00718*30*1000</f>
        <v>215.39999999999998</v>
      </c>
      <c r="Y7" s="1" t="s">
        <v>327</v>
      </c>
    </row>
    <row r="8" spans="1:25" x14ac:dyDescent="0.25">
      <c r="A8" s="1" t="s">
        <v>15</v>
      </c>
      <c r="B8" s="1">
        <v>2021</v>
      </c>
      <c r="C8" s="1" t="s">
        <v>13</v>
      </c>
      <c r="D8" s="1" t="s">
        <v>3</v>
      </c>
      <c r="E8" s="1" t="s">
        <v>19</v>
      </c>
      <c r="F8" s="14">
        <f>11.9*1000*30/1000</f>
        <v>357</v>
      </c>
      <c r="G8" s="1" t="s">
        <v>3</v>
      </c>
      <c r="H8" s="1" t="str">
        <f>7.9*1000*30/1000&amp;"-"&amp;26.4*1000*30/1000</f>
        <v>237-792</v>
      </c>
      <c r="I8" s="14">
        <f>1.53*30*1000/1000</f>
        <v>45.9</v>
      </c>
      <c r="J8" s="1" t="s">
        <v>3</v>
      </c>
      <c r="K8" s="1">
        <f>0.183*30*1000</f>
        <v>5490</v>
      </c>
      <c r="L8" s="14">
        <f>5.63*1000/1000*30</f>
        <v>168.9</v>
      </c>
      <c r="M8" s="14">
        <f>0.64*30*1000/1000</f>
        <v>19.2</v>
      </c>
      <c r="N8" s="1" t="s">
        <v>3</v>
      </c>
      <c r="O8" s="14">
        <f>0.0627*30*1000/1000</f>
        <v>1.8810000000000002</v>
      </c>
      <c r="P8" s="1" t="s">
        <v>3</v>
      </c>
      <c r="Q8" s="14">
        <f>0.00875*30*1000</f>
        <v>262.5</v>
      </c>
      <c r="R8" s="1">
        <f>0.0127*30*1000</f>
        <v>381</v>
      </c>
      <c r="S8" s="1">
        <f>0.0559*30*1000</f>
        <v>1677</v>
      </c>
      <c r="T8" s="1" t="s">
        <v>3</v>
      </c>
      <c r="U8" s="14">
        <f>1.86*30*1000/1000</f>
        <v>55.800000000000004</v>
      </c>
      <c r="V8" s="6">
        <f>0.00000344*30*1000</f>
        <v>0.1032</v>
      </c>
      <c r="W8" s="1" t="s">
        <v>3</v>
      </c>
      <c r="X8" s="14">
        <f>0.00103*30*1000</f>
        <v>30.900000000000002</v>
      </c>
      <c r="Y8" s="1" t="s">
        <v>327</v>
      </c>
    </row>
    <row r="9" spans="1:25" x14ac:dyDescent="0.25">
      <c r="A9" s="1" t="s">
        <v>15</v>
      </c>
      <c r="B9" s="1">
        <v>2021</v>
      </c>
      <c r="C9" s="1" t="s">
        <v>13</v>
      </c>
      <c r="D9" s="1" t="s">
        <v>3</v>
      </c>
      <c r="E9" s="1" t="s">
        <v>20</v>
      </c>
      <c r="F9" s="14">
        <f>14.6*1000*30/1000</f>
        <v>438</v>
      </c>
      <c r="G9" s="1" t="s">
        <v>3</v>
      </c>
      <c r="H9" s="1" t="str">
        <f>1.1*1000*30/1000&amp;"-"&amp;3.2*1000*30/1000</f>
        <v>33-96</v>
      </c>
      <c r="I9" s="14">
        <f>2.64*30*1000/1000</f>
        <v>79.2</v>
      </c>
      <c r="J9" s="1" t="s">
        <v>3</v>
      </c>
      <c r="K9" s="1">
        <f>0.22*30*1000</f>
        <v>6600</v>
      </c>
      <c r="L9" s="14">
        <f>7.05*1000/1000*30</f>
        <v>211.5</v>
      </c>
      <c r="M9" s="14">
        <f>0.768*30*1000/1000</f>
        <v>23.04</v>
      </c>
      <c r="N9" s="1" t="s">
        <v>3</v>
      </c>
      <c r="O9" s="14">
        <f>0.0882*30*1000/1000</f>
        <v>2.6459999999999999</v>
      </c>
      <c r="P9" s="1" t="s">
        <v>3</v>
      </c>
      <c r="Q9" s="14">
        <f>0.0142*30*1000</f>
        <v>426.00000000000006</v>
      </c>
      <c r="R9" s="1">
        <f>0.0154*30*1000</f>
        <v>462</v>
      </c>
      <c r="S9" s="1">
        <f>0.0396*30*1000</f>
        <v>1188.0000000000002</v>
      </c>
      <c r="T9" s="1" t="s">
        <v>3</v>
      </c>
      <c r="U9" s="14">
        <f>1.89*30*1000/1000</f>
        <v>56.699999999999996</v>
      </c>
      <c r="V9" s="6">
        <f>0.00000114*30*1000</f>
        <v>3.4200000000000001E-2</v>
      </c>
      <c r="W9" s="1" t="s">
        <v>3</v>
      </c>
      <c r="X9" s="14">
        <f>0.000949*30*1000</f>
        <v>28.47</v>
      </c>
      <c r="Y9" s="1" t="s">
        <v>327</v>
      </c>
    </row>
    <row r="10" spans="1:25" x14ac:dyDescent="0.25">
      <c r="A10" s="1" t="s">
        <v>15</v>
      </c>
      <c r="B10" s="1">
        <v>2021</v>
      </c>
      <c r="C10" s="1" t="s">
        <v>18</v>
      </c>
      <c r="D10" s="1" t="s">
        <v>3</v>
      </c>
      <c r="E10" s="1" t="s">
        <v>19</v>
      </c>
      <c r="F10" s="14">
        <f>11.4*1000*30/1000</f>
        <v>342</v>
      </c>
      <c r="G10" s="1" t="s">
        <v>3</v>
      </c>
      <c r="H10" s="1" t="str">
        <f>7.6*1000*30/1000&amp;"-"&amp;25.5*1000*30/1000</f>
        <v>228-765</v>
      </c>
      <c r="I10" s="14">
        <f>1.66*30*1000/1000</f>
        <v>49.8</v>
      </c>
      <c r="J10" s="1" t="s">
        <v>3</v>
      </c>
      <c r="K10" s="1">
        <f>0.175*30*1000</f>
        <v>5250</v>
      </c>
      <c r="L10" s="14">
        <f>5.64*1000/1000*30</f>
        <v>169.2</v>
      </c>
      <c r="M10" s="14">
        <f>0.62*30*1000/1000</f>
        <v>18.600000000000001</v>
      </c>
      <c r="N10" s="1" t="s">
        <v>3</v>
      </c>
      <c r="O10" s="14">
        <f>0.0611*30*1000/1000</f>
        <v>1.833</v>
      </c>
      <c r="P10" s="1" t="s">
        <v>3</v>
      </c>
      <c r="Q10" s="14">
        <f>0.00876*30*1000</f>
        <v>262.8</v>
      </c>
      <c r="R10" s="1">
        <f>0.0125*30*1000</f>
        <v>375</v>
      </c>
      <c r="S10" s="1">
        <f>0.0558*30*1000</f>
        <v>1674.0000000000002</v>
      </c>
      <c r="T10" s="1" t="s">
        <v>3</v>
      </c>
      <c r="U10" s="14">
        <f>1.75*30*1000/1000</f>
        <v>52.5</v>
      </c>
      <c r="V10" s="6">
        <f>0.00000339*30*1000</f>
        <v>0.1017</v>
      </c>
      <c r="W10" s="1" t="s">
        <v>3</v>
      </c>
      <c r="X10" s="14">
        <f>0.000991*30*1000</f>
        <v>29.729999999999997</v>
      </c>
      <c r="Y10" s="1" t="s">
        <v>327</v>
      </c>
    </row>
    <row r="11" spans="1:25" x14ac:dyDescent="0.25">
      <c r="A11" s="1" t="s">
        <v>15</v>
      </c>
      <c r="B11" s="1">
        <v>2021</v>
      </c>
      <c r="C11" s="1" t="s">
        <v>18</v>
      </c>
      <c r="D11" s="1" t="s">
        <v>3</v>
      </c>
      <c r="E11" s="1" t="s">
        <v>20</v>
      </c>
      <c r="F11" s="14">
        <f>14.1*1000*30/1000</f>
        <v>423</v>
      </c>
      <c r="G11" s="1" t="s">
        <v>3</v>
      </c>
      <c r="H11" s="1" t="str">
        <f>1.1*1000*30/1000&amp;"-"&amp;3.1*1000*30/1000</f>
        <v>33-93</v>
      </c>
      <c r="I11" s="14">
        <f>2.81*30*1000/1000</f>
        <v>84.3</v>
      </c>
      <c r="J11" s="1" t="s">
        <v>3</v>
      </c>
      <c r="K11" s="1">
        <f>0.212*30*1000</f>
        <v>6359.9999999999991</v>
      </c>
      <c r="L11" s="14">
        <f>7.08*1000/1000*30</f>
        <v>212.4</v>
      </c>
      <c r="M11" s="14">
        <f>0.748*30*1000/1000</f>
        <v>22.44</v>
      </c>
      <c r="N11" s="1" t="s">
        <v>3</v>
      </c>
      <c r="O11" s="14">
        <f>0.0864*30*1000/1000</f>
        <v>2.5920000000000001</v>
      </c>
      <c r="P11" s="1" t="s">
        <v>3</v>
      </c>
      <c r="Q11" s="14">
        <f>0.0142*30*1000</f>
        <v>426.00000000000006</v>
      </c>
      <c r="R11" s="1">
        <f>0.0152*30*1000</f>
        <v>456</v>
      </c>
      <c r="S11" s="1">
        <f>0.0402*30*1000</f>
        <v>1206</v>
      </c>
      <c r="T11" s="1" t="s">
        <v>3</v>
      </c>
      <c r="U11" s="14">
        <f>1.79*30*1000/1000</f>
        <v>53.7</v>
      </c>
      <c r="V11" s="6">
        <f>0.00000114*30*1000</f>
        <v>3.4200000000000001E-2</v>
      </c>
      <c r="W11" s="1" t="s">
        <v>3</v>
      </c>
      <c r="X11" s="14">
        <f>0.00091*30*1000</f>
        <v>27.3</v>
      </c>
      <c r="Y11" s="1" t="s">
        <v>327</v>
      </c>
    </row>
    <row r="12" spans="1:25" x14ac:dyDescent="0.25">
      <c r="A12" s="1" t="s">
        <v>21</v>
      </c>
      <c r="B12" s="1">
        <v>2023</v>
      </c>
      <c r="C12" s="1" t="s">
        <v>24</v>
      </c>
      <c r="D12" s="1">
        <v>3</v>
      </c>
      <c r="E12" s="1" t="s">
        <v>20</v>
      </c>
      <c r="F12" s="14">
        <f>43*1000*30/1000</f>
        <v>1290</v>
      </c>
      <c r="G12" s="6">
        <v>1.4999999999999999E-2</v>
      </c>
      <c r="H12" s="1" t="s">
        <v>3</v>
      </c>
      <c r="I12" s="14" t="s">
        <v>3</v>
      </c>
      <c r="J12" s="1" t="s">
        <v>3</v>
      </c>
      <c r="K12" s="1" t="s">
        <v>3</v>
      </c>
      <c r="L12" s="14" t="s">
        <v>3</v>
      </c>
      <c r="M12" s="14" t="s">
        <v>3</v>
      </c>
      <c r="N12" s="1" t="s">
        <v>3</v>
      </c>
      <c r="O12" s="1" t="s">
        <v>3</v>
      </c>
      <c r="P12" s="1" t="s">
        <v>3</v>
      </c>
      <c r="Q12" s="14" t="s">
        <v>3</v>
      </c>
      <c r="R12" s="1" t="s">
        <v>3</v>
      </c>
      <c r="S12" s="1" t="s">
        <v>3</v>
      </c>
      <c r="T12" s="1" t="s">
        <v>3</v>
      </c>
      <c r="U12" s="1" t="s">
        <v>3</v>
      </c>
      <c r="V12" s="6" t="s">
        <v>3</v>
      </c>
      <c r="W12" s="1" t="s">
        <v>3</v>
      </c>
      <c r="X12" s="14" t="s">
        <v>3</v>
      </c>
      <c r="Y12" s="1" t="s">
        <v>329</v>
      </c>
    </row>
    <row r="13" spans="1:25" x14ac:dyDescent="0.25">
      <c r="A13" s="1" t="s">
        <v>21</v>
      </c>
      <c r="B13" s="1">
        <v>2023</v>
      </c>
      <c r="C13" s="1" t="s">
        <v>17</v>
      </c>
      <c r="D13" s="1">
        <v>3</v>
      </c>
      <c r="E13" s="1" t="s">
        <v>20</v>
      </c>
      <c r="F13" s="14">
        <f>48.8*1000*30/1000</f>
        <v>1464</v>
      </c>
      <c r="G13" s="6">
        <v>0.01</v>
      </c>
      <c r="H13" s="1" t="s">
        <v>3</v>
      </c>
      <c r="I13" s="14" t="s">
        <v>3</v>
      </c>
      <c r="J13" s="1" t="s">
        <v>3</v>
      </c>
      <c r="K13" s="1" t="s">
        <v>3</v>
      </c>
      <c r="L13" s="14" t="s">
        <v>3</v>
      </c>
      <c r="M13" s="14" t="s">
        <v>3</v>
      </c>
      <c r="N13" s="1" t="s">
        <v>3</v>
      </c>
      <c r="O13" s="1" t="s">
        <v>3</v>
      </c>
      <c r="P13" s="1" t="s">
        <v>3</v>
      </c>
      <c r="Q13" s="14" t="s">
        <v>3</v>
      </c>
      <c r="R13" s="1" t="s">
        <v>3</v>
      </c>
      <c r="S13" s="1" t="s">
        <v>3</v>
      </c>
      <c r="T13" s="1" t="s">
        <v>3</v>
      </c>
      <c r="U13" s="1" t="s">
        <v>3</v>
      </c>
      <c r="V13" s="6" t="s">
        <v>3</v>
      </c>
      <c r="W13" s="1" t="s">
        <v>3</v>
      </c>
      <c r="X13" s="14" t="s">
        <v>3</v>
      </c>
      <c r="Y13" s="1" t="s">
        <v>327</v>
      </c>
    </row>
    <row r="14" spans="1:25" x14ac:dyDescent="0.25">
      <c r="A14" s="1" t="s">
        <v>21</v>
      </c>
      <c r="B14" s="1">
        <v>2023</v>
      </c>
      <c r="C14" s="1" t="s">
        <v>12</v>
      </c>
      <c r="D14" s="1">
        <v>3</v>
      </c>
      <c r="E14" s="1" t="s">
        <v>20</v>
      </c>
      <c r="F14" s="14">
        <f>80.4*1000*30/1000</f>
        <v>2412</v>
      </c>
      <c r="G14" s="6">
        <v>0.01</v>
      </c>
      <c r="H14" s="1" t="s">
        <v>3</v>
      </c>
      <c r="I14" s="14" t="s">
        <v>3</v>
      </c>
      <c r="J14" s="1" t="s">
        <v>3</v>
      </c>
      <c r="K14" s="1" t="s">
        <v>3</v>
      </c>
      <c r="L14" s="14" t="s">
        <v>3</v>
      </c>
      <c r="M14" s="14" t="s">
        <v>3</v>
      </c>
      <c r="N14" s="1" t="s">
        <v>3</v>
      </c>
      <c r="O14" s="1" t="s">
        <v>3</v>
      </c>
      <c r="P14" s="1" t="s">
        <v>3</v>
      </c>
      <c r="Q14" s="14" t="s">
        <v>3</v>
      </c>
      <c r="R14" s="1" t="s">
        <v>3</v>
      </c>
      <c r="S14" s="1" t="s">
        <v>3</v>
      </c>
      <c r="T14" s="1" t="s">
        <v>3</v>
      </c>
      <c r="U14" s="1" t="s">
        <v>3</v>
      </c>
      <c r="V14" s="6" t="s">
        <v>3</v>
      </c>
      <c r="W14" s="1" t="s">
        <v>3</v>
      </c>
      <c r="X14" s="14" t="s">
        <v>3</v>
      </c>
      <c r="Y14" s="1" t="s">
        <v>327</v>
      </c>
    </row>
    <row r="15" spans="1:25" x14ac:dyDescent="0.25">
      <c r="A15" s="1" t="s">
        <v>21</v>
      </c>
      <c r="B15" s="1">
        <v>2023</v>
      </c>
      <c r="C15" s="1" t="s">
        <v>13</v>
      </c>
      <c r="D15" s="1">
        <v>3</v>
      </c>
      <c r="E15" s="1" t="s">
        <v>20</v>
      </c>
      <c r="F15" s="14">
        <f>19.9*1000*30/1000</f>
        <v>597</v>
      </c>
      <c r="G15" s="6">
        <v>1.0999999999999999E-2</v>
      </c>
      <c r="H15" s="1" t="s">
        <v>3</v>
      </c>
      <c r="I15" s="14" t="s">
        <v>3</v>
      </c>
      <c r="J15" s="1" t="s">
        <v>3</v>
      </c>
      <c r="K15" s="1" t="s">
        <v>3</v>
      </c>
      <c r="L15" s="14" t="s">
        <v>3</v>
      </c>
      <c r="M15" s="14" t="s">
        <v>3</v>
      </c>
      <c r="N15" s="1" t="s">
        <v>3</v>
      </c>
      <c r="O15" s="1" t="s">
        <v>3</v>
      </c>
      <c r="P15" s="1" t="s">
        <v>3</v>
      </c>
      <c r="Q15" s="14" t="s">
        <v>3</v>
      </c>
      <c r="R15" s="1" t="s">
        <v>3</v>
      </c>
      <c r="S15" s="1" t="s">
        <v>3</v>
      </c>
      <c r="T15" s="1" t="s">
        <v>3</v>
      </c>
      <c r="U15" s="1" t="s">
        <v>3</v>
      </c>
      <c r="V15" s="6" t="s">
        <v>3</v>
      </c>
      <c r="W15" s="1" t="s">
        <v>3</v>
      </c>
      <c r="X15" s="14" t="s">
        <v>3</v>
      </c>
      <c r="Y15" s="1" t="s">
        <v>327</v>
      </c>
    </row>
    <row r="16" spans="1:25" x14ac:dyDescent="0.25">
      <c r="A16" s="1" t="s">
        <v>21</v>
      </c>
      <c r="B16" s="1">
        <v>2023</v>
      </c>
      <c r="C16" s="1" t="s">
        <v>18</v>
      </c>
      <c r="D16" s="1">
        <v>3</v>
      </c>
      <c r="E16" s="1" t="s">
        <v>20</v>
      </c>
      <c r="F16" s="14">
        <f>35.9*1000*30/1000</f>
        <v>1077</v>
      </c>
      <c r="G16" s="6">
        <v>1.4E-2</v>
      </c>
      <c r="H16" s="1" t="s">
        <v>3</v>
      </c>
      <c r="I16" s="14" t="s">
        <v>3</v>
      </c>
      <c r="J16" s="1" t="s">
        <v>3</v>
      </c>
      <c r="K16" s="1" t="s">
        <v>3</v>
      </c>
      <c r="L16" s="14" t="s">
        <v>3</v>
      </c>
      <c r="M16" s="14" t="s">
        <v>3</v>
      </c>
      <c r="N16" s="1" t="s">
        <v>3</v>
      </c>
      <c r="O16" s="1" t="s">
        <v>3</v>
      </c>
      <c r="P16" s="1" t="s">
        <v>3</v>
      </c>
      <c r="Q16" s="14" t="s">
        <v>3</v>
      </c>
      <c r="R16" s="1" t="s">
        <v>3</v>
      </c>
      <c r="S16" s="1" t="s">
        <v>3</v>
      </c>
      <c r="T16" s="1" t="s">
        <v>3</v>
      </c>
      <c r="U16" s="1" t="s">
        <v>3</v>
      </c>
      <c r="V16" s="6" t="s">
        <v>3</v>
      </c>
      <c r="W16" s="1" t="s">
        <v>3</v>
      </c>
      <c r="X16" s="14" t="s">
        <v>3</v>
      </c>
      <c r="Y16" s="1" t="s">
        <v>327</v>
      </c>
    </row>
    <row r="17" spans="1:25" x14ac:dyDescent="0.25">
      <c r="A17" s="1" t="s">
        <v>25</v>
      </c>
      <c r="B17" s="1">
        <v>2023</v>
      </c>
      <c r="C17" s="1" t="s">
        <v>12</v>
      </c>
      <c r="D17" s="1">
        <v>3</v>
      </c>
      <c r="E17" s="1" t="s">
        <v>20</v>
      </c>
      <c r="F17" s="14">
        <f>79.1*1000*30/1000</f>
        <v>2373</v>
      </c>
      <c r="G17" s="6" t="s">
        <v>3</v>
      </c>
      <c r="H17" s="1" t="s">
        <v>3</v>
      </c>
      <c r="I17" s="14" t="s">
        <v>3</v>
      </c>
      <c r="J17" s="1" t="s">
        <v>3</v>
      </c>
      <c r="K17" s="1">
        <f>0.074*30*1000</f>
        <v>2219.9999999999995</v>
      </c>
      <c r="L17" s="14" t="s">
        <v>3</v>
      </c>
      <c r="M17" s="14" t="s">
        <v>3</v>
      </c>
      <c r="N17" s="1" t="s">
        <v>3</v>
      </c>
      <c r="O17" s="6" t="s">
        <v>3</v>
      </c>
      <c r="P17" s="14">
        <f>0.0004*30*1000</f>
        <v>12</v>
      </c>
      <c r="Q17" s="14" t="s">
        <v>3</v>
      </c>
      <c r="R17" s="1" t="s">
        <v>3</v>
      </c>
      <c r="S17" s="1" t="s">
        <v>3</v>
      </c>
      <c r="T17" s="1">
        <v>11.56</v>
      </c>
      <c r="U17" s="1" t="s">
        <v>3</v>
      </c>
      <c r="V17" s="6">
        <f>0.00002*30*1000</f>
        <v>0.60000000000000009</v>
      </c>
      <c r="W17" s="1" t="s">
        <v>3</v>
      </c>
      <c r="X17" s="14" t="s">
        <v>3</v>
      </c>
      <c r="Y17" s="1" t="s">
        <v>327</v>
      </c>
    </row>
    <row r="18" spans="1:25" x14ac:dyDescent="0.25">
      <c r="A18" s="1" t="s">
        <v>27</v>
      </c>
      <c r="B18" s="1">
        <v>2021</v>
      </c>
      <c r="C18" s="1" t="s">
        <v>12</v>
      </c>
      <c r="D18" s="1">
        <v>330</v>
      </c>
      <c r="E18" s="1" t="s">
        <v>20</v>
      </c>
      <c r="F18" s="14" t="s">
        <v>3</v>
      </c>
      <c r="G18" s="6" t="s">
        <v>3</v>
      </c>
      <c r="H18" s="1" t="str">
        <f>INT(5.68*1000*30/1000)&amp;"-"&amp;INT(7.18*1000*30/1000)</f>
        <v>170-215</v>
      </c>
      <c r="I18" s="14" t="s">
        <v>3</v>
      </c>
      <c r="J18" s="1" t="s">
        <v>3</v>
      </c>
      <c r="K18" s="1" t="s">
        <v>3</v>
      </c>
      <c r="L18" s="14" t="s">
        <v>3</v>
      </c>
      <c r="M18" s="14" t="s">
        <v>3</v>
      </c>
      <c r="N18" s="1" t="s">
        <v>3</v>
      </c>
      <c r="O18" s="1" t="s">
        <v>3</v>
      </c>
      <c r="P18" s="1" t="s">
        <v>3</v>
      </c>
      <c r="Q18" s="14" t="s">
        <v>3</v>
      </c>
      <c r="R18" s="1" t="s">
        <v>3</v>
      </c>
      <c r="S18" s="1" t="s">
        <v>3</v>
      </c>
      <c r="T18" s="1" t="s">
        <v>3</v>
      </c>
      <c r="U18" s="1" t="s">
        <v>3</v>
      </c>
      <c r="V18" s="6" t="s">
        <v>3</v>
      </c>
      <c r="W18" s="1" t="s">
        <v>3</v>
      </c>
      <c r="X18" s="14" t="s">
        <v>3</v>
      </c>
      <c r="Y18" s="1" t="s">
        <v>327</v>
      </c>
    </row>
    <row r="19" spans="1:25" x14ac:dyDescent="0.25">
      <c r="A19" s="1" t="s">
        <v>27</v>
      </c>
      <c r="B19" s="1">
        <v>2021</v>
      </c>
      <c r="C19" s="1" t="s">
        <v>17</v>
      </c>
      <c r="D19" s="1">
        <v>330</v>
      </c>
      <c r="E19" s="1" t="s">
        <v>20</v>
      </c>
      <c r="F19" s="14" t="s">
        <v>3</v>
      </c>
      <c r="G19" s="6" t="s">
        <v>3</v>
      </c>
      <c r="H19" s="1" t="str">
        <f>INT(5.63*1000*30/1000)&amp;"-"&amp;INT(8.04*1000*30/1000)</f>
        <v>168-241</v>
      </c>
      <c r="I19" s="14" t="s">
        <v>3</v>
      </c>
      <c r="J19" s="1" t="s">
        <v>3</v>
      </c>
      <c r="K19" s="1" t="s">
        <v>3</v>
      </c>
      <c r="L19" s="14" t="s">
        <v>3</v>
      </c>
      <c r="M19" s="14" t="s">
        <v>3</v>
      </c>
      <c r="N19" s="1" t="s">
        <v>3</v>
      </c>
      <c r="O19" s="1" t="s">
        <v>3</v>
      </c>
      <c r="P19" s="1" t="s">
        <v>3</v>
      </c>
      <c r="Q19" s="14" t="s">
        <v>3</v>
      </c>
      <c r="R19" s="1" t="s">
        <v>3</v>
      </c>
      <c r="S19" s="1" t="s">
        <v>3</v>
      </c>
      <c r="T19" s="1" t="s">
        <v>3</v>
      </c>
      <c r="U19" s="1" t="s">
        <v>3</v>
      </c>
      <c r="V19" s="6" t="s">
        <v>3</v>
      </c>
      <c r="W19" s="1" t="s">
        <v>3</v>
      </c>
      <c r="X19" s="14" t="s">
        <v>3</v>
      </c>
      <c r="Y19" s="1" t="s">
        <v>327</v>
      </c>
    </row>
    <row r="20" spans="1:25" x14ac:dyDescent="0.25">
      <c r="A20" s="1" t="s">
        <v>29</v>
      </c>
      <c r="B20" s="1">
        <v>2023</v>
      </c>
      <c r="C20" s="1" t="s">
        <v>13</v>
      </c>
      <c r="D20" s="1" t="s">
        <v>3</v>
      </c>
      <c r="E20" s="1" t="s">
        <v>20</v>
      </c>
      <c r="F20" s="14">
        <f>19.9/1000*1000*30</f>
        <v>597</v>
      </c>
      <c r="G20" s="6">
        <v>1.0699999999999999E-2</v>
      </c>
      <c r="H20" s="1" t="s">
        <v>3</v>
      </c>
      <c r="I20" s="14" t="s">
        <v>3</v>
      </c>
      <c r="J20" s="1" t="s">
        <v>3</v>
      </c>
      <c r="K20" s="1" t="s">
        <v>3</v>
      </c>
      <c r="L20" s="14" t="s">
        <v>3</v>
      </c>
      <c r="M20" s="14" t="s">
        <v>3</v>
      </c>
      <c r="N20" s="1" t="s">
        <v>3</v>
      </c>
      <c r="O20" s="1" t="s">
        <v>3</v>
      </c>
      <c r="P20" s="1" t="s">
        <v>3</v>
      </c>
      <c r="Q20" s="14" t="s">
        <v>3</v>
      </c>
      <c r="R20" s="1" t="s">
        <v>3</v>
      </c>
      <c r="S20" s="1" t="s">
        <v>3</v>
      </c>
      <c r="T20" s="1" t="s">
        <v>3</v>
      </c>
      <c r="U20" s="1" t="s">
        <v>3</v>
      </c>
      <c r="V20" s="6" t="s">
        <v>3</v>
      </c>
      <c r="W20" s="1" t="s">
        <v>3</v>
      </c>
      <c r="X20" s="14" t="s">
        <v>3</v>
      </c>
      <c r="Y20" s="1" t="s">
        <v>327</v>
      </c>
    </row>
    <row r="21" spans="1:25" x14ac:dyDescent="0.25">
      <c r="A21" s="1" t="s">
        <v>29</v>
      </c>
      <c r="B21" s="1">
        <v>2023</v>
      </c>
      <c r="C21" s="1" t="s">
        <v>18</v>
      </c>
      <c r="D21" s="1" t="s">
        <v>3</v>
      </c>
      <c r="E21" s="1" t="s">
        <v>20</v>
      </c>
      <c r="F21" s="14">
        <f>35.9/1000*1000*30</f>
        <v>1077</v>
      </c>
      <c r="G21" s="6">
        <v>1.3899999999999999E-2</v>
      </c>
      <c r="H21" s="1" t="s">
        <v>3</v>
      </c>
      <c r="I21" s="14" t="s">
        <v>3</v>
      </c>
      <c r="J21" s="1" t="s">
        <v>3</v>
      </c>
      <c r="K21" s="1" t="s">
        <v>3</v>
      </c>
      <c r="L21" s="14" t="s">
        <v>3</v>
      </c>
      <c r="M21" s="14" t="s">
        <v>3</v>
      </c>
      <c r="N21" s="1" t="s">
        <v>3</v>
      </c>
      <c r="O21" s="1" t="s">
        <v>3</v>
      </c>
      <c r="P21" s="1" t="s">
        <v>3</v>
      </c>
      <c r="Q21" s="14" t="s">
        <v>3</v>
      </c>
      <c r="R21" s="1" t="s">
        <v>3</v>
      </c>
      <c r="S21" s="1" t="s">
        <v>3</v>
      </c>
      <c r="T21" s="1" t="s">
        <v>3</v>
      </c>
      <c r="U21" s="1" t="s">
        <v>3</v>
      </c>
      <c r="V21" s="6" t="s">
        <v>3</v>
      </c>
      <c r="W21" s="1" t="s">
        <v>3</v>
      </c>
      <c r="X21" s="14" t="s">
        <v>3</v>
      </c>
      <c r="Y21" s="1" t="s">
        <v>327</v>
      </c>
    </row>
    <row r="22" spans="1:25" x14ac:dyDescent="0.25">
      <c r="A22" s="1" t="s">
        <v>29</v>
      </c>
      <c r="B22" s="1">
        <v>2023</v>
      </c>
      <c r="C22" s="1" t="s">
        <v>24</v>
      </c>
      <c r="D22" s="1" t="s">
        <v>3</v>
      </c>
      <c r="E22" s="1" t="s">
        <v>20</v>
      </c>
      <c r="F22" s="14">
        <f>43/1000*1000*30</f>
        <v>1290</v>
      </c>
      <c r="G22" s="6">
        <v>1.4999999999999999E-2</v>
      </c>
      <c r="H22" s="1" t="s">
        <v>3</v>
      </c>
      <c r="I22" s="14" t="s">
        <v>3</v>
      </c>
      <c r="J22" s="1" t="s">
        <v>3</v>
      </c>
      <c r="K22" s="1" t="s">
        <v>3</v>
      </c>
      <c r="L22" s="14" t="s">
        <v>3</v>
      </c>
      <c r="M22" s="14" t="s">
        <v>3</v>
      </c>
      <c r="N22" s="1" t="s">
        <v>3</v>
      </c>
      <c r="O22" s="1" t="s">
        <v>3</v>
      </c>
      <c r="P22" s="1" t="s">
        <v>3</v>
      </c>
      <c r="Q22" s="14" t="s">
        <v>3</v>
      </c>
      <c r="R22" s="1" t="s">
        <v>3</v>
      </c>
      <c r="S22" s="1" t="s">
        <v>3</v>
      </c>
      <c r="T22" s="1" t="s">
        <v>3</v>
      </c>
      <c r="U22" s="1" t="s">
        <v>3</v>
      </c>
      <c r="V22" s="6" t="s">
        <v>3</v>
      </c>
      <c r="W22" s="1" t="s">
        <v>3</v>
      </c>
      <c r="X22" s="14" t="s">
        <v>3</v>
      </c>
      <c r="Y22" s="1" t="s">
        <v>327</v>
      </c>
    </row>
    <row r="23" spans="1:25" x14ac:dyDescent="0.25">
      <c r="A23" s="1" t="s">
        <v>29</v>
      </c>
      <c r="B23" s="1">
        <v>2023</v>
      </c>
      <c r="C23" s="1" t="s">
        <v>17</v>
      </c>
      <c r="D23" s="1" t="s">
        <v>3</v>
      </c>
      <c r="E23" s="1" t="s">
        <v>20</v>
      </c>
      <c r="F23" s="14">
        <f>48.8/1000*1000*30</f>
        <v>1464</v>
      </c>
      <c r="G23" s="6">
        <v>1.0200000000000001E-2</v>
      </c>
      <c r="H23" s="1" t="s">
        <v>3</v>
      </c>
      <c r="I23" s="14" t="s">
        <v>3</v>
      </c>
      <c r="J23" s="1" t="s">
        <v>3</v>
      </c>
      <c r="K23" s="1" t="s">
        <v>3</v>
      </c>
      <c r="L23" s="14" t="s">
        <v>3</v>
      </c>
      <c r="M23" s="14" t="s">
        <v>3</v>
      </c>
      <c r="N23" s="1" t="s">
        <v>3</v>
      </c>
      <c r="O23" s="1" t="s">
        <v>3</v>
      </c>
      <c r="P23" s="1" t="s">
        <v>3</v>
      </c>
      <c r="Q23" s="14" t="s">
        <v>3</v>
      </c>
      <c r="R23" s="1" t="s">
        <v>3</v>
      </c>
      <c r="S23" s="1" t="s">
        <v>3</v>
      </c>
      <c r="T23" s="1" t="s">
        <v>3</v>
      </c>
      <c r="U23" s="1" t="s">
        <v>3</v>
      </c>
      <c r="V23" s="6" t="s">
        <v>3</v>
      </c>
      <c r="W23" s="1" t="s">
        <v>3</v>
      </c>
      <c r="X23" s="14" t="s">
        <v>3</v>
      </c>
      <c r="Y23" s="1" t="s">
        <v>327</v>
      </c>
    </row>
    <row r="24" spans="1:25" x14ac:dyDescent="0.25">
      <c r="A24" s="1" t="s">
        <v>29</v>
      </c>
      <c r="B24" s="1">
        <v>2023</v>
      </c>
      <c r="C24" s="1" t="s">
        <v>12</v>
      </c>
      <c r="D24" s="1" t="s">
        <v>3</v>
      </c>
      <c r="E24" s="1" t="s">
        <v>20</v>
      </c>
      <c r="F24" s="14">
        <f>80.4/1000*1000*30</f>
        <v>2412</v>
      </c>
      <c r="G24" s="6">
        <v>9.9299999999999996E-3</v>
      </c>
      <c r="H24" s="1" t="s">
        <v>3</v>
      </c>
      <c r="I24" s="14" t="s">
        <v>3</v>
      </c>
      <c r="J24" s="1" t="s">
        <v>3</v>
      </c>
      <c r="K24" s="1" t="s">
        <v>3</v>
      </c>
      <c r="L24" s="14" t="s">
        <v>3</v>
      </c>
      <c r="M24" s="14" t="s">
        <v>3</v>
      </c>
      <c r="N24" s="1" t="s">
        <v>3</v>
      </c>
      <c r="O24" s="1" t="s">
        <v>3</v>
      </c>
      <c r="P24" s="1" t="s">
        <v>3</v>
      </c>
      <c r="Q24" s="14" t="s">
        <v>3</v>
      </c>
      <c r="R24" s="1" t="s">
        <v>3</v>
      </c>
      <c r="S24" s="1" t="s">
        <v>3</v>
      </c>
      <c r="T24" s="1" t="s">
        <v>3</v>
      </c>
      <c r="U24" s="1" t="s">
        <v>3</v>
      </c>
      <c r="V24" s="6" t="s">
        <v>3</v>
      </c>
      <c r="W24" s="1" t="s">
        <v>3</v>
      </c>
      <c r="X24" s="14" t="s">
        <v>3</v>
      </c>
      <c r="Y24" s="1" t="s">
        <v>327</v>
      </c>
    </row>
    <row r="25" spans="1:25" x14ac:dyDescent="0.25">
      <c r="A25" s="1" t="s">
        <v>31</v>
      </c>
      <c r="B25" s="1">
        <v>2022</v>
      </c>
      <c r="C25" s="1" t="s">
        <v>12</v>
      </c>
      <c r="D25" s="1">
        <v>3</v>
      </c>
      <c r="E25" s="1" t="s">
        <v>20</v>
      </c>
      <c r="F25" s="14" t="s">
        <v>3</v>
      </c>
      <c r="G25" s="6" t="s">
        <v>3</v>
      </c>
      <c r="H25" s="1" t="s">
        <v>3</v>
      </c>
      <c r="I25" s="14">
        <f>5.29*30*1000/1000</f>
        <v>158.69999999999999</v>
      </c>
      <c r="J25" s="1" t="s">
        <v>3</v>
      </c>
      <c r="K25" s="1" t="s">
        <v>3</v>
      </c>
      <c r="L25" s="14" t="s">
        <v>3</v>
      </c>
      <c r="M25" s="14" t="s">
        <v>3</v>
      </c>
      <c r="N25" s="1" t="s">
        <v>3</v>
      </c>
      <c r="O25" s="1" t="s">
        <v>3</v>
      </c>
      <c r="P25" s="1" t="s">
        <v>3</v>
      </c>
      <c r="Q25" s="14" t="s">
        <v>3</v>
      </c>
      <c r="R25" s="1" t="s">
        <v>3</v>
      </c>
      <c r="S25" s="1" t="s">
        <v>3</v>
      </c>
      <c r="T25" s="1" t="s">
        <v>3</v>
      </c>
      <c r="U25" s="1" t="s">
        <v>3</v>
      </c>
      <c r="V25" s="6" t="s">
        <v>3</v>
      </c>
      <c r="W25" s="1" t="s">
        <v>3</v>
      </c>
      <c r="X25" s="14" t="s">
        <v>3</v>
      </c>
      <c r="Y25" s="1" t="s">
        <v>327</v>
      </c>
    </row>
    <row r="26" spans="1:25" x14ac:dyDescent="0.25">
      <c r="A26" s="1" t="s">
        <v>31</v>
      </c>
      <c r="B26" s="1">
        <v>2022</v>
      </c>
      <c r="C26" s="1" t="s">
        <v>17</v>
      </c>
      <c r="D26" s="1">
        <v>3</v>
      </c>
      <c r="E26" s="1" t="s">
        <v>20</v>
      </c>
      <c r="F26" s="14" t="s">
        <v>3</v>
      </c>
      <c r="G26" s="6" t="s">
        <v>3</v>
      </c>
      <c r="H26" s="1" t="s">
        <v>3</v>
      </c>
      <c r="I26" s="14">
        <f>5.36*30*1000/1000</f>
        <v>160.80000000000001</v>
      </c>
      <c r="J26" s="1" t="s">
        <v>3</v>
      </c>
      <c r="K26" s="1" t="s">
        <v>3</v>
      </c>
      <c r="L26" s="14" t="s">
        <v>3</v>
      </c>
      <c r="M26" s="14" t="s">
        <v>3</v>
      </c>
      <c r="N26" s="1" t="s">
        <v>3</v>
      </c>
      <c r="O26" s="1" t="s">
        <v>3</v>
      </c>
      <c r="P26" s="1" t="s">
        <v>3</v>
      </c>
      <c r="Q26" s="14" t="s">
        <v>3</v>
      </c>
      <c r="R26" s="1" t="s">
        <v>3</v>
      </c>
      <c r="S26" s="1" t="s">
        <v>3</v>
      </c>
      <c r="T26" s="1" t="s">
        <v>3</v>
      </c>
      <c r="U26" s="1" t="s">
        <v>3</v>
      </c>
      <c r="V26" s="6" t="s">
        <v>3</v>
      </c>
      <c r="W26" s="1" t="s">
        <v>3</v>
      </c>
      <c r="X26" s="14" t="s">
        <v>3</v>
      </c>
      <c r="Y26" s="1" t="s">
        <v>327</v>
      </c>
    </row>
    <row r="27" spans="1:25" x14ac:dyDescent="0.25">
      <c r="A27" s="1" t="s">
        <v>31</v>
      </c>
      <c r="B27" s="1">
        <v>2022</v>
      </c>
      <c r="C27" s="1" t="s">
        <v>13</v>
      </c>
      <c r="D27" s="1">
        <v>3</v>
      </c>
      <c r="E27" s="1" t="s">
        <v>20</v>
      </c>
      <c r="F27" s="14" t="s">
        <v>3</v>
      </c>
      <c r="G27" s="6" t="s">
        <v>3</v>
      </c>
      <c r="H27" s="1" t="s">
        <v>3</v>
      </c>
      <c r="I27" s="14">
        <f>5.26*30*1000/1000</f>
        <v>157.79999999999998</v>
      </c>
      <c r="J27" s="1" t="s">
        <v>3</v>
      </c>
      <c r="K27" s="1" t="s">
        <v>3</v>
      </c>
      <c r="L27" s="14" t="s">
        <v>3</v>
      </c>
      <c r="M27" s="14" t="s">
        <v>3</v>
      </c>
      <c r="N27" s="1" t="s">
        <v>3</v>
      </c>
      <c r="O27" s="1" t="s">
        <v>3</v>
      </c>
      <c r="P27" s="1" t="s">
        <v>3</v>
      </c>
      <c r="Q27" s="14" t="s">
        <v>3</v>
      </c>
      <c r="R27" s="1" t="s">
        <v>3</v>
      </c>
      <c r="S27" s="1" t="s">
        <v>3</v>
      </c>
      <c r="T27" s="1" t="s">
        <v>3</v>
      </c>
      <c r="U27" s="1" t="s">
        <v>3</v>
      </c>
      <c r="V27" s="6" t="s">
        <v>3</v>
      </c>
      <c r="W27" s="1" t="s">
        <v>3</v>
      </c>
      <c r="X27" s="14" t="s">
        <v>3</v>
      </c>
      <c r="Y27" s="1" t="s">
        <v>327</v>
      </c>
    </row>
    <row r="28" spans="1:25" x14ac:dyDescent="0.25">
      <c r="A28" s="1" t="s">
        <v>33</v>
      </c>
      <c r="B28" s="1">
        <v>2017</v>
      </c>
      <c r="C28" s="1" t="s">
        <v>12</v>
      </c>
      <c r="D28" s="1">
        <v>3</v>
      </c>
      <c r="E28" s="1" t="s">
        <v>20</v>
      </c>
      <c r="F28" s="14" t="s">
        <v>3</v>
      </c>
      <c r="G28" s="6" t="s">
        <v>3</v>
      </c>
      <c r="H28" s="1" t="s">
        <v>3</v>
      </c>
      <c r="I28" s="14" t="s">
        <v>3</v>
      </c>
      <c r="J28" s="1" t="s">
        <v>3</v>
      </c>
      <c r="K28" s="1" t="s">
        <v>3</v>
      </c>
      <c r="L28" s="14">
        <f>32*1000/1000*30</f>
        <v>960</v>
      </c>
      <c r="M28" s="14" t="s">
        <v>3</v>
      </c>
      <c r="N28" s="1" t="s">
        <v>3</v>
      </c>
      <c r="O28" s="1" t="s">
        <v>3</v>
      </c>
      <c r="P28" s="1" t="s">
        <v>3</v>
      </c>
      <c r="Q28" s="14" t="s">
        <v>3</v>
      </c>
      <c r="R28" s="1" t="s">
        <v>3</v>
      </c>
      <c r="S28" s="1" t="s">
        <v>3</v>
      </c>
      <c r="T28" s="1" t="s">
        <v>3</v>
      </c>
      <c r="U28" s="1" t="s">
        <v>3</v>
      </c>
      <c r="V28" s="6" t="s">
        <v>3</v>
      </c>
      <c r="W28" s="1" t="s">
        <v>3</v>
      </c>
      <c r="X28" s="14" t="s">
        <v>3</v>
      </c>
      <c r="Y28" s="1" t="s">
        <v>327</v>
      </c>
    </row>
    <row r="29" spans="1:25" x14ac:dyDescent="0.25">
      <c r="A29" s="1" t="s">
        <v>33</v>
      </c>
      <c r="B29" s="1">
        <v>2017</v>
      </c>
      <c r="C29" s="1" t="s">
        <v>13</v>
      </c>
      <c r="D29" s="1">
        <v>3</v>
      </c>
      <c r="E29" s="1" t="s">
        <v>20</v>
      </c>
      <c r="F29" s="14" t="s">
        <v>3</v>
      </c>
      <c r="G29" s="6" t="s">
        <v>3</v>
      </c>
      <c r="H29" s="1" t="s">
        <v>3</v>
      </c>
      <c r="I29" s="14" t="s">
        <v>3</v>
      </c>
      <c r="J29" s="1" t="s">
        <v>3</v>
      </c>
      <c r="K29" s="1" t="s">
        <v>3</v>
      </c>
      <c r="L29" s="14">
        <f>2.3*1000/1000*30</f>
        <v>69</v>
      </c>
      <c r="M29" s="14" t="s">
        <v>3</v>
      </c>
      <c r="N29" s="1" t="s">
        <v>3</v>
      </c>
      <c r="O29" s="1" t="s">
        <v>3</v>
      </c>
      <c r="P29" s="1" t="s">
        <v>3</v>
      </c>
      <c r="Q29" s="14" t="s">
        <v>3</v>
      </c>
      <c r="R29" s="1" t="s">
        <v>3</v>
      </c>
      <c r="S29" s="1" t="s">
        <v>3</v>
      </c>
      <c r="T29" s="1" t="s">
        <v>3</v>
      </c>
      <c r="U29" s="1" t="s">
        <v>3</v>
      </c>
      <c r="V29" s="6" t="s">
        <v>3</v>
      </c>
      <c r="W29" s="1" t="s">
        <v>3</v>
      </c>
      <c r="X29" s="14" t="s">
        <v>3</v>
      </c>
      <c r="Y29" s="1" t="s">
        <v>327</v>
      </c>
    </row>
    <row r="30" spans="1:25" x14ac:dyDescent="0.25">
      <c r="A30" s="1" t="s">
        <v>35</v>
      </c>
      <c r="B30" s="1">
        <v>2020</v>
      </c>
      <c r="C30" s="1" t="s">
        <v>17</v>
      </c>
      <c r="D30" s="1" t="s">
        <v>3</v>
      </c>
      <c r="E30" s="1" t="s">
        <v>20</v>
      </c>
      <c r="F30" s="14">
        <f>44.3/1000*1000*30</f>
        <v>1329</v>
      </c>
      <c r="G30" s="6" t="s">
        <v>3</v>
      </c>
      <c r="H30" s="14">
        <f>1.23*1000*30/1000</f>
        <v>36.9</v>
      </c>
      <c r="I30" s="14" t="s">
        <v>3</v>
      </c>
      <c r="J30" s="14">
        <f>0.00054*30*1000</f>
        <v>16.2</v>
      </c>
      <c r="K30" s="14">
        <f>0.45*30*1000</f>
        <v>13500</v>
      </c>
      <c r="L30" s="14">
        <f>1.35*1000/1000*30</f>
        <v>40.5</v>
      </c>
      <c r="M30" s="14" t="s">
        <v>3</v>
      </c>
      <c r="N30" s="1" t="s">
        <v>3</v>
      </c>
      <c r="O30" s="6" t="s">
        <v>3</v>
      </c>
      <c r="P30" s="14">
        <f>0.00021*30*1000</f>
        <v>6.3</v>
      </c>
      <c r="Q30" s="14">
        <f>0.04*30*1000</f>
        <v>1200</v>
      </c>
      <c r="R30" s="1" t="s">
        <v>3</v>
      </c>
      <c r="S30" s="1" t="s">
        <v>3</v>
      </c>
      <c r="T30" s="1" t="s">
        <v>3</v>
      </c>
      <c r="U30" s="1" t="s">
        <v>3</v>
      </c>
      <c r="V30" s="6" t="s">
        <v>3</v>
      </c>
      <c r="W30" s="1" t="s">
        <v>3</v>
      </c>
      <c r="X30" s="14" t="s">
        <v>3</v>
      </c>
      <c r="Y30" s="1" t="s">
        <v>327</v>
      </c>
    </row>
    <row r="31" spans="1:25" x14ac:dyDescent="0.25">
      <c r="A31" s="1" t="s">
        <v>44</v>
      </c>
      <c r="B31" s="1">
        <v>2019</v>
      </c>
      <c r="C31" s="1" t="s">
        <v>45</v>
      </c>
      <c r="D31" s="1">
        <v>3</v>
      </c>
      <c r="E31" s="1" t="s">
        <v>3</v>
      </c>
      <c r="F31" s="14">
        <f>43.5/1000*1000*30</f>
        <v>1305</v>
      </c>
      <c r="G31" s="6" t="s">
        <v>3</v>
      </c>
      <c r="H31" s="14">
        <f>1.13*1000*30/1000</f>
        <v>33.9</v>
      </c>
      <c r="I31" s="14" t="s">
        <v>3</v>
      </c>
      <c r="J31" s="14">
        <f>0.00066*30*1000</f>
        <v>19.799999999999997</v>
      </c>
      <c r="K31" s="14">
        <f>0.44*30*1000</f>
        <v>13200</v>
      </c>
      <c r="L31" s="14">
        <f>0.4511*1000/1000*30</f>
        <v>13.532999999999999</v>
      </c>
      <c r="M31" s="14" t="s">
        <v>3</v>
      </c>
      <c r="N31" s="1">
        <f>0.109*30</f>
        <v>3.27</v>
      </c>
      <c r="O31" s="6" t="s">
        <v>3</v>
      </c>
      <c r="P31" s="14">
        <f>0.00023*1000*30</f>
        <v>6.9</v>
      </c>
      <c r="Q31" s="14">
        <f>0.04*1000*30</f>
        <v>1200</v>
      </c>
      <c r="R31" s="1" t="s">
        <v>3</v>
      </c>
      <c r="S31" s="1">
        <f>0.0111*30*1000</f>
        <v>333</v>
      </c>
      <c r="T31" s="1">
        <f>0.469</f>
        <v>0.46899999999999997</v>
      </c>
      <c r="U31" s="1" t="s">
        <v>3</v>
      </c>
      <c r="V31" s="6" t="s">
        <v>3</v>
      </c>
      <c r="W31" s="14">
        <f>0.0065*30*1000</f>
        <v>194.99999999999997</v>
      </c>
      <c r="X31" s="14">
        <f>0.017*30*1000</f>
        <v>510</v>
      </c>
      <c r="Y31" s="1" t="s">
        <v>327</v>
      </c>
    </row>
    <row r="32" spans="1:25" x14ac:dyDescent="0.25">
      <c r="A32" s="1" t="s">
        <v>44</v>
      </c>
      <c r="B32" s="1">
        <v>2019</v>
      </c>
      <c r="C32" s="1" t="s">
        <v>18</v>
      </c>
      <c r="D32" s="1">
        <v>3</v>
      </c>
      <c r="E32" s="1" t="s">
        <v>3</v>
      </c>
      <c r="F32" s="14">
        <f>39.5/1000*1000*30</f>
        <v>1185</v>
      </c>
      <c r="G32" s="6" t="s">
        <v>3</v>
      </c>
      <c r="H32" s="14">
        <f>0.96*1000*30/1000</f>
        <v>28.8</v>
      </c>
      <c r="I32" s="14" t="s">
        <v>3</v>
      </c>
      <c r="J32" s="14">
        <f>0.000821*1000*30</f>
        <v>24.63</v>
      </c>
      <c r="K32" s="14">
        <f>0.39*30*1000</f>
        <v>11700.000000000002</v>
      </c>
      <c r="L32" s="14">
        <f>0.322*1000/1000*30</f>
        <v>9.66</v>
      </c>
      <c r="M32" s="14" t="s">
        <v>3</v>
      </c>
      <c r="N32" s="1">
        <f t="shared" ref="N32:N34" si="0">0.109*30</f>
        <v>3.27</v>
      </c>
      <c r="O32" s="6" t="s">
        <v>3</v>
      </c>
      <c r="P32" s="14">
        <f>0.00021*1000*30</f>
        <v>6.3000000000000007</v>
      </c>
      <c r="Q32" s="14">
        <f>0.05*30*1000</f>
        <v>1500</v>
      </c>
      <c r="R32" s="1" t="s">
        <v>3</v>
      </c>
      <c r="S32" s="1">
        <f>0.013*30*1000</f>
        <v>389.99999999999994</v>
      </c>
      <c r="T32" s="1">
        <f>0.462</f>
        <v>0.46200000000000002</v>
      </c>
      <c r="U32" s="9" t="s">
        <v>3</v>
      </c>
      <c r="V32" s="6" t="s">
        <v>3</v>
      </c>
      <c r="W32" s="14">
        <f>0.00419*30*1000</f>
        <v>125.7</v>
      </c>
      <c r="X32" s="14">
        <f>0.018*30*1000</f>
        <v>539.99999999999989</v>
      </c>
      <c r="Y32" s="1" t="s">
        <v>327</v>
      </c>
    </row>
    <row r="33" spans="1:25" x14ac:dyDescent="0.25">
      <c r="A33" s="1" t="s">
        <v>44</v>
      </c>
      <c r="B33" s="1">
        <v>2019</v>
      </c>
      <c r="C33" s="1" t="s">
        <v>17</v>
      </c>
      <c r="D33" s="1">
        <v>3</v>
      </c>
      <c r="E33" s="1" t="s">
        <v>3</v>
      </c>
      <c r="F33" s="14">
        <f>44.3/1000*1000*30</f>
        <v>1329</v>
      </c>
      <c r="G33" s="6" t="s">
        <v>3</v>
      </c>
      <c r="H33" s="14">
        <f t="shared" ref="H33:H34" si="1">1.23*1000*30/1000</f>
        <v>36.9</v>
      </c>
      <c r="I33" s="14" t="s">
        <v>3</v>
      </c>
      <c r="J33" s="14">
        <f>0.000554 * 30 * 1000</f>
        <v>16.62</v>
      </c>
      <c r="K33" s="14">
        <f>0.45*30*1000</f>
        <v>13500</v>
      </c>
      <c r="L33" s="14">
        <f>1.35*1000/1000*30</f>
        <v>40.5</v>
      </c>
      <c r="M33" s="14" t="s">
        <v>3</v>
      </c>
      <c r="N33" s="1">
        <f t="shared" si="0"/>
        <v>3.27</v>
      </c>
      <c r="O33" s="1" t="s">
        <v>3</v>
      </c>
      <c r="P33" s="14">
        <f>0.00022*30*1000</f>
        <v>6.6</v>
      </c>
      <c r="Q33" s="14">
        <f>0.04*30*1000</f>
        <v>1200</v>
      </c>
      <c r="R33" s="1" t="s">
        <v>3</v>
      </c>
      <c r="S33" s="1">
        <f>0.0116*30*1000</f>
        <v>348</v>
      </c>
      <c r="T33" s="1">
        <v>1.17</v>
      </c>
      <c r="U33" s="1" t="s">
        <v>3</v>
      </c>
      <c r="V33" s="6" t="s">
        <v>3</v>
      </c>
      <c r="W33" s="14">
        <f>0.00417*30*1000</f>
        <v>125.1</v>
      </c>
      <c r="X33" s="14">
        <f>0.021*30*1000</f>
        <v>630</v>
      </c>
      <c r="Y33" s="1" t="s">
        <v>327</v>
      </c>
    </row>
    <row r="34" spans="1:25" x14ac:dyDescent="0.25">
      <c r="A34" s="1" t="s">
        <v>44</v>
      </c>
      <c r="B34" s="1">
        <v>2019</v>
      </c>
      <c r="C34" s="1" t="s">
        <v>12</v>
      </c>
      <c r="D34" s="1">
        <v>3</v>
      </c>
      <c r="E34" s="1" t="s">
        <v>3</v>
      </c>
      <c r="F34" s="14">
        <f>52.4/1000*1000*30</f>
        <v>1572</v>
      </c>
      <c r="G34" s="6" t="s">
        <v>3</v>
      </c>
      <c r="H34" s="14">
        <f t="shared" si="1"/>
        <v>36.9</v>
      </c>
      <c r="I34" s="14" t="s">
        <v>3</v>
      </c>
      <c r="J34" s="14">
        <f>0.000542 * 30 * 1000</f>
        <v>16.259999999999998</v>
      </c>
      <c r="K34" s="14">
        <f>0.53*30*1000</f>
        <v>15900</v>
      </c>
      <c r="L34" s="14">
        <f>1.17*1000/1000*30</f>
        <v>35.099999999999994</v>
      </c>
      <c r="M34" s="14" t="s">
        <v>3</v>
      </c>
      <c r="N34" s="1">
        <f t="shared" si="0"/>
        <v>3.27</v>
      </c>
      <c r="O34" s="1" t="s">
        <v>3</v>
      </c>
      <c r="P34" s="14">
        <f>0.00025*30*1000</f>
        <v>7.5</v>
      </c>
      <c r="Q34" s="14">
        <f>0.04*30*1000</f>
        <v>1200</v>
      </c>
      <c r="R34" s="1" t="s">
        <v>3</v>
      </c>
      <c r="S34" s="1">
        <f>0.0117*30*1000</f>
        <v>351.00000000000006</v>
      </c>
      <c r="T34" s="1">
        <v>1.1299999999999999</v>
      </c>
      <c r="U34" s="1" t="s">
        <v>3</v>
      </c>
      <c r="V34" s="6" t="s">
        <v>3</v>
      </c>
      <c r="W34" s="14">
        <f>0.00433*30*1000</f>
        <v>129.89999999999998</v>
      </c>
      <c r="X34" s="14">
        <f>0.025*30*1000</f>
        <v>750</v>
      </c>
      <c r="Y34" s="1" t="s">
        <v>327</v>
      </c>
    </row>
    <row r="35" spans="1:25" x14ac:dyDescent="0.25">
      <c r="F35" s="14"/>
      <c r="G35" s="6"/>
      <c r="H35" s="14"/>
      <c r="I35" s="14"/>
      <c r="J35" s="14"/>
      <c r="K35" s="14"/>
      <c r="L35" s="14"/>
      <c r="M35" s="14"/>
      <c r="P35" s="14"/>
      <c r="Q35" s="14"/>
      <c r="V35" s="6"/>
      <c r="W35" s="14"/>
      <c r="X35" s="14"/>
    </row>
    <row r="36" spans="1:25" x14ac:dyDescent="0.25">
      <c r="F36" s="14"/>
      <c r="G36" s="5"/>
      <c r="H36" s="14"/>
      <c r="I36" s="14"/>
      <c r="J36" s="14"/>
      <c r="K36" s="14"/>
      <c r="L36" s="14"/>
      <c r="M36" s="14"/>
      <c r="N36" s="14"/>
      <c r="O36" s="14"/>
      <c r="P36" s="14"/>
      <c r="Q36" s="14"/>
      <c r="R36" s="14"/>
      <c r="S36" s="14"/>
      <c r="T36" s="14"/>
      <c r="U36" s="14"/>
      <c r="V36" s="14"/>
      <c r="W36" s="14"/>
      <c r="X36" s="14"/>
    </row>
    <row r="37" spans="1:25" x14ac:dyDescent="0.25">
      <c r="F37" s="14"/>
      <c r="G37" s="5"/>
      <c r="H37" s="14"/>
      <c r="I37" s="14"/>
      <c r="J37" s="14"/>
      <c r="K37" s="14"/>
      <c r="L37" s="14"/>
      <c r="M37" s="14"/>
      <c r="N37" s="14"/>
      <c r="O37" s="14"/>
      <c r="P37" s="14"/>
      <c r="Q37" s="14"/>
      <c r="R37" s="14"/>
      <c r="S37" s="14"/>
      <c r="T37" s="14"/>
      <c r="U37" s="14"/>
      <c r="V37" s="14"/>
      <c r="W37" s="14"/>
      <c r="X37" s="14"/>
    </row>
    <row r="38" spans="1:25" x14ac:dyDescent="0.25">
      <c r="F38" s="14"/>
      <c r="G38" s="5"/>
      <c r="H38" s="14"/>
      <c r="I38" s="14"/>
      <c r="J38" s="14"/>
      <c r="K38" s="14"/>
      <c r="L38" s="14"/>
      <c r="M38" s="14"/>
      <c r="N38" s="14"/>
      <c r="O38" s="14"/>
      <c r="P38" s="14"/>
      <c r="Q38" s="14"/>
      <c r="R38" s="14"/>
      <c r="S38" s="14"/>
      <c r="T38" s="14"/>
      <c r="U38" s="14"/>
      <c r="V38" s="14"/>
      <c r="W38" s="14"/>
      <c r="X38" s="14"/>
    </row>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B2FA13-CCFD-4D21-AB89-6AA975E8627D}">
  <sheetPr>
    <tabColor rgb="FFFFF093"/>
  </sheetPr>
  <dimension ref="A1:X24"/>
  <sheetViews>
    <sheetView zoomScaleNormal="100" workbookViewId="0">
      <pane xSplit="5" ySplit="1" topLeftCell="F2" activePane="bottomRight" state="frozen"/>
      <selection pane="topRight" activeCell="H1" sqref="H1"/>
      <selection pane="bottomLeft" activeCell="A2" sqref="A2"/>
      <selection pane="bottomRight" activeCell="F2" sqref="F2"/>
    </sheetView>
  </sheetViews>
  <sheetFormatPr defaultColWidth="9.140625" defaultRowHeight="15" x14ac:dyDescent="0.25"/>
  <cols>
    <col min="1" max="1" width="18" style="1" bestFit="1" customWidth="1"/>
    <col min="2" max="2" width="11.28515625" style="1" bestFit="1" customWidth="1"/>
    <col min="3" max="3" width="11" style="1" bestFit="1" customWidth="1"/>
    <col min="4" max="4" width="9.42578125" style="1" bestFit="1" customWidth="1"/>
    <col min="5" max="5" width="17.5703125" style="1" bestFit="1" customWidth="1"/>
    <col min="6" max="6" width="32.140625" style="1" bestFit="1" customWidth="1"/>
    <col min="7" max="7" width="30.140625" style="1" bestFit="1" customWidth="1"/>
    <col min="8" max="8" width="16.7109375" style="1" bestFit="1" customWidth="1"/>
    <col min="9" max="9" width="18.42578125" style="1" bestFit="1" customWidth="1"/>
    <col min="10" max="10" width="19.7109375" style="1" bestFit="1" customWidth="1"/>
    <col min="11" max="11" width="19.28515625" style="1" bestFit="1" customWidth="1"/>
    <col min="12" max="12" width="16.7109375" style="1" bestFit="1" customWidth="1"/>
    <col min="13" max="13" width="16.5703125" style="1" bestFit="1" customWidth="1"/>
    <col min="14" max="14" width="22" style="1" bestFit="1" customWidth="1"/>
    <col min="15" max="15" width="18.7109375" style="1" bestFit="1" customWidth="1"/>
    <col min="16" max="16" width="16.140625" style="1" bestFit="1" customWidth="1"/>
    <col min="17" max="17" width="17" style="1" bestFit="1" customWidth="1"/>
    <col min="18" max="18" width="20" style="1" bestFit="1" customWidth="1"/>
    <col min="19" max="19" width="21.140625" style="1" bestFit="1" customWidth="1"/>
    <col min="20" max="20" width="20" style="1" bestFit="1" customWidth="1"/>
    <col min="21" max="21" width="21.5703125" style="1" bestFit="1" customWidth="1"/>
    <col min="22" max="22" width="20.7109375" style="1" bestFit="1" customWidth="1"/>
    <col min="23" max="23" width="19.5703125" style="1" bestFit="1" customWidth="1"/>
    <col min="24" max="24" width="146.42578125" style="1" bestFit="1" customWidth="1"/>
    <col min="25" max="16384" width="9.140625" style="1"/>
  </cols>
  <sheetData>
    <row r="1" spans="1:24" s="4" customFormat="1" x14ac:dyDescent="0.25">
      <c r="A1" s="3" t="s">
        <v>7</v>
      </c>
      <c r="B1" s="3" t="s">
        <v>4</v>
      </c>
      <c r="C1" s="3" t="s">
        <v>5</v>
      </c>
      <c r="D1" s="3" t="s">
        <v>321</v>
      </c>
      <c r="E1" s="3" t="s">
        <v>82</v>
      </c>
      <c r="F1" s="3" t="s">
        <v>387</v>
      </c>
      <c r="G1" s="3" t="s">
        <v>346</v>
      </c>
      <c r="H1" s="3" t="s">
        <v>388</v>
      </c>
      <c r="I1" s="3" t="s">
        <v>390</v>
      </c>
      <c r="J1" s="3" t="s">
        <v>391</v>
      </c>
      <c r="K1" s="3" t="s">
        <v>394</v>
      </c>
      <c r="L1" s="3" t="s">
        <v>396</v>
      </c>
      <c r="M1" s="3" t="s">
        <v>398</v>
      </c>
      <c r="N1" s="3" t="s">
        <v>400</v>
      </c>
      <c r="O1" s="3" t="s">
        <v>401</v>
      </c>
      <c r="P1" s="60" t="s">
        <v>402</v>
      </c>
      <c r="Q1" s="3" t="s">
        <v>406</v>
      </c>
      <c r="R1" s="3" t="s">
        <v>408</v>
      </c>
      <c r="S1" s="61" t="s">
        <v>410</v>
      </c>
      <c r="T1" s="61" t="s">
        <v>440</v>
      </c>
      <c r="U1" s="3" t="s">
        <v>412</v>
      </c>
      <c r="V1" s="3" t="s">
        <v>419</v>
      </c>
      <c r="W1" s="3" t="s">
        <v>421</v>
      </c>
      <c r="X1" s="4" t="s">
        <v>14</v>
      </c>
    </row>
    <row r="2" spans="1:24" x14ac:dyDescent="0.25">
      <c r="A2" s="1" t="s">
        <v>49</v>
      </c>
      <c r="B2" s="1">
        <v>2021</v>
      </c>
      <c r="C2" s="1" t="s">
        <v>48</v>
      </c>
      <c r="D2" s="14">
        <v>1000</v>
      </c>
      <c r="E2" s="14">
        <v>2000</v>
      </c>
      <c r="F2" s="14" t="s">
        <v>3</v>
      </c>
      <c r="G2" s="1" t="s">
        <v>3</v>
      </c>
      <c r="H2" s="7">
        <f>3.4*E2/1000</f>
        <v>6.8</v>
      </c>
      <c r="I2" s="6" t="s">
        <v>3</v>
      </c>
      <c r="J2" s="1" t="s">
        <v>3</v>
      </c>
      <c r="K2" s="14">
        <f>10.7*E2/1000</f>
        <v>21.4</v>
      </c>
      <c r="L2" s="14">
        <f>4.87*41.87/1000*E2</f>
        <v>407.81379999999996</v>
      </c>
      <c r="M2" s="7">
        <f>0.6*E2*D2/D2/1000</f>
        <v>1.2</v>
      </c>
      <c r="N2" s="7">
        <f>0.0515*E2/1000</f>
        <v>0.10299999999999999</v>
      </c>
      <c r="O2" s="6">
        <f>0.02/1000*E2</f>
        <v>0.04</v>
      </c>
      <c r="P2" s="14">
        <f>0.0107*E2</f>
        <v>21.4</v>
      </c>
      <c r="Q2" s="14">
        <f>0.0108*E2</f>
        <v>21.6</v>
      </c>
      <c r="R2" s="1" t="s">
        <v>3</v>
      </c>
      <c r="S2" s="7">
        <f>0.3/1000*E2</f>
        <v>0.6</v>
      </c>
      <c r="T2" s="68">
        <f>(0.0113+0.61+0.62)/1000</f>
        <v>1.2412999999999999E-3</v>
      </c>
      <c r="U2" s="1" t="s">
        <v>3</v>
      </c>
      <c r="V2" s="14" t="s">
        <v>3</v>
      </c>
      <c r="W2" s="14" t="s">
        <v>3</v>
      </c>
      <c r="X2" s="1" t="s">
        <v>3</v>
      </c>
    </row>
    <row r="3" spans="1:24" x14ac:dyDescent="0.25">
      <c r="A3" s="59" t="s">
        <v>52</v>
      </c>
      <c r="B3" s="1">
        <v>2018</v>
      </c>
      <c r="C3" s="1" t="s">
        <v>54</v>
      </c>
      <c r="D3" s="14">
        <v>1000</v>
      </c>
      <c r="E3" s="14">
        <v>400</v>
      </c>
      <c r="F3" s="14">
        <f>102.76*D3*E3/D3/1000</f>
        <v>41.103999999999999</v>
      </c>
      <c r="G3" s="1" t="s">
        <v>3</v>
      </c>
      <c r="H3" s="7">
        <f>1.48*E3/1000</f>
        <v>0.59199999999999997</v>
      </c>
      <c r="I3" s="6" t="s">
        <v>3</v>
      </c>
      <c r="J3" s="1" t="s">
        <v>3</v>
      </c>
      <c r="K3" s="14">
        <f>165.73*E3/1000</f>
        <v>66.292000000000002</v>
      </c>
      <c r="L3" s="14">
        <f>41.01/1000*41.87*E3</f>
        <v>686.83547999999996</v>
      </c>
      <c r="M3" s="7">
        <f>1*E3*D3/D3/1000</f>
        <v>0.4</v>
      </c>
      <c r="N3" s="7">
        <f>0.21*E3/1000</f>
        <v>8.4000000000000005E-2</v>
      </c>
      <c r="O3" s="7">
        <f>0.51/1000*E3</f>
        <v>0.20400000000000001</v>
      </c>
      <c r="P3" s="14">
        <f>0.0129*E3</f>
        <v>5.16</v>
      </c>
      <c r="Q3" s="14">
        <f>0.0153*E3</f>
        <v>6.12</v>
      </c>
      <c r="R3" s="5" t="s">
        <v>3</v>
      </c>
      <c r="S3" s="7">
        <f>0.61/1000*E3</f>
        <v>0.24399999999999999</v>
      </c>
      <c r="T3" s="68">
        <f>(0.00388+0.38+0.39)/1000</f>
        <v>7.7388000000000001E-4</v>
      </c>
      <c r="U3" s="7">
        <f>1.44/1000*E3</f>
        <v>0.57599999999999996</v>
      </c>
      <c r="V3" s="14">
        <f>59.82/1000*E3</f>
        <v>23.928000000000001</v>
      </c>
      <c r="W3" s="14">
        <f>0.00000241/1000*10^6*E3</f>
        <v>0.96399999999999997</v>
      </c>
      <c r="X3" s="1" t="s">
        <v>3</v>
      </c>
    </row>
    <row r="4" spans="1:24" x14ac:dyDescent="0.25">
      <c r="A4" s="59" t="s">
        <v>52</v>
      </c>
      <c r="B4" s="1">
        <v>2018</v>
      </c>
      <c r="C4" s="1" t="s">
        <v>55</v>
      </c>
      <c r="D4" s="14">
        <v>1000</v>
      </c>
      <c r="E4" s="14">
        <v>1000</v>
      </c>
      <c r="F4" s="14">
        <f>27.8*D4*E4/D4/1000</f>
        <v>27.8</v>
      </c>
      <c r="G4" s="1" t="s">
        <v>3</v>
      </c>
      <c r="H4" s="7">
        <f>1.53*E4/1000</f>
        <v>1.53</v>
      </c>
      <c r="I4" s="6" t="s">
        <v>3</v>
      </c>
      <c r="J4" s="1" t="s">
        <v>3</v>
      </c>
      <c r="K4" s="14">
        <f>86.9*E4/1000</f>
        <v>86.9</v>
      </c>
      <c r="L4" s="14">
        <f>8.23/1000*41.87*E4</f>
        <v>344.59010000000001</v>
      </c>
      <c r="M4" s="7">
        <f>2.04*E4*D4/D4/1000</f>
        <v>2.04</v>
      </c>
      <c r="N4" s="7">
        <f>0.0691*E4/1000</f>
        <v>6.9099999999999995E-2</v>
      </c>
      <c r="O4" s="7">
        <f>0.18/1000*E4</f>
        <v>0.18</v>
      </c>
      <c r="P4" s="14">
        <f>0.0115*E4</f>
        <v>11.5</v>
      </c>
      <c r="Q4" s="14">
        <f>0.0106*E4</f>
        <v>10.6</v>
      </c>
      <c r="R4" s="5" t="s">
        <v>3</v>
      </c>
      <c r="S4" s="7">
        <f>0.38/1000*E4</f>
        <v>0.38</v>
      </c>
      <c r="T4" s="68">
        <f>(0.00221+0.3+0.28)/1000</f>
        <v>5.8221E-4</v>
      </c>
      <c r="U4" s="7">
        <f>2.31/1000*E4</f>
        <v>2.31</v>
      </c>
      <c r="V4" s="14">
        <f>16.8/1000*E4</f>
        <v>16.8</v>
      </c>
      <c r="W4" s="14">
        <f>0.0000018/1000*10^6*E4</f>
        <v>1.8</v>
      </c>
      <c r="X4" s="1" t="s">
        <v>3</v>
      </c>
    </row>
    <row r="5" spans="1:24" x14ac:dyDescent="0.25">
      <c r="A5" s="59" t="s">
        <v>52</v>
      </c>
      <c r="B5" s="1">
        <v>2018</v>
      </c>
      <c r="C5" s="1" t="s">
        <v>48</v>
      </c>
      <c r="D5" s="14">
        <v>1000</v>
      </c>
      <c r="E5" s="14">
        <v>2000</v>
      </c>
      <c r="F5" s="14">
        <f>16.1*D5*E5/D5/1000</f>
        <v>32.200000000000003</v>
      </c>
      <c r="G5" s="1" t="s">
        <v>3</v>
      </c>
      <c r="H5" s="7">
        <f>3.65*E5/1000</f>
        <v>7.3</v>
      </c>
      <c r="I5" s="6" t="s">
        <v>3</v>
      </c>
      <c r="J5" s="1" t="s">
        <v>3</v>
      </c>
      <c r="K5" s="14">
        <f>10.7*E5/1000</f>
        <v>21.4</v>
      </c>
      <c r="L5" s="14">
        <f>4.87/1000*41.87*E5</f>
        <v>407.81380000000001</v>
      </c>
      <c r="M5" s="7">
        <f>0.6*E5*D5/D5/1000</f>
        <v>1.2</v>
      </c>
      <c r="N5" s="7">
        <f>0.0515*E5/1000</f>
        <v>0.10299999999999999</v>
      </c>
      <c r="O5" s="7">
        <f>0.12/1000*E5</f>
        <v>0.24</v>
      </c>
      <c r="P5" s="14">
        <f>0.0107*E5</f>
        <v>21.4</v>
      </c>
      <c r="Q5" s="14">
        <f>0.0108*E5</f>
        <v>21.6</v>
      </c>
      <c r="R5" s="5" t="s">
        <v>3</v>
      </c>
      <c r="S5" s="7">
        <f>0.3/1000*E5</f>
        <v>0.6</v>
      </c>
      <c r="T5" s="68" t="s">
        <v>3</v>
      </c>
      <c r="U5" s="7">
        <f>0.22/1000*E5</f>
        <v>0.44</v>
      </c>
      <c r="V5" s="14">
        <f>10.73/1000*E5</f>
        <v>21.46</v>
      </c>
      <c r="W5" s="14">
        <f>0.00000128/1000*10^6*E5</f>
        <v>2.56</v>
      </c>
      <c r="X5" s="1" t="s">
        <v>3</v>
      </c>
    </row>
    <row r="6" spans="1:24" x14ac:dyDescent="0.25">
      <c r="A6" s="1" t="s">
        <v>57</v>
      </c>
      <c r="B6" s="1">
        <v>2022</v>
      </c>
      <c r="C6" s="1" t="s">
        <v>59</v>
      </c>
      <c r="D6" s="14">
        <v>14.4</v>
      </c>
      <c r="E6" s="14">
        <v>7300</v>
      </c>
      <c r="F6" s="14">
        <f>31.7*D6*E6/D6/1000</f>
        <v>231.41</v>
      </c>
      <c r="G6" s="14">
        <v>53.08</v>
      </c>
      <c r="H6" s="7" t="s">
        <v>3</v>
      </c>
      <c r="I6" s="14">
        <f>21.64*E6/1000</f>
        <v>157.97200000000001</v>
      </c>
      <c r="J6" s="1" t="s">
        <v>3</v>
      </c>
      <c r="K6" s="14" t="s">
        <v>3</v>
      </c>
      <c r="L6" s="14" t="s">
        <v>3</v>
      </c>
      <c r="M6" s="7" t="s">
        <v>3</v>
      </c>
      <c r="N6" s="7" t="s">
        <v>3</v>
      </c>
      <c r="O6" s="7" t="s">
        <v>3</v>
      </c>
      <c r="P6" s="14" t="s">
        <v>3</v>
      </c>
      <c r="Q6" s="14" t="s">
        <v>3</v>
      </c>
      <c r="R6" s="1">
        <f>(3.61+5.25)*E6</f>
        <v>64677.999999999993</v>
      </c>
      <c r="S6" s="7" t="s">
        <v>3</v>
      </c>
      <c r="T6" s="1" t="s">
        <v>3</v>
      </c>
      <c r="U6" s="1" t="s">
        <v>3</v>
      </c>
      <c r="V6" s="14" t="s">
        <v>3</v>
      </c>
      <c r="W6" s="14" t="s">
        <v>3</v>
      </c>
      <c r="X6" s="62" t="s">
        <v>381</v>
      </c>
    </row>
    <row r="7" spans="1:24" x14ac:dyDescent="0.25">
      <c r="A7" s="1" t="s">
        <v>57</v>
      </c>
      <c r="B7" s="1">
        <v>2022</v>
      </c>
      <c r="C7" s="1" t="s">
        <v>60</v>
      </c>
      <c r="D7" s="14">
        <v>13.17</v>
      </c>
      <c r="E7" s="14">
        <v>7300</v>
      </c>
      <c r="F7" s="14">
        <f>42.19*D7*E7/D7/1000</f>
        <v>307.98700000000002</v>
      </c>
      <c r="G7" s="14">
        <v>68.849999999999994</v>
      </c>
      <c r="H7" s="7" t="s">
        <v>3</v>
      </c>
      <c r="I7" s="14">
        <f>26.77*E7/1000</f>
        <v>195.42099999999999</v>
      </c>
      <c r="J7" s="1" t="s">
        <v>3</v>
      </c>
      <c r="K7" s="1" t="s">
        <v>3</v>
      </c>
      <c r="L7" s="14" t="s">
        <v>3</v>
      </c>
      <c r="M7" s="7" t="s">
        <v>3</v>
      </c>
      <c r="N7" s="7" t="s">
        <v>3</v>
      </c>
      <c r="O7" s="7" t="s">
        <v>3</v>
      </c>
      <c r="P7" s="14" t="s">
        <v>3</v>
      </c>
      <c r="Q7" s="14" t="s">
        <v>3</v>
      </c>
      <c r="R7" s="1">
        <f>(3.83+6.16)*E7</f>
        <v>72927</v>
      </c>
      <c r="S7" s="7" t="s">
        <v>3</v>
      </c>
      <c r="T7" s="1" t="s">
        <v>3</v>
      </c>
      <c r="U7" s="1" t="s">
        <v>3</v>
      </c>
      <c r="V7" s="14" t="s">
        <v>3</v>
      </c>
      <c r="W7" s="14" t="s">
        <v>3</v>
      </c>
      <c r="X7" s="1" t="s">
        <v>3</v>
      </c>
    </row>
    <row r="8" spans="1:24" x14ac:dyDescent="0.25">
      <c r="A8" s="1" t="s">
        <v>57</v>
      </c>
      <c r="B8" s="1">
        <v>2022</v>
      </c>
      <c r="C8" s="1" t="s">
        <v>61</v>
      </c>
      <c r="D8" s="14">
        <v>19.54</v>
      </c>
      <c r="E8" s="14">
        <v>7300</v>
      </c>
      <c r="F8" s="14">
        <f>29.95*D8*E8/D8/1000</f>
        <v>218.63499999999996</v>
      </c>
      <c r="G8" s="14">
        <v>52.36</v>
      </c>
      <c r="H8" s="7" t="s">
        <v>3</v>
      </c>
      <c r="I8" s="14">
        <f>26.62*E8/1000</f>
        <v>194.32599999999999</v>
      </c>
      <c r="J8" s="1" t="s">
        <v>3</v>
      </c>
      <c r="K8" s="1" t="s">
        <v>3</v>
      </c>
      <c r="L8" s="14" t="s">
        <v>3</v>
      </c>
      <c r="M8" s="7" t="s">
        <v>3</v>
      </c>
      <c r="N8" s="7" t="s">
        <v>3</v>
      </c>
      <c r="O8" s="7" t="s">
        <v>3</v>
      </c>
      <c r="P8" s="14" t="s">
        <v>3</v>
      </c>
      <c r="Q8" s="14" t="s">
        <v>3</v>
      </c>
      <c r="R8" s="1">
        <f>(5.45+4.88)*E8</f>
        <v>75409</v>
      </c>
      <c r="S8" s="1" t="s">
        <v>3</v>
      </c>
      <c r="T8" s="1" t="s">
        <v>3</v>
      </c>
      <c r="U8" s="1" t="s">
        <v>3</v>
      </c>
      <c r="V8" s="14" t="s">
        <v>3</v>
      </c>
      <c r="W8" s="14" t="s">
        <v>3</v>
      </c>
      <c r="X8" s="1" t="s">
        <v>3</v>
      </c>
    </row>
    <row r="9" spans="1:24" x14ac:dyDescent="0.25">
      <c r="A9" s="1" t="s">
        <v>57</v>
      </c>
      <c r="B9" s="1">
        <v>2022</v>
      </c>
      <c r="C9" s="1" t="s">
        <v>61</v>
      </c>
      <c r="D9" s="14">
        <v>20.57</v>
      </c>
      <c r="E9" s="14">
        <v>7300</v>
      </c>
      <c r="F9" s="14">
        <f>29.07*D9*E9/D9/1000</f>
        <v>212.21100000000004</v>
      </c>
      <c r="G9" s="14">
        <v>50.42</v>
      </c>
      <c r="H9" s="7" t="s">
        <v>3</v>
      </c>
      <c r="I9" s="14">
        <f>26.73*E9/1000</f>
        <v>195.12899999999999</v>
      </c>
      <c r="J9" s="1" t="s">
        <v>3</v>
      </c>
      <c r="K9" s="1" t="s">
        <v>3</v>
      </c>
      <c r="L9" s="14" t="s">
        <v>3</v>
      </c>
      <c r="M9" s="7" t="s">
        <v>3</v>
      </c>
      <c r="N9" s="7" t="s">
        <v>3</v>
      </c>
      <c r="O9" s="7" t="s">
        <v>3</v>
      </c>
      <c r="P9" s="14" t="s">
        <v>3</v>
      </c>
      <c r="Q9" s="14" t="s">
        <v>3</v>
      </c>
      <c r="R9" s="1">
        <f>(5.41+5.2)*E9</f>
        <v>77453</v>
      </c>
      <c r="S9" s="1" t="s">
        <v>3</v>
      </c>
      <c r="T9" s="1" t="s">
        <v>3</v>
      </c>
      <c r="U9" s="1" t="s">
        <v>3</v>
      </c>
      <c r="V9" s="14" t="s">
        <v>3</v>
      </c>
      <c r="W9" s="14" t="s">
        <v>3</v>
      </c>
      <c r="X9" s="1" t="s">
        <v>3</v>
      </c>
    </row>
    <row r="10" spans="1:24" x14ac:dyDescent="0.25">
      <c r="A10" s="1" t="s">
        <v>62</v>
      </c>
      <c r="B10" s="1">
        <v>2017</v>
      </c>
      <c r="C10" s="1" t="s">
        <v>70</v>
      </c>
      <c r="D10" s="14">
        <v>75</v>
      </c>
      <c r="E10" s="14">
        <v>5000</v>
      </c>
      <c r="F10" s="14">
        <f>34*D10*E10/D10/1000</f>
        <v>170</v>
      </c>
      <c r="G10" s="14" t="s">
        <v>3</v>
      </c>
      <c r="H10" s="7">
        <f>0.691*E10/1000</f>
        <v>3.4549999999999996</v>
      </c>
      <c r="I10" s="14" t="s">
        <v>3</v>
      </c>
      <c r="J10" s="1" t="s">
        <v>3</v>
      </c>
      <c r="K10" s="1" t="s">
        <v>3</v>
      </c>
      <c r="L10" s="14" t="s">
        <v>3</v>
      </c>
      <c r="M10" s="7" t="s">
        <v>3</v>
      </c>
      <c r="N10" s="7">
        <f>0.0509*E10/1000</f>
        <v>0.2545</v>
      </c>
      <c r="O10" s="7">
        <f>(7.59+2.78)*10^-1/1000*E10</f>
        <v>5.1849999999999996</v>
      </c>
      <c r="P10" s="14">
        <f>0.0853*E10</f>
        <v>426.5</v>
      </c>
      <c r="Q10" s="14" t="s">
        <v>3</v>
      </c>
      <c r="R10" s="1" t="s">
        <v>3</v>
      </c>
      <c r="S10" s="1" t="s">
        <v>3</v>
      </c>
      <c r="T10" s="1" t="s">
        <v>3</v>
      </c>
      <c r="U10" s="1" t="s">
        <v>3</v>
      </c>
      <c r="V10" s="14" t="s">
        <v>3</v>
      </c>
      <c r="W10" s="14">
        <f>0.000406*1000*E10</f>
        <v>2030.0000000000002</v>
      </c>
      <c r="X10" s="1" t="s">
        <v>3</v>
      </c>
    </row>
    <row r="11" spans="1:24" x14ac:dyDescent="0.25">
      <c r="A11" s="1" t="s">
        <v>62</v>
      </c>
      <c r="B11" s="1">
        <v>2017</v>
      </c>
      <c r="C11" s="1" t="s">
        <v>71</v>
      </c>
      <c r="D11" s="14">
        <v>75</v>
      </c>
      <c r="E11" s="14">
        <v>5000</v>
      </c>
      <c r="F11" s="14">
        <f>25.6*D11*E11/D11/1000</f>
        <v>128</v>
      </c>
      <c r="G11" s="14" t="s">
        <v>3</v>
      </c>
      <c r="H11" s="7">
        <f>0.878*E11/1000</f>
        <v>4.3899999999999997</v>
      </c>
      <c r="I11" s="14" t="s">
        <v>3</v>
      </c>
      <c r="J11" s="1" t="s">
        <v>3</v>
      </c>
      <c r="K11" s="1" t="s">
        <v>3</v>
      </c>
      <c r="L11" s="14" t="s">
        <v>3</v>
      </c>
      <c r="M11" s="7" t="s">
        <v>3</v>
      </c>
      <c r="N11" s="7">
        <f>0.0432*E11/1000</f>
        <v>0.216</v>
      </c>
      <c r="O11" s="7">
        <f>(6.98+2.27)*10^-1/1000*E11</f>
        <v>4.625</v>
      </c>
      <c r="P11" s="14">
        <f>0.129*E11</f>
        <v>645</v>
      </c>
      <c r="Q11" s="14" t="s">
        <v>3</v>
      </c>
      <c r="R11" s="1" t="s">
        <v>3</v>
      </c>
      <c r="S11" s="1" t="s">
        <v>3</v>
      </c>
      <c r="T11" s="1" t="s">
        <v>3</v>
      </c>
      <c r="U11" s="1" t="s">
        <v>3</v>
      </c>
      <c r="V11" s="14" t="s">
        <v>3</v>
      </c>
      <c r="W11" s="14">
        <f>0.00000249*1000*E11</f>
        <v>12.45</v>
      </c>
      <c r="X11" s="1" t="s">
        <v>3</v>
      </c>
    </row>
    <row r="12" spans="1:24" x14ac:dyDescent="0.25">
      <c r="A12" s="1" t="s">
        <v>62</v>
      </c>
      <c r="B12" s="1">
        <v>2017</v>
      </c>
      <c r="C12" s="1" t="s">
        <v>70</v>
      </c>
      <c r="D12" s="14">
        <v>6000</v>
      </c>
      <c r="E12" s="14">
        <v>5000</v>
      </c>
      <c r="F12" s="14">
        <f>28.9*D12*E12/D12/1000</f>
        <v>144.5</v>
      </c>
      <c r="G12" s="14" t="s">
        <v>3</v>
      </c>
      <c r="H12" s="7">
        <f>0.597*E12/1000</f>
        <v>2.9849999999999999</v>
      </c>
      <c r="I12" s="14" t="s">
        <v>3</v>
      </c>
      <c r="J12" s="1" t="s">
        <v>3</v>
      </c>
      <c r="K12" s="1" t="s">
        <v>3</v>
      </c>
      <c r="L12" s="14" t="s">
        <v>3</v>
      </c>
      <c r="M12" s="7" t="s">
        <v>3</v>
      </c>
      <c r="N12" s="7">
        <f>0.0396*E12/1000</f>
        <v>0.19800000000000004</v>
      </c>
      <c r="O12" s="7">
        <f>(6.24+2.25)*10^-1/1000*E12</f>
        <v>4.2450000000000001</v>
      </c>
      <c r="P12" s="14">
        <f>0.0714*E12</f>
        <v>357</v>
      </c>
      <c r="Q12" s="14" t="s">
        <v>3</v>
      </c>
      <c r="R12" s="1" t="s">
        <v>3</v>
      </c>
      <c r="S12" s="1" t="s">
        <v>3</v>
      </c>
      <c r="T12" s="1" t="s">
        <v>3</v>
      </c>
      <c r="U12" s="1" t="s">
        <v>3</v>
      </c>
      <c r="V12" s="14" t="s">
        <v>3</v>
      </c>
      <c r="W12" s="14">
        <f>0.000405*1000*E12</f>
        <v>2024.9999999999998</v>
      </c>
      <c r="X12" s="1" t="s">
        <v>3</v>
      </c>
    </row>
    <row r="13" spans="1:24" x14ac:dyDescent="0.25">
      <c r="A13" s="1" t="s">
        <v>62</v>
      </c>
      <c r="B13" s="1">
        <v>2017</v>
      </c>
      <c r="C13" s="1" t="s">
        <v>71</v>
      </c>
      <c r="D13" s="14">
        <v>6000</v>
      </c>
      <c r="E13" s="14">
        <v>5000</v>
      </c>
      <c r="F13" s="14">
        <f>20.5*D13*E13/D13/1000</f>
        <v>102.5</v>
      </c>
      <c r="G13" s="14" t="s">
        <v>3</v>
      </c>
      <c r="H13" s="7">
        <f>0.784*E13/1000</f>
        <v>3.92</v>
      </c>
      <c r="I13" s="14" t="s">
        <v>3</v>
      </c>
      <c r="J13" s="1" t="s">
        <v>3</v>
      </c>
      <c r="K13" s="1" t="s">
        <v>3</v>
      </c>
      <c r="L13" s="14" t="s">
        <v>3</v>
      </c>
      <c r="M13" s="7" t="s">
        <v>3</v>
      </c>
      <c r="N13" s="7">
        <f>0.0319*E13/1000</f>
        <v>0.1595</v>
      </c>
      <c r="O13" s="7">
        <f>(5.64+1.75)*10^-1/1000*E13</f>
        <v>3.6949999999999998</v>
      </c>
      <c r="P13" s="14">
        <f>0.115*E13</f>
        <v>575</v>
      </c>
      <c r="Q13" s="14" t="s">
        <v>3</v>
      </c>
      <c r="R13" s="1" t="s">
        <v>3</v>
      </c>
      <c r="S13" s="1" t="s">
        <v>3</v>
      </c>
      <c r="T13" s="1" t="s">
        <v>3</v>
      </c>
      <c r="U13" s="1" t="s">
        <v>3</v>
      </c>
      <c r="V13" s="14" t="s">
        <v>3</v>
      </c>
      <c r="W13" s="14">
        <f>0.00000207*1000*E13</f>
        <v>10.350000000000001</v>
      </c>
      <c r="X13" s="1" t="s">
        <v>3</v>
      </c>
    </row>
    <row r="14" spans="1:24" x14ac:dyDescent="0.25">
      <c r="A14" s="1" t="s">
        <v>63</v>
      </c>
      <c r="B14" s="1">
        <v>2019</v>
      </c>
      <c r="C14" s="1" t="s">
        <v>65</v>
      </c>
      <c r="D14" s="14" t="s">
        <v>3</v>
      </c>
      <c r="E14" s="14" t="s">
        <v>3</v>
      </c>
      <c r="F14" s="14">
        <f>254.6*0.5</f>
        <v>127.3</v>
      </c>
      <c r="G14" s="14">
        <f>1493.6*75/1000</f>
        <v>112.02</v>
      </c>
      <c r="H14" s="7" t="s">
        <v>3</v>
      </c>
      <c r="I14" s="14" t="s">
        <v>3</v>
      </c>
      <c r="J14" s="1" t="s">
        <v>3</v>
      </c>
      <c r="K14" s="1" t="s">
        <v>3</v>
      </c>
      <c r="L14" s="14" t="s">
        <v>3</v>
      </c>
      <c r="M14" s="7" t="s">
        <v>3</v>
      </c>
      <c r="N14" s="7" t="s">
        <v>3</v>
      </c>
      <c r="O14" s="7" t="s">
        <v>3</v>
      </c>
      <c r="P14" s="14" t="s">
        <v>3</v>
      </c>
      <c r="Q14" s="1" t="s">
        <v>383</v>
      </c>
      <c r="R14" s="1" t="s">
        <v>3</v>
      </c>
      <c r="S14" s="1" t="s">
        <v>3</v>
      </c>
      <c r="T14" s="1" t="s">
        <v>3</v>
      </c>
      <c r="U14" s="1" t="s">
        <v>3</v>
      </c>
      <c r="V14" s="14" t="s">
        <v>3</v>
      </c>
      <c r="W14" s="14" t="s">
        <v>3</v>
      </c>
      <c r="X14" t="s">
        <v>382</v>
      </c>
    </row>
    <row r="15" spans="1:24" x14ac:dyDescent="0.25">
      <c r="A15" s="1" t="s">
        <v>66</v>
      </c>
      <c r="B15" s="1">
        <v>2021</v>
      </c>
      <c r="C15" s="1" t="s">
        <v>65</v>
      </c>
      <c r="D15" s="14">
        <v>1300</v>
      </c>
      <c r="E15" s="14">
        <f>5758*1000/D15</f>
        <v>4429.2307692307695</v>
      </c>
      <c r="F15" s="14">
        <f>56.3*E15*D15/1000/D15</f>
        <v>249.36569230769231</v>
      </c>
      <c r="G15" s="14">
        <f>95-56.3</f>
        <v>38.700000000000003</v>
      </c>
      <c r="H15" s="7" t="s">
        <v>3</v>
      </c>
      <c r="I15" s="14" t="s">
        <v>3</v>
      </c>
      <c r="J15" s="14">
        <f>5.9/1000*E15</f>
        <v>26.132461538461545</v>
      </c>
      <c r="K15" s="1" t="s">
        <v>3</v>
      </c>
      <c r="L15" s="14">
        <f>23*41.87/1000*E15</f>
        <v>4265.3935230769239</v>
      </c>
      <c r="M15" s="7" t="s">
        <v>3</v>
      </c>
      <c r="N15" s="7">
        <f>0.4*E15/1000</f>
        <v>1.7716923076923079</v>
      </c>
      <c r="O15" s="7">
        <f>1.2/1000*E15</f>
        <v>5.3150769230769228</v>
      </c>
      <c r="P15" s="14" t="s">
        <v>3</v>
      </c>
      <c r="Q15" s="1" t="s">
        <v>3</v>
      </c>
      <c r="R15" s="1" t="s">
        <v>3</v>
      </c>
      <c r="S15" s="1" t="s">
        <v>3</v>
      </c>
      <c r="T15" s="1" t="s">
        <v>3</v>
      </c>
      <c r="U15" s="1" t="s">
        <v>3</v>
      </c>
      <c r="V15" s="14">
        <f>218.2/1000*E15</f>
        <v>966.45815384615378</v>
      </c>
      <c r="W15" s="14" t="s">
        <v>3</v>
      </c>
      <c r="X15" s="1" t="s">
        <v>3</v>
      </c>
    </row>
    <row r="16" spans="1:24" x14ac:dyDescent="0.25">
      <c r="A16" s="1" t="s">
        <v>66</v>
      </c>
      <c r="B16" s="1">
        <v>2021</v>
      </c>
      <c r="C16" s="1" t="s">
        <v>68</v>
      </c>
      <c r="D16" s="14">
        <v>37.5</v>
      </c>
      <c r="E16" s="14">
        <f>180*1000/D16</f>
        <v>4800</v>
      </c>
      <c r="F16" s="14">
        <f>57*E16*D16/1000/D16</f>
        <v>273.60000000000002</v>
      </c>
      <c r="G16" s="14">
        <f>100.8-57</f>
        <v>43.8</v>
      </c>
      <c r="H16" s="7" t="s">
        <v>3</v>
      </c>
      <c r="I16" s="14" t="s">
        <v>3</v>
      </c>
      <c r="J16" s="14">
        <f>5.9/1000*E16</f>
        <v>28.320000000000004</v>
      </c>
      <c r="K16" s="1" t="s">
        <v>3</v>
      </c>
      <c r="L16" s="14">
        <f>25.5*41.87/1000*E16</f>
        <v>5124.8879999999999</v>
      </c>
      <c r="M16" s="7" t="s">
        <v>3</v>
      </c>
      <c r="N16" s="7">
        <f>0.3*E16/1000</f>
        <v>1.44</v>
      </c>
      <c r="O16" s="7">
        <f>0.8/1000*E16</f>
        <v>3.8400000000000003</v>
      </c>
      <c r="P16" s="1" t="s">
        <v>3</v>
      </c>
      <c r="Q16" s="1" t="s">
        <v>3</v>
      </c>
      <c r="R16" s="1" t="s">
        <v>3</v>
      </c>
      <c r="S16" s="1" t="s">
        <v>3</v>
      </c>
      <c r="T16" s="1" t="s">
        <v>3</v>
      </c>
      <c r="U16" s="1" t="s">
        <v>3</v>
      </c>
      <c r="V16" s="14">
        <f>173.8/1000*E16</f>
        <v>834.24</v>
      </c>
      <c r="W16" s="14" t="s">
        <v>3</v>
      </c>
      <c r="X16" s="1" t="s">
        <v>3</v>
      </c>
    </row>
    <row r="17" spans="1:24" x14ac:dyDescent="0.25">
      <c r="A17" s="1" t="s">
        <v>72</v>
      </c>
      <c r="B17" s="1">
        <v>2021</v>
      </c>
      <c r="C17" s="1" t="s">
        <v>59</v>
      </c>
      <c r="D17" s="14" t="s">
        <v>3</v>
      </c>
      <c r="E17" s="14" t="s">
        <v>3</v>
      </c>
      <c r="F17" s="14">
        <v>61.9</v>
      </c>
      <c r="G17" s="14" t="s">
        <v>3</v>
      </c>
      <c r="H17" s="7" t="s">
        <v>3</v>
      </c>
      <c r="I17" s="14">
        <v>28.4</v>
      </c>
      <c r="J17" s="1" t="s">
        <v>3</v>
      </c>
      <c r="K17" s="1" t="s">
        <v>3</v>
      </c>
      <c r="L17" s="14" t="s">
        <v>3</v>
      </c>
      <c r="M17" s="7" t="s">
        <v>3</v>
      </c>
      <c r="N17" s="7" t="s">
        <v>3</v>
      </c>
      <c r="O17" s="7" t="s">
        <v>3</v>
      </c>
      <c r="P17" s="5" t="s">
        <v>3</v>
      </c>
      <c r="Q17" s="1" t="s">
        <v>3</v>
      </c>
      <c r="R17" s="1" t="s">
        <v>3</v>
      </c>
      <c r="S17" s="1" t="s">
        <v>3</v>
      </c>
      <c r="T17" s="1" t="s">
        <v>3</v>
      </c>
      <c r="U17" s="1" t="s">
        <v>3</v>
      </c>
      <c r="V17" s="14" t="s">
        <v>3</v>
      </c>
      <c r="W17" s="14" t="s">
        <v>3</v>
      </c>
      <c r="X17" s="1" t="s">
        <v>3</v>
      </c>
    </row>
    <row r="18" spans="1:24" x14ac:dyDescent="0.25">
      <c r="A18" s="1" t="s">
        <v>72</v>
      </c>
      <c r="B18" s="1">
        <v>2021</v>
      </c>
      <c r="C18" s="1" t="s">
        <v>74</v>
      </c>
      <c r="D18" s="14" t="s">
        <v>3</v>
      </c>
      <c r="E18" s="14" t="s">
        <v>3</v>
      </c>
      <c r="F18" s="14">
        <v>78.400000000000006</v>
      </c>
      <c r="G18" s="14" t="s">
        <v>3</v>
      </c>
      <c r="H18" s="7" t="s">
        <v>3</v>
      </c>
      <c r="I18" s="14">
        <v>27.5</v>
      </c>
      <c r="J18" s="1" t="s">
        <v>3</v>
      </c>
      <c r="K18" s="1" t="s">
        <v>3</v>
      </c>
      <c r="L18" s="14" t="s">
        <v>3</v>
      </c>
      <c r="M18" s="7" t="s">
        <v>3</v>
      </c>
      <c r="N18" s="7" t="s">
        <v>3</v>
      </c>
      <c r="O18" s="7" t="s">
        <v>3</v>
      </c>
      <c r="P18" s="5" t="s">
        <v>3</v>
      </c>
      <c r="Q18" s="1" t="s">
        <v>3</v>
      </c>
      <c r="R18" s="1" t="s">
        <v>3</v>
      </c>
      <c r="S18" s="1" t="s">
        <v>3</v>
      </c>
      <c r="T18" s="1" t="s">
        <v>3</v>
      </c>
      <c r="U18" s="1" t="s">
        <v>3</v>
      </c>
      <c r="V18" s="14" t="s">
        <v>3</v>
      </c>
      <c r="W18" s="14" t="s">
        <v>3</v>
      </c>
      <c r="X18" s="1" t="s">
        <v>3</v>
      </c>
    </row>
    <row r="19" spans="1:24" x14ac:dyDescent="0.25">
      <c r="A19" s="1" t="s">
        <v>72</v>
      </c>
      <c r="B19" s="1">
        <v>2021</v>
      </c>
      <c r="C19" s="1" t="s">
        <v>75</v>
      </c>
      <c r="D19" s="14" t="s">
        <v>3</v>
      </c>
      <c r="E19" s="14" t="s">
        <v>3</v>
      </c>
      <c r="F19" s="14">
        <v>80.400000000000006</v>
      </c>
      <c r="G19" s="14" t="s">
        <v>3</v>
      </c>
      <c r="H19" s="7" t="s">
        <v>3</v>
      </c>
      <c r="I19" s="14">
        <v>28</v>
      </c>
      <c r="J19" s="1" t="s">
        <v>3</v>
      </c>
      <c r="K19" s="1" t="s">
        <v>3</v>
      </c>
      <c r="L19" s="14" t="s">
        <v>3</v>
      </c>
      <c r="M19" s="7" t="s">
        <v>3</v>
      </c>
      <c r="N19" s="7" t="s">
        <v>3</v>
      </c>
      <c r="O19" s="7" t="s">
        <v>3</v>
      </c>
      <c r="P19" s="5" t="s">
        <v>3</v>
      </c>
      <c r="Q19" s="1" t="s">
        <v>3</v>
      </c>
      <c r="R19" s="1" t="s">
        <v>3</v>
      </c>
      <c r="S19" s="1" t="s">
        <v>3</v>
      </c>
      <c r="T19" s="1" t="s">
        <v>3</v>
      </c>
      <c r="U19" s="1" t="s">
        <v>3</v>
      </c>
      <c r="V19" s="14" t="s">
        <v>3</v>
      </c>
      <c r="W19" s="14" t="s">
        <v>3</v>
      </c>
      <c r="X19" s="1" t="s">
        <v>3</v>
      </c>
    </row>
    <row r="20" spans="1:24" x14ac:dyDescent="0.25">
      <c r="A20" s="1" t="s">
        <v>76</v>
      </c>
      <c r="B20" s="1">
        <v>2024</v>
      </c>
      <c r="C20" s="1" t="s">
        <v>70</v>
      </c>
      <c r="D20" s="14">
        <v>500000</v>
      </c>
      <c r="E20" s="14">
        <v>5000</v>
      </c>
      <c r="F20" s="14">
        <v>50</v>
      </c>
      <c r="G20" s="14" t="s">
        <v>3</v>
      </c>
      <c r="H20" s="7">
        <f>5*E20/1000</f>
        <v>25</v>
      </c>
      <c r="I20" s="6" t="s">
        <v>3</v>
      </c>
      <c r="J20" s="1" t="s">
        <v>3</v>
      </c>
      <c r="K20" s="1" t="s">
        <v>3</v>
      </c>
      <c r="L20" s="14" t="s">
        <v>3</v>
      </c>
      <c r="M20" s="7">
        <v>2</v>
      </c>
      <c r="N20" s="7" t="s">
        <v>3</v>
      </c>
      <c r="O20" s="7" t="s">
        <v>3</v>
      </c>
      <c r="P20" s="1" t="s">
        <v>3</v>
      </c>
      <c r="Q20" s="1" t="s">
        <v>3</v>
      </c>
      <c r="R20" s="1" t="s">
        <v>3</v>
      </c>
      <c r="S20" s="1" t="s">
        <v>3</v>
      </c>
      <c r="T20" s="1" t="s">
        <v>3</v>
      </c>
      <c r="U20" s="1" t="s">
        <v>3</v>
      </c>
      <c r="V20" s="14" t="s">
        <v>3</v>
      </c>
      <c r="W20" s="14" t="s">
        <v>3</v>
      </c>
      <c r="X20" s="1" t="s">
        <v>3</v>
      </c>
    </row>
    <row r="21" spans="1:24" x14ac:dyDescent="0.25">
      <c r="A21" s="1" t="s">
        <v>76</v>
      </c>
      <c r="B21" s="1">
        <v>2024</v>
      </c>
      <c r="C21" s="1" t="s">
        <v>78</v>
      </c>
      <c r="D21" s="14">
        <v>700000</v>
      </c>
      <c r="E21" s="14">
        <v>8000</v>
      </c>
      <c r="F21" s="14">
        <v>30</v>
      </c>
      <c r="G21" s="14" t="s">
        <v>3</v>
      </c>
      <c r="H21" s="7">
        <f>3*E21/1000</f>
        <v>24</v>
      </c>
      <c r="I21" s="6" t="s">
        <v>3</v>
      </c>
      <c r="J21" s="1" t="s">
        <v>3</v>
      </c>
      <c r="K21" s="1" t="s">
        <v>3</v>
      </c>
      <c r="L21" s="14" t="s">
        <v>3</v>
      </c>
      <c r="M21" s="7">
        <v>1.5</v>
      </c>
      <c r="N21" s="7" t="s">
        <v>3</v>
      </c>
      <c r="O21" s="7" t="s">
        <v>3</v>
      </c>
      <c r="P21" s="1" t="s">
        <v>3</v>
      </c>
      <c r="Q21" s="1" t="s">
        <v>3</v>
      </c>
      <c r="R21" s="1" t="s">
        <v>3</v>
      </c>
      <c r="S21" s="1" t="s">
        <v>3</v>
      </c>
      <c r="T21" s="1" t="s">
        <v>3</v>
      </c>
      <c r="U21" s="1" t="s">
        <v>3</v>
      </c>
      <c r="V21" s="14" t="s">
        <v>3</v>
      </c>
      <c r="W21" s="14" t="s">
        <v>3</v>
      </c>
      <c r="X21" s="1" t="s">
        <v>3</v>
      </c>
    </row>
    <row r="22" spans="1:24" x14ac:dyDescent="0.25">
      <c r="F22" s="14"/>
      <c r="G22" s="14"/>
      <c r="H22" s="14"/>
      <c r="I22" s="14"/>
      <c r="J22" s="14"/>
      <c r="K22" s="14"/>
      <c r="L22" s="14"/>
      <c r="M22" s="14"/>
      <c r="N22" s="14"/>
      <c r="O22" s="14"/>
      <c r="P22" s="14"/>
      <c r="Q22" s="14"/>
      <c r="R22" s="14"/>
      <c r="S22" s="14"/>
      <c r="T22" s="14"/>
      <c r="U22" s="14"/>
      <c r="V22" s="14"/>
      <c r="W22" s="14"/>
    </row>
    <row r="23" spans="1:24" x14ac:dyDescent="0.25">
      <c r="F23" s="14"/>
      <c r="G23" s="14"/>
      <c r="H23" s="14"/>
      <c r="I23" s="14"/>
      <c r="J23" s="14"/>
      <c r="K23" s="14"/>
      <c r="L23" s="14"/>
      <c r="M23" s="14"/>
      <c r="N23" s="14"/>
      <c r="O23" s="14"/>
      <c r="P23" s="14"/>
      <c r="Q23" s="14"/>
      <c r="R23" s="14"/>
      <c r="S23" s="14"/>
      <c r="T23" s="14"/>
      <c r="U23" s="14"/>
      <c r="V23" s="14"/>
      <c r="W23" s="14"/>
    </row>
    <row r="24" spans="1:24" x14ac:dyDescent="0.25">
      <c r="F24" s="14"/>
      <c r="G24" s="14"/>
      <c r="H24" s="14"/>
      <c r="I24" s="14"/>
      <c r="J24" s="14"/>
      <c r="K24" s="14"/>
      <c r="L24" s="14"/>
      <c r="M24" s="14"/>
      <c r="N24" s="14"/>
      <c r="O24" s="14"/>
      <c r="P24" s="14"/>
      <c r="Q24" s="14"/>
      <c r="R24" s="14"/>
      <c r="S24" s="14"/>
      <c r="T24" s="14"/>
      <c r="U24" s="14"/>
      <c r="V24" s="14"/>
      <c r="W24" s="1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96EF6C-B3B5-4ADE-AB82-405915693B8A}">
  <sheetPr>
    <tabColor rgb="FFED7777"/>
  </sheetPr>
  <dimension ref="A1:U17"/>
  <sheetViews>
    <sheetView workbookViewId="0">
      <pane xSplit="5" ySplit="1" topLeftCell="F2" activePane="bottomRight" state="frozen"/>
      <selection pane="topRight" activeCell="I1" sqref="I1"/>
      <selection pane="bottomLeft" activeCell="A2" sqref="A2"/>
      <selection pane="bottomRight" activeCell="B21" sqref="B21"/>
    </sheetView>
  </sheetViews>
  <sheetFormatPr defaultColWidth="9.140625" defaultRowHeight="15" x14ac:dyDescent="0.25"/>
  <cols>
    <col min="1" max="1" width="18" style="1" bestFit="1" customWidth="1"/>
    <col min="2" max="2" width="11.28515625" style="1" bestFit="1" customWidth="1"/>
    <col min="3" max="3" width="16.5703125" style="1" bestFit="1" customWidth="1"/>
    <col min="4" max="4" width="10.140625" style="1" bestFit="1" customWidth="1"/>
    <col min="5" max="5" width="9.5703125" style="1" bestFit="1" customWidth="1"/>
    <col min="6" max="6" width="31" style="1" bestFit="1" customWidth="1"/>
    <col min="7" max="7" width="15.5703125" style="1" bestFit="1" customWidth="1"/>
    <col min="8" max="8" width="17.28515625" style="1" bestFit="1" customWidth="1"/>
    <col min="9" max="9" width="18.5703125" style="1" bestFit="1" customWidth="1"/>
    <col min="10" max="10" width="15.5703125" style="1" bestFit="1" customWidth="1"/>
    <col min="11" max="11" width="15.42578125" style="1" bestFit="1" customWidth="1"/>
    <col min="12" max="12" width="20.7109375" style="1" bestFit="1" customWidth="1"/>
    <col min="13" max="13" width="17.5703125" style="1" bestFit="1" customWidth="1"/>
    <col min="14" max="14" width="15" style="1" bestFit="1" customWidth="1"/>
    <col min="15" max="15" width="15.85546875" style="1" bestFit="1" customWidth="1"/>
    <col min="16" max="16" width="20" style="1" bestFit="1" customWidth="1"/>
    <col min="17" max="17" width="30" style="1" bestFit="1" customWidth="1"/>
    <col min="18" max="18" width="36.42578125" style="1" bestFit="1" customWidth="1"/>
    <col min="19" max="19" width="20.5703125" style="1" bestFit="1" customWidth="1"/>
    <col min="20" max="20" width="18.42578125" style="1" bestFit="1" customWidth="1"/>
    <col min="21" max="21" width="129.140625" style="1" bestFit="1" customWidth="1"/>
    <col min="22" max="16384" width="9.140625" style="1"/>
  </cols>
  <sheetData>
    <row r="1" spans="1:21" s="4" customFormat="1" x14ac:dyDescent="0.25">
      <c r="A1" s="3" t="s">
        <v>7</v>
      </c>
      <c r="B1" s="3" t="s">
        <v>4</v>
      </c>
      <c r="C1" s="3" t="s">
        <v>5</v>
      </c>
      <c r="D1" s="3" t="s">
        <v>325</v>
      </c>
      <c r="E1" s="3" t="s">
        <v>323</v>
      </c>
      <c r="F1" s="3" t="s">
        <v>345</v>
      </c>
      <c r="G1" s="3" t="s">
        <v>347</v>
      </c>
      <c r="H1" s="3" t="s">
        <v>348</v>
      </c>
      <c r="I1" s="3" t="s">
        <v>367</v>
      </c>
      <c r="J1" s="3" t="s">
        <v>349</v>
      </c>
      <c r="K1" s="3" t="s">
        <v>350</v>
      </c>
      <c r="L1" s="3" t="s">
        <v>352</v>
      </c>
      <c r="M1" s="3" t="s">
        <v>354</v>
      </c>
      <c r="N1" s="60" t="s">
        <v>355</v>
      </c>
      <c r="O1" s="3" t="s">
        <v>356</v>
      </c>
      <c r="P1" s="61" t="s">
        <v>429</v>
      </c>
      <c r="Q1" s="61" t="s">
        <v>446</v>
      </c>
      <c r="R1" s="3" t="s">
        <v>431</v>
      </c>
      <c r="S1" s="3" t="s">
        <v>434</v>
      </c>
      <c r="T1" s="3" t="s">
        <v>360</v>
      </c>
      <c r="U1" s="4" t="s">
        <v>14</v>
      </c>
    </row>
    <row r="2" spans="1:21" x14ac:dyDescent="0.25">
      <c r="A2" s="1" t="s">
        <v>35</v>
      </c>
      <c r="B2" s="1">
        <v>2020</v>
      </c>
      <c r="C2" s="1" t="s">
        <v>37</v>
      </c>
      <c r="D2" s="1" t="s">
        <v>3</v>
      </c>
      <c r="E2" s="1" t="s">
        <v>20</v>
      </c>
      <c r="F2" s="1" t="s">
        <v>3</v>
      </c>
      <c r="G2" s="14">
        <f>1.25*750*20/1000</f>
        <v>18.75</v>
      </c>
      <c r="H2" s="7" t="s">
        <v>3</v>
      </c>
      <c r="I2" s="14">
        <f>1.02/1000*750*20</f>
        <v>15.3</v>
      </c>
      <c r="J2" s="14">
        <f>0.00545*41.87*750*20</f>
        <v>3422.8724999999995</v>
      </c>
      <c r="K2" s="7">
        <f>0.239*750*20/1000</f>
        <v>3.585</v>
      </c>
      <c r="L2" s="1" t="s">
        <v>3</v>
      </c>
      <c r="M2" s="7">
        <f>0.000207*750*20</f>
        <v>3.105</v>
      </c>
      <c r="N2" s="14">
        <f>0.0389*750*20</f>
        <v>583.5</v>
      </c>
      <c r="O2" s="1" t="s">
        <v>3</v>
      </c>
      <c r="P2" s="1" t="s">
        <v>3</v>
      </c>
      <c r="Q2" s="1" t="s">
        <v>3</v>
      </c>
      <c r="R2" s="1" t="s">
        <v>3</v>
      </c>
      <c r="S2" s="1" t="s">
        <v>3</v>
      </c>
      <c r="T2" s="1" t="s">
        <v>3</v>
      </c>
      <c r="U2" s="1" t="s">
        <v>427</v>
      </c>
    </row>
    <row r="3" spans="1:21" x14ac:dyDescent="0.25">
      <c r="A3" s="1" t="s">
        <v>38</v>
      </c>
      <c r="B3" s="1">
        <v>2018</v>
      </c>
      <c r="C3" s="1" t="s">
        <v>39</v>
      </c>
      <c r="D3" s="1">
        <v>70</v>
      </c>
      <c r="E3" s="1" t="s">
        <v>3</v>
      </c>
      <c r="F3" s="63">
        <f>25765.5896510586/D3</f>
        <v>368.07985215797999</v>
      </c>
      <c r="G3" s="14" t="s">
        <v>3</v>
      </c>
      <c r="H3" s="14">
        <f>4.45577441593898*10^6/D3/1000</f>
        <v>63.653920227699714</v>
      </c>
      <c r="I3" s="14" t="s">
        <v>3</v>
      </c>
      <c r="J3" s="14">
        <f>323576.81627152/D3</f>
        <v>4622.5259467360002</v>
      </c>
      <c r="K3" s="7" t="s">
        <v>3</v>
      </c>
      <c r="L3" s="1" t="s">
        <v>3</v>
      </c>
      <c r="M3" s="64">
        <f>124.22779528901/D3</f>
        <v>1.774682789843</v>
      </c>
      <c r="N3" s="14">
        <f>7.52028792086887/D3*1000</f>
        <v>107.432684583841</v>
      </c>
      <c r="O3" s="1" t="s">
        <v>3</v>
      </c>
      <c r="P3" s="7">
        <f>451.745444312861/D3</f>
        <v>6.4535063473265861</v>
      </c>
      <c r="Q3" s="1" t="s">
        <v>3</v>
      </c>
      <c r="R3" s="1" t="s">
        <v>3</v>
      </c>
      <c r="S3" s="1" t="s">
        <v>3</v>
      </c>
      <c r="T3" s="7">
        <f>6.8440614586452*10/D3</f>
        <v>0.97772306552074284</v>
      </c>
      <c r="U3" s="1" t="s">
        <v>422</v>
      </c>
    </row>
    <row r="4" spans="1:21" x14ac:dyDescent="0.25">
      <c r="A4" s="1" t="s">
        <v>38</v>
      </c>
      <c r="B4" s="1">
        <v>2018</v>
      </c>
      <c r="C4" s="1" t="s">
        <v>39</v>
      </c>
      <c r="D4" s="1">
        <v>210</v>
      </c>
      <c r="E4" s="1" t="s">
        <v>3</v>
      </c>
      <c r="F4" s="14">
        <f>77998.1301669456/D4</f>
        <v>371.4196674616457</v>
      </c>
      <c r="G4" s="14" t="s">
        <v>3</v>
      </c>
      <c r="H4" s="14">
        <f>13.8079780412491*10^6/D4/1000</f>
        <v>65.752276386900476</v>
      </c>
      <c r="I4" s="14" t="s">
        <v>3</v>
      </c>
      <c r="J4" s="14">
        <f>978899.343628663/D4</f>
        <v>4661.4254458507758</v>
      </c>
      <c r="K4" s="7" t="s">
        <v>3</v>
      </c>
      <c r="L4" s="1" t="s">
        <v>3</v>
      </c>
      <c r="M4" s="64">
        <f>375.725551569783/D4</f>
        <v>1.789169293189443</v>
      </c>
      <c r="N4" s="14">
        <f>22.8016417249721/D4*1000</f>
        <v>108.57924630939095</v>
      </c>
      <c r="O4" s="1" t="s">
        <v>3</v>
      </c>
      <c r="P4" s="7">
        <f>1364.97429080308/D4</f>
        <v>6.4998775752527624</v>
      </c>
      <c r="Q4" s="1" t="s">
        <v>3</v>
      </c>
      <c r="R4" s="1" t="s">
        <v>3</v>
      </c>
      <c r="S4" s="1" t="s">
        <v>3</v>
      </c>
      <c r="T4" s="7">
        <f>2.05314357480145*10/D4</f>
        <v>9.7768741657211902E-2</v>
      </c>
      <c r="U4" s="1" t="s">
        <v>423</v>
      </c>
    </row>
    <row r="5" spans="1:21" x14ac:dyDescent="0.25">
      <c r="A5" s="1" t="s">
        <v>38</v>
      </c>
      <c r="B5" s="1">
        <v>2018</v>
      </c>
      <c r="C5" s="1" t="s">
        <v>39</v>
      </c>
      <c r="D5" s="1">
        <v>525</v>
      </c>
      <c r="E5" s="1" t="s">
        <v>3</v>
      </c>
      <c r="F5" s="14">
        <f>194900.011570742/D5</f>
        <v>371.23811727760381</v>
      </c>
      <c r="G5" s="14" t="s">
        <v>3</v>
      </c>
      <c r="H5" s="14">
        <f>34.043643431067*10^6/D5/1000</f>
        <v>64.845035106794285</v>
      </c>
      <c r="I5" s="14" t="s">
        <v>3</v>
      </c>
      <c r="J5" s="14">
        <f>2446314.36201354/D5</f>
        <v>4659.6464038353151</v>
      </c>
      <c r="K5" s="7" t="s">
        <v>3</v>
      </c>
      <c r="L5" s="1" t="s">
        <v>3</v>
      </c>
      <c r="M5" s="64">
        <f>938.522573228324/D5</f>
        <v>1.7876620442444267</v>
      </c>
      <c r="N5" s="14">
        <f>56.9419265524516/D5*1000</f>
        <v>108.46081248086018</v>
      </c>
      <c r="O5" s="1" t="s">
        <v>3</v>
      </c>
      <c r="P5" s="7">
        <f>3407.31385698457/D5</f>
        <v>6.4901216323515616</v>
      </c>
      <c r="Q5" s="1" t="s">
        <v>3</v>
      </c>
      <c r="R5" s="1" t="s">
        <v>3</v>
      </c>
      <c r="S5" s="1" t="s">
        <v>3</v>
      </c>
      <c r="T5" s="7">
        <f>5.14529187620197*10/D5</f>
        <v>9.8005559546704188E-2</v>
      </c>
      <c r="U5" s="1" t="s">
        <v>423</v>
      </c>
    </row>
    <row r="6" spans="1:21" x14ac:dyDescent="0.25">
      <c r="A6" s="1" t="s">
        <v>38</v>
      </c>
      <c r="B6" s="1">
        <v>2018</v>
      </c>
      <c r="C6" s="1" t="s">
        <v>39</v>
      </c>
      <c r="D6" s="1">
        <v>700</v>
      </c>
      <c r="E6" s="1" t="s">
        <v>3</v>
      </c>
      <c r="F6" s="14">
        <f>259514.71/D6</f>
        <v>370.7353</v>
      </c>
      <c r="G6" s="14" t="s">
        <v>3</v>
      </c>
      <c r="H6" s="14">
        <f>45.39*10^6/D6/1000</f>
        <v>64.842857142857142</v>
      </c>
      <c r="I6" s="14" t="s">
        <v>3</v>
      </c>
      <c r="J6" s="14">
        <f>3257275.44/D6</f>
        <v>4653.2506285714289</v>
      </c>
      <c r="K6" s="7" t="s">
        <v>3</v>
      </c>
      <c r="L6" s="1" t="s">
        <v>3</v>
      </c>
      <c r="M6" s="64">
        <f>1249.73/D6</f>
        <v>1.7853285714285714</v>
      </c>
      <c r="N6" s="14">
        <f>75.82/D6*1000</f>
        <v>108.31428571428572</v>
      </c>
      <c r="O6" s="1" t="s">
        <v>3</v>
      </c>
      <c r="P6" s="7">
        <f>4537.16/D6</f>
        <v>6.4816571428571423</v>
      </c>
      <c r="Q6" s="1" t="s">
        <v>3</v>
      </c>
      <c r="R6" s="1" t="s">
        <v>3</v>
      </c>
      <c r="S6" s="1" t="s">
        <v>3</v>
      </c>
      <c r="T6" s="7">
        <f>6.85*10/D6</f>
        <v>9.7857142857142851E-2</v>
      </c>
      <c r="U6" s="1" t="s">
        <v>423</v>
      </c>
    </row>
    <row r="7" spans="1:21" x14ac:dyDescent="0.25">
      <c r="A7" s="1" t="s">
        <v>38</v>
      </c>
      <c r="B7" s="1">
        <v>2018</v>
      </c>
      <c r="C7" s="1" t="s">
        <v>39</v>
      </c>
      <c r="D7" s="1">
        <v>700</v>
      </c>
      <c r="E7" s="1" t="s">
        <v>3</v>
      </c>
      <c r="F7" s="14">
        <f>234889.263972021/D7</f>
        <v>335.55609138860143</v>
      </c>
      <c r="G7" s="14" t="s">
        <v>3</v>
      </c>
      <c r="H7" s="14">
        <f>45.3906897893095*10^6/D7/1000</f>
        <v>64.843842556156417</v>
      </c>
      <c r="I7" s="14" t="s">
        <v>3</v>
      </c>
      <c r="J7" s="14">
        <f>3063051.71612981/D7</f>
        <v>4375.7881658997285</v>
      </c>
      <c r="K7" s="7" t="s">
        <v>3</v>
      </c>
      <c r="L7" s="1" t="s">
        <v>3</v>
      </c>
      <c r="M7" s="64">
        <f>960.671577422363/D7</f>
        <v>1.372387967746233</v>
      </c>
      <c r="N7" s="14">
        <f>72.5892150264349/D7*1000</f>
        <v>103.69887860919272</v>
      </c>
      <c r="O7" s="1" t="s">
        <v>3</v>
      </c>
      <c r="P7" s="7">
        <f>4383.53662755789/D7</f>
        <v>6.2621951822255566</v>
      </c>
      <c r="Q7" s="1" t="s">
        <v>3</v>
      </c>
      <c r="R7" s="1" t="s">
        <v>3</v>
      </c>
      <c r="S7" s="1" t="s">
        <v>3</v>
      </c>
      <c r="T7" s="7">
        <f>7.84430878472705*10/D7</f>
        <v>0.1120615540675293</v>
      </c>
      <c r="U7" s="1" t="s">
        <v>423</v>
      </c>
    </row>
    <row r="8" spans="1:21" x14ac:dyDescent="0.25">
      <c r="A8" s="1" t="s">
        <v>38</v>
      </c>
      <c r="B8" s="1">
        <v>2018</v>
      </c>
      <c r="C8" s="1" t="s">
        <v>39</v>
      </c>
      <c r="D8" s="1">
        <v>700</v>
      </c>
      <c r="E8" s="1" t="s">
        <v>3</v>
      </c>
      <c r="F8" s="14">
        <f>238335.71508842/D8</f>
        <v>340.47959298345711</v>
      </c>
      <c r="G8" s="14" t="s">
        <v>3</v>
      </c>
      <c r="H8" s="14">
        <f>45.3918306993815*10^6/D8/1000</f>
        <v>64.845472427687852</v>
      </c>
      <c r="I8" s="14" t="s">
        <v>3</v>
      </c>
      <c r="J8" s="14">
        <f>3115864.55657129/D8</f>
        <v>4451.2350808161282</v>
      </c>
      <c r="K8" s="7" t="s">
        <v>3</v>
      </c>
      <c r="L8" s="1" t="s">
        <v>3</v>
      </c>
      <c r="M8" s="64">
        <f>924.784552759293/D8</f>
        <v>1.3211207896561328</v>
      </c>
      <c r="N8" s="14">
        <f>71.5619859101623/D8*1000</f>
        <v>102.23140844308901</v>
      </c>
      <c r="O8" s="1" t="s">
        <v>3</v>
      </c>
      <c r="P8" s="7">
        <f>4380.09294262152/D8</f>
        <v>6.2572756323164569</v>
      </c>
      <c r="Q8" s="1" t="s">
        <v>3</v>
      </c>
      <c r="R8" s="1" t="s">
        <v>3</v>
      </c>
      <c r="S8" s="1" t="s">
        <v>3</v>
      </c>
      <c r="T8" s="7">
        <f>7.51675270957173*10/D8</f>
        <v>0.10738218156531043</v>
      </c>
      <c r="U8" s="1" t="s">
        <v>423</v>
      </c>
    </row>
    <row r="9" spans="1:21" x14ac:dyDescent="0.25">
      <c r="A9" s="1" t="s">
        <v>38</v>
      </c>
      <c r="B9" s="1">
        <v>2018</v>
      </c>
      <c r="C9" s="1" t="s">
        <v>39</v>
      </c>
      <c r="D9" s="1">
        <v>700</v>
      </c>
      <c r="E9" s="1" t="s">
        <v>3</v>
      </c>
      <c r="F9" s="63">
        <f>242222.375833285/D9</f>
        <v>346.03196547612146</v>
      </c>
      <c r="G9" s="14" t="s">
        <v>3</v>
      </c>
      <c r="H9" s="14">
        <f>45.3923631377363*10^6/D9/1000</f>
        <v>64.846233053909003</v>
      </c>
      <c r="I9" s="14" t="s">
        <v>3</v>
      </c>
      <c r="J9" s="14">
        <f>3103948.1929002/D9</f>
        <v>4434.2117041431429</v>
      </c>
      <c r="K9" s="7" t="s">
        <v>3</v>
      </c>
      <c r="L9" s="1" t="s">
        <v>3</v>
      </c>
      <c r="M9" s="64">
        <f>914.990080368207/D9</f>
        <v>1.3071286862402958</v>
      </c>
      <c r="N9" s="14">
        <f>72.5316183404787/D9*1000</f>
        <v>103.6165976292553</v>
      </c>
      <c r="O9" s="1" t="s">
        <v>3</v>
      </c>
      <c r="P9" s="7">
        <f>4376.2031491427/D9</f>
        <v>6.2517187844895705</v>
      </c>
      <c r="Q9" s="1" t="s">
        <v>3</v>
      </c>
      <c r="R9" s="1" t="s">
        <v>3</v>
      </c>
      <c r="S9" s="1" t="s">
        <v>3</v>
      </c>
      <c r="T9" s="7">
        <f>7.29985002482526*10/D9</f>
        <v>0.104283571783218</v>
      </c>
      <c r="U9" s="1" t="s">
        <v>423</v>
      </c>
    </row>
    <row r="10" spans="1:21" x14ac:dyDescent="0.25">
      <c r="A10" s="1" t="s">
        <v>38</v>
      </c>
      <c r="B10" s="1">
        <v>2018</v>
      </c>
      <c r="C10" s="1" t="s">
        <v>39</v>
      </c>
      <c r="D10" s="1">
        <v>700</v>
      </c>
      <c r="E10" s="1" t="s">
        <v>3</v>
      </c>
      <c r="F10" s="14">
        <f>235031.049081295/D10</f>
        <v>335.75864154470713</v>
      </c>
      <c r="G10" s="14" t="s">
        <v>3</v>
      </c>
      <c r="H10" s="14">
        <f>45.3887971901927*10^6/D10/1000</f>
        <v>64.841138843132427</v>
      </c>
      <c r="I10" s="14" t="s">
        <v>3</v>
      </c>
      <c r="J10" s="14">
        <f>3037088.57518819/D10</f>
        <v>4338.6979645545571</v>
      </c>
      <c r="K10" s="7" t="s">
        <v>3</v>
      </c>
      <c r="L10" s="1" t="s">
        <v>3</v>
      </c>
      <c r="M10" s="64">
        <f>907.14921985393/D10</f>
        <v>1.2959274569341859</v>
      </c>
      <c r="N10" s="14">
        <f>71.9138066687623/D10*1000</f>
        <v>102.73400952680329</v>
      </c>
      <c r="O10" s="1" t="s">
        <v>3</v>
      </c>
      <c r="P10" s="7">
        <f>4361.36890759408/D10</f>
        <v>6.2305270108486859</v>
      </c>
      <c r="Q10" s="1" t="s">
        <v>3</v>
      </c>
      <c r="R10" s="1" t="s">
        <v>3</v>
      </c>
      <c r="S10" s="1" t="s">
        <v>3</v>
      </c>
      <c r="T10" s="7">
        <f>6.8821723990889*10/D10</f>
        <v>9.8316748558412853E-2</v>
      </c>
      <c r="U10" s="1" t="s">
        <v>423</v>
      </c>
    </row>
    <row r="11" spans="1:21" x14ac:dyDescent="0.25">
      <c r="A11" s="1" t="s">
        <v>38</v>
      </c>
      <c r="B11" s="1">
        <v>2018</v>
      </c>
      <c r="C11" s="1" t="s">
        <v>39</v>
      </c>
      <c r="D11" s="1">
        <v>700</v>
      </c>
      <c r="E11" s="1" t="s">
        <v>3</v>
      </c>
      <c r="F11" s="14">
        <f>221783.79/D11</f>
        <v>316.83398571428575</v>
      </c>
      <c r="G11" s="14" t="s">
        <v>3</v>
      </c>
      <c r="H11" s="14">
        <f>45.39*10^6/D11/1000</f>
        <v>64.842857142857142</v>
      </c>
      <c r="I11" s="14" t="s">
        <v>3</v>
      </c>
      <c r="J11" s="14">
        <f>2896558.42/D11</f>
        <v>4137.9405999999999</v>
      </c>
      <c r="K11" s="7" t="s">
        <v>3</v>
      </c>
      <c r="L11" s="1" t="s">
        <v>3</v>
      </c>
      <c r="M11" s="64">
        <f>880.84/D11</f>
        <v>1.2583428571428572</v>
      </c>
      <c r="N11" s="14">
        <f>68.14/D11*1000</f>
        <v>97.342857142857142</v>
      </c>
      <c r="O11" s="1" t="s">
        <v>3</v>
      </c>
      <c r="P11" s="7">
        <f>4348.13/D11</f>
        <v>6.211614285714286</v>
      </c>
      <c r="Q11" s="1" t="s">
        <v>3</v>
      </c>
      <c r="R11" s="1" t="s">
        <v>3</v>
      </c>
      <c r="S11" s="1" t="s">
        <v>3</v>
      </c>
      <c r="T11" s="7">
        <f>6.85*10/D11</f>
        <v>9.7857142857142851E-2</v>
      </c>
      <c r="U11" s="1" t="s">
        <v>423</v>
      </c>
    </row>
    <row r="12" spans="1:21" x14ac:dyDescent="0.25">
      <c r="A12" s="1" t="s">
        <v>40</v>
      </c>
      <c r="B12" s="1">
        <v>2023</v>
      </c>
      <c r="C12" s="1" t="s">
        <v>42</v>
      </c>
      <c r="D12" s="1" t="s">
        <v>3</v>
      </c>
      <c r="E12" s="1" t="s">
        <v>3</v>
      </c>
      <c r="F12" s="1" t="s">
        <v>3</v>
      </c>
      <c r="G12" s="14">
        <f>0.3*750*20/1000</f>
        <v>4.5</v>
      </c>
      <c r="H12" s="7" t="s">
        <v>3</v>
      </c>
      <c r="I12" s="14">
        <f>0.00013*750*20</f>
        <v>1.9499999999999997</v>
      </c>
      <c r="J12" s="14">
        <f>1.2/1000*41.87*750*20</f>
        <v>753.65999999999985</v>
      </c>
      <c r="K12" s="7">
        <f>0.056*750*20/1000</f>
        <v>0.84</v>
      </c>
      <c r="L12" s="14">
        <f>0.011*750*20/1000</f>
        <v>0.16500000000000001</v>
      </c>
      <c r="M12" s="64" t="s">
        <v>3</v>
      </c>
      <c r="N12" s="14">
        <f>0.0018*750*20</f>
        <v>26.999999999999996</v>
      </c>
      <c r="O12" s="7">
        <f>0.00047*750*20</f>
        <v>7.05</v>
      </c>
      <c r="P12" s="7">
        <f>0.00065*750*20</f>
        <v>9.75</v>
      </c>
      <c r="Q12" s="1">
        <f>(0.65+37+0.84)/1000</f>
        <v>3.8490000000000003E-2</v>
      </c>
      <c r="R12" s="14">
        <f>0.00024*750*20</f>
        <v>3.5999999999999996</v>
      </c>
      <c r="S12" s="14">
        <f>0.0042*750*20</f>
        <v>63</v>
      </c>
      <c r="T12" s="14">
        <f>2.3*10^-3*750*20</f>
        <v>34.5</v>
      </c>
      <c r="U12" s="1" t="s">
        <v>424</v>
      </c>
    </row>
    <row r="13" spans="1:21" x14ac:dyDescent="0.25">
      <c r="A13" s="1" t="s">
        <v>44</v>
      </c>
      <c r="B13" s="1">
        <v>2019</v>
      </c>
      <c r="C13" s="1" t="s">
        <v>46</v>
      </c>
      <c r="D13" s="1" t="s">
        <v>3</v>
      </c>
      <c r="E13" s="1" t="s">
        <v>20</v>
      </c>
      <c r="F13" s="1" t="s">
        <v>3</v>
      </c>
      <c r="G13" s="14">
        <f>1.25*750*20/1000</f>
        <v>18.75</v>
      </c>
      <c r="H13" s="7" t="s">
        <v>3</v>
      </c>
      <c r="I13" s="14">
        <f>0.00102*750*20</f>
        <v>15.3</v>
      </c>
      <c r="J13" s="14">
        <f>0.00545*41.87*750*20</f>
        <v>3422.8724999999995</v>
      </c>
      <c r="K13" s="7">
        <f>0.239*750*20/1000</f>
        <v>3.585</v>
      </c>
      <c r="L13" s="14">
        <f>0.0878*750*20/1000</f>
        <v>1.3170000000000002</v>
      </c>
      <c r="M13" s="64" t="s">
        <v>3</v>
      </c>
      <c r="N13" s="14">
        <f>0.0389 * 750*20</f>
        <v>583.5</v>
      </c>
      <c r="O13" s="1" t="s">
        <v>3</v>
      </c>
      <c r="P13" s="14">
        <f>0.00642*750*20</f>
        <v>96.300000000000011</v>
      </c>
      <c r="Q13" s="1">
        <f>0.855</f>
        <v>0.85499999999999998</v>
      </c>
      <c r="R13" s="14">
        <f>0.00161*750*20</f>
        <v>24.15</v>
      </c>
      <c r="S13" s="14">
        <f>0.00656*750*20</f>
        <v>98.4</v>
      </c>
      <c r="T13" s="14">
        <f>0.0128*750*20</f>
        <v>192</v>
      </c>
      <c r="U13" s="1" t="s">
        <v>426</v>
      </c>
    </row>
    <row r="14" spans="1:21" x14ac:dyDescent="0.25">
      <c r="A14" s="1" t="s">
        <v>44</v>
      </c>
      <c r="B14" s="1">
        <v>2019</v>
      </c>
      <c r="C14" s="1" t="s">
        <v>47</v>
      </c>
      <c r="D14" s="1" t="s">
        <v>3</v>
      </c>
      <c r="E14" s="1" t="s">
        <v>20</v>
      </c>
      <c r="F14" s="1" t="s">
        <v>3</v>
      </c>
      <c r="G14" s="14">
        <f>1.52*750*20/1000</f>
        <v>22.8</v>
      </c>
      <c r="H14" s="7" t="s">
        <v>3</v>
      </c>
      <c r="I14" s="14">
        <f>0.00103*750*20</f>
        <v>15.450000000000001</v>
      </c>
      <c r="J14" s="14">
        <f>0.00538*41.87*750*20</f>
        <v>3378.9089999999997</v>
      </c>
      <c r="K14" s="7">
        <f>0.233*750*20/1000</f>
        <v>3.4950000000000001</v>
      </c>
      <c r="L14" s="14">
        <f>0.0861*750*20/1000</f>
        <v>1.2915000000000001</v>
      </c>
      <c r="M14" s="7" t="s">
        <v>3</v>
      </c>
      <c r="N14" s="14">
        <f>0.0416 * 750*20</f>
        <v>624</v>
      </c>
      <c r="O14" s="1" t="s">
        <v>3</v>
      </c>
      <c r="P14" s="14">
        <f>0.00694*750*20</f>
        <v>104.1</v>
      </c>
      <c r="Q14" s="1">
        <f>0.931</f>
        <v>0.93100000000000005</v>
      </c>
      <c r="R14" s="14">
        <f>0.00188*750*20</f>
        <v>28.2</v>
      </c>
      <c r="S14" s="14">
        <f>0.00653*750*20</f>
        <v>97.95</v>
      </c>
      <c r="T14" s="14">
        <f>0.0136*750*20</f>
        <v>204</v>
      </c>
      <c r="U14" s="1" t="s">
        <v>425</v>
      </c>
    </row>
    <row r="15" spans="1:21" x14ac:dyDescent="0.25">
      <c r="F15" s="14"/>
      <c r="G15" s="14"/>
      <c r="H15" s="14"/>
      <c r="I15" s="14"/>
      <c r="J15" s="14"/>
      <c r="K15" s="14"/>
      <c r="L15" s="14"/>
      <c r="M15" s="14"/>
      <c r="N15" s="14"/>
      <c r="O15" s="14"/>
      <c r="P15" s="14"/>
      <c r="Q15" s="14"/>
      <c r="R15" s="14"/>
      <c r="S15" s="14"/>
      <c r="T15" s="14"/>
    </row>
    <row r="16" spans="1:21" x14ac:dyDescent="0.25">
      <c r="F16" s="14"/>
      <c r="G16" s="14"/>
      <c r="H16" s="14"/>
      <c r="I16" s="14"/>
      <c r="J16" s="14"/>
      <c r="K16" s="14"/>
      <c r="L16" s="14"/>
      <c r="M16" s="14"/>
      <c r="N16" s="14"/>
      <c r="O16" s="14"/>
      <c r="P16" s="14"/>
      <c r="Q16" s="14"/>
      <c r="R16" s="14"/>
      <c r="S16" s="14"/>
      <c r="T16" s="14"/>
    </row>
    <row r="17" spans="6:20" x14ac:dyDescent="0.25">
      <c r="F17" s="14"/>
      <c r="G17" s="14"/>
      <c r="H17" s="14"/>
      <c r="I17" s="14"/>
      <c r="J17" s="14"/>
      <c r="K17" s="14"/>
      <c r="L17" s="14"/>
      <c r="M17" s="14"/>
      <c r="N17" s="14"/>
      <c r="O17" s="14"/>
      <c r="P17" s="14"/>
      <c r="Q17" s="14"/>
      <c r="R17" s="14"/>
      <c r="S17" s="14"/>
      <c r="T17" s="1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02D20-975E-4676-8A67-41E7421862FE}">
  <sheetPr>
    <tabColor rgb="FFED7777"/>
  </sheetPr>
  <dimension ref="A1:O24"/>
  <sheetViews>
    <sheetView zoomScaleNormal="100" workbookViewId="0">
      <pane xSplit="5" ySplit="1" topLeftCell="F2" activePane="bottomRight" state="frozen"/>
      <selection pane="topRight" activeCell="H1" sqref="H1"/>
      <selection pane="bottomLeft" activeCell="A2" sqref="A2"/>
      <selection pane="bottomRight" activeCell="F16" sqref="F16"/>
    </sheetView>
  </sheetViews>
  <sheetFormatPr defaultRowHeight="15" x14ac:dyDescent="0.25"/>
  <cols>
    <col min="1" max="1" width="18" bestFit="1" customWidth="1"/>
    <col min="2" max="2" width="11.28515625" bestFit="1" customWidth="1"/>
    <col min="3" max="3" width="11" bestFit="1" customWidth="1"/>
    <col min="4" max="4" width="8.140625" bestFit="1" customWidth="1"/>
    <col min="5" max="5" width="9.42578125" bestFit="1" customWidth="1"/>
    <col min="6" max="6" width="32.140625" bestFit="1" customWidth="1"/>
    <col min="7" max="7" width="16.7109375" bestFit="1" customWidth="1"/>
    <col min="8" max="8" width="18.42578125" bestFit="1" customWidth="1"/>
    <col min="9" max="9" width="16.7109375" bestFit="1" customWidth="1"/>
    <col min="10" max="10" width="18.7109375" style="1" bestFit="1" customWidth="1"/>
    <col min="11" max="11" width="16.140625" style="1" bestFit="1" customWidth="1"/>
    <col min="12" max="12" width="17" style="1" bestFit="1" customWidth="1"/>
    <col min="13" max="13" width="21.140625" style="1" bestFit="1" customWidth="1"/>
    <col min="14" max="14" width="19.5703125" style="1" bestFit="1" customWidth="1"/>
    <col min="15" max="15" width="208.7109375" style="1" bestFit="1" customWidth="1"/>
  </cols>
  <sheetData>
    <row r="1" spans="1:15" s="4" customFormat="1" x14ac:dyDescent="0.25">
      <c r="A1" s="3" t="s">
        <v>7</v>
      </c>
      <c r="B1" s="3" t="s">
        <v>4</v>
      </c>
      <c r="C1" s="3" t="s">
        <v>5</v>
      </c>
      <c r="D1" s="3" t="s">
        <v>322</v>
      </c>
      <c r="E1" s="3" t="s">
        <v>321</v>
      </c>
      <c r="F1" s="3" t="s">
        <v>387</v>
      </c>
      <c r="G1" s="3" t="s">
        <v>388</v>
      </c>
      <c r="H1" s="3" t="s">
        <v>390</v>
      </c>
      <c r="I1" s="3" t="s">
        <v>396</v>
      </c>
      <c r="J1" s="3" t="s">
        <v>401</v>
      </c>
      <c r="K1" s="60" t="s">
        <v>402</v>
      </c>
      <c r="L1" s="3" t="s">
        <v>406</v>
      </c>
      <c r="M1" s="61" t="s">
        <v>410</v>
      </c>
      <c r="N1" s="3" t="s">
        <v>421</v>
      </c>
      <c r="O1" s="4" t="s">
        <v>14</v>
      </c>
    </row>
    <row r="2" spans="1:15" x14ac:dyDescent="0.25">
      <c r="A2" s="1" t="s">
        <v>38</v>
      </c>
      <c r="B2" s="1">
        <v>2018</v>
      </c>
      <c r="C2" s="1" t="s">
        <v>39</v>
      </c>
      <c r="D2" s="1">
        <v>5.5</v>
      </c>
      <c r="E2" s="1">
        <f>ROUND(D2*1000*4186*(60-10)/3600000/100, 0)*100</f>
        <v>300</v>
      </c>
      <c r="F2" s="66">
        <f>1212.29831163358/E2</f>
        <v>4.0409943721119328</v>
      </c>
      <c r="G2" s="1" t="s">
        <v>3</v>
      </c>
      <c r="H2" s="6">
        <f>0.0232863305229204*10^3/E2</f>
        <v>7.7621101743067994E-2</v>
      </c>
      <c r="I2" s="7">
        <f>15951.1807207863/E2</f>
        <v>53.170602402621</v>
      </c>
      <c r="J2" s="6">
        <f>4.55880604836401/E2</f>
        <v>1.5196020161213368E-2</v>
      </c>
      <c r="K2" s="7">
        <f>0.666749947000295/E2*1000</f>
        <v>2.2224998233343167</v>
      </c>
      <c r="L2" s="1" t="s">
        <v>3</v>
      </c>
      <c r="M2" s="5">
        <f>1.76543105896678/E2</f>
        <v>5.884770196555934E-3</v>
      </c>
      <c r="N2" s="65">
        <f>0.0096/E2*10</f>
        <v>3.1999999999999997E-4</v>
      </c>
      <c r="O2" s="1" t="s">
        <v>433</v>
      </c>
    </row>
    <row r="3" spans="1:15" x14ac:dyDescent="0.25">
      <c r="A3" s="1" t="s">
        <v>38</v>
      </c>
      <c r="B3" s="1">
        <v>2018</v>
      </c>
      <c r="C3" s="1" t="s">
        <v>39</v>
      </c>
      <c r="D3" s="1">
        <v>15.7</v>
      </c>
      <c r="E3" s="1">
        <f>ROUND(D3*1000*4186*(60-10)/3600000/100, 0)*100</f>
        <v>900</v>
      </c>
      <c r="F3" s="66">
        <f>3321.42060879344/E3</f>
        <v>3.6904673431038222</v>
      </c>
      <c r="G3" s="1" t="s">
        <v>3</v>
      </c>
      <c r="H3" s="6">
        <f>0.0232863305229204*10^3/E3</f>
        <v>2.5873700581022663E-2</v>
      </c>
      <c r="I3" s="7">
        <f>44539.8134107379/E3</f>
        <v>49.488681567486559</v>
      </c>
      <c r="J3" s="6">
        <f>12.7302922743369/E3</f>
        <v>1.4144769193707668E-2</v>
      </c>
      <c r="K3" s="7">
        <f>1.93452703474048/E3*1000</f>
        <v>2.1494744830449779</v>
      </c>
      <c r="L3" s="1" t="s">
        <v>3</v>
      </c>
      <c r="M3" s="5">
        <f>4.87072163748106/E3</f>
        <v>5.4119129305345111E-3</v>
      </c>
      <c r="N3" s="65">
        <f>0.0033/E3*10</f>
        <v>3.6666666666666666E-5</v>
      </c>
      <c r="O3" s="1" t="s">
        <v>3</v>
      </c>
    </row>
    <row r="4" spans="1:15" x14ac:dyDescent="0.25">
      <c r="A4" s="1" t="s">
        <v>38</v>
      </c>
      <c r="B4" s="1">
        <v>2018</v>
      </c>
      <c r="C4" s="1" t="s">
        <v>39</v>
      </c>
      <c r="D4" s="1">
        <v>41</v>
      </c>
      <c r="E4" s="1">
        <f>ROUND(D4*1000*4186*(60-10)/3600000/100, 0)*100</f>
        <v>2400</v>
      </c>
      <c r="F4" s="66">
        <f>8271.41239287125/E4</f>
        <v>3.446421830363021</v>
      </c>
      <c r="G4" s="1" t="s">
        <v>3</v>
      </c>
      <c r="H4" s="6">
        <f>0.0232863305229204*10^3/E4</f>
        <v>9.7026377178834992E-3</v>
      </c>
      <c r="I4" s="7">
        <f>110739.220189866/E4</f>
        <v>46.141341745777503</v>
      </c>
      <c r="J4" s="6">
        <f>31.6757422959755/E4</f>
        <v>1.3198225956656458E-2</v>
      </c>
      <c r="K4" s="7">
        <f>4.79423584658277/E4*1000</f>
        <v>1.9975982694094876</v>
      </c>
      <c r="L4" s="1" t="s">
        <v>3</v>
      </c>
      <c r="M4" s="5">
        <f>12.1195189302644/E4</f>
        <v>5.0497995542768334E-3</v>
      </c>
      <c r="N4" s="65">
        <f>0.0081/E4*10</f>
        <v>3.375E-5</v>
      </c>
      <c r="O4" s="1" t="s">
        <v>3</v>
      </c>
    </row>
    <row r="5" spans="1:15" x14ac:dyDescent="0.25">
      <c r="A5" s="1" t="s">
        <v>38</v>
      </c>
      <c r="B5" s="1">
        <v>2018</v>
      </c>
      <c r="C5" s="1" t="s">
        <v>39</v>
      </c>
      <c r="D5" s="1">
        <v>58.5</v>
      </c>
      <c r="E5" s="1">
        <f>ROUND(D5*1000*4186*(60-10)/3600000/100, 0)*100</f>
        <v>3400</v>
      </c>
      <c r="F5" s="66">
        <f>11016.2641956393/E5</f>
        <v>3.2400777045997939</v>
      </c>
      <c r="G5" s="1" t="s">
        <v>3</v>
      </c>
      <c r="H5" s="6">
        <f>0.0232863305229204*10^3/E5</f>
        <v>6.8489207420354111E-3</v>
      </c>
      <c r="I5" s="7">
        <f>147512.339401615/E5</f>
        <v>43.385982176945589</v>
      </c>
      <c r="J5" s="6">
        <f>42.189763438337/E5</f>
        <v>1.240875395245206E-2</v>
      </c>
      <c r="K5" s="7">
        <f>6.38840013212377/E5*1000</f>
        <v>1.8789412153305205</v>
      </c>
      <c r="L5" s="1" t="s">
        <v>3</v>
      </c>
      <c r="M5" s="5">
        <f>16.1209420935548/E5</f>
        <v>4.7414535569278819E-3</v>
      </c>
      <c r="N5" s="65">
        <f>0.011/E5*10</f>
        <v>3.2352941176470585E-5</v>
      </c>
      <c r="O5" s="1" t="s">
        <v>3</v>
      </c>
    </row>
    <row r="6" spans="1:15" x14ac:dyDescent="0.25">
      <c r="A6" s="1" t="s">
        <v>49</v>
      </c>
      <c r="B6" s="1">
        <v>2021</v>
      </c>
      <c r="C6" s="1" t="s">
        <v>3</v>
      </c>
      <c r="D6" s="1">
        <v>11.2</v>
      </c>
      <c r="E6" s="1">
        <v>1000</v>
      </c>
      <c r="F6" s="10" t="s">
        <v>3</v>
      </c>
      <c r="G6" s="1">
        <v>0</v>
      </c>
      <c r="H6" s="1" t="s">
        <v>3</v>
      </c>
      <c r="I6" s="7" t="s">
        <v>3</v>
      </c>
      <c r="J6" s="6">
        <f>0.02</f>
        <v>0.02</v>
      </c>
      <c r="K6" s="6">
        <f>0.000039*1000</f>
        <v>3.9E-2</v>
      </c>
      <c r="L6" s="7">
        <f>0.000331*1000</f>
        <v>0.33100000000000002</v>
      </c>
      <c r="M6" s="1" t="s">
        <v>3</v>
      </c>
      <c r="N6" s="1" t="s">
        <v>3</v>
      </c>
      <c r="O6" s="1" t="s">
        <v>3</v>
      </c>
    </row>
    <row r="7" spans="1:15" x14ac:dyDescent="0.25">
      <c r="A7" s="1"/>
      <c r="B7" s="1"/>
      <c r="C7" s="1"/>
      <c r="D7" s="1"/>
      <c r="E7" s="1"/>
      <c r="F7" s="8"/>
    </row>
    <row r="8" spans="1:15" x14ac:dyDescent="0.25">
      <c r="A8" s="1"/>
      <c r="B8" s="1"/>
      <c r="C8" s="1"/>
      <c r="D8" s="1"/>
      <c r="E8" s="1"/>
      <c r="F8" s="14"/>
      <c r="G8" s="14"/>
      <c r="H8" s="14"/>
      <c r="I8" s="14"/>
      <c r="J8" s="14"/>
      <c r="K8" s="14"/>
      <c r="L8" s="14"/>
      <c r="M8" s="14"/>
      <c r="N8" s="14"/>
    </row>
    <row r="9" spans="1:15" x14ac:dyDescent="0.25">
      <c r="A9" s="1"/>
      <c r="B9" s="1"/>
      <c r="C9" s="1"/>
      <c r="D9" s="1"/>
      <c r="E9" s="1"/>
      <c r="F9" s="14"/>
      <c r="G9" s="14"/>
      <c r="H9" s="14"/>
      <c r="I9" s="14"/>
      <c r="J9" s="14"/>
      <c r="K9" s="14"/>
      <c r="L9" s="14"/>
      <c r="M9" s="14"/>
      <c r="N9" s="14"/>
    </row>
    <row r="10" spans="1:15" x14ac:dyDescent="0.25">
      <c r="A10" s="1"/>
      <c r="B10" s="1"/>
      <c r="C10" s="1"/>
      <c r="D10" s="1"/>
      <c r="E10" s="1"/>
      <c r="F10" s="14"/>
      <c r="G10" s="14"/>
      <c r="H10" s="14"/>
      <c r="I10" s="14"/>
      <c r="J10" s="14"/>
      <c r="K10" s="14"/>
      <c r="L10" s="14"/>
      <c r="M10" s="14"/>
      <c r="N10" s="14"/>
    </row>
    <row r="12" spans="1:15" ht="15.75" x14ac:dyDescent="0.25">
      <c r="D12" s="11"/>
    </row>
    <row r="13" spans="1:15" ht="15.75" x14ac:dyDescent="0.25">
      <c r="D13" s="11"/>
    </row>
    <row r="14" spans="1:15" ht="15.75" x14ac:dyDescent="0.25">
      <c r="D14" s="12"/>
    </row>
    <row r="19" spans="14:15" x14ac:dyDescent="0.25">
      <c r="N19" s="67"/>
      <c r="O19" s="67"/>
    </row>
    <row r="20" spans="14:15" x14ac:dyDescent="0.25">
      <c r="N20" s="67"/>
      <c r="O20" s="67"/>
    </row>
    <row r="21" spans="14:15" x14ac:dyDescent="0.25">
      <c r="N21" s="67"/>
      <c r="O21" s="67"/>
    </row>
    <row r="22" spans="14:15" x14ac:dyDescent="0.25">
      <c r="N22" s="67"/>
      <c r="O22" s="67"/>
    </row>
    <row r="23" spans="14:15" x14ac:dyDescent="0.25">
      <c r="N23" s="67"/>
      <c r="O23" s="67"/>
    </row>
    <row r="24" spans="14:15" x14ac:dyDescent="0.25">
      <c r="N24" s="17"/>
      <c r="O24" s="17"/>
    </row>
  </sheetData>
  <phoneticPr fontId="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9DC5F-3B21-4AEF-90F3-DCBF51303E34}">
  <sheetPr>
    <tabColor rgb="FFA2D5F4"/>
  </sheetPr>
  <dimension ref="A1:Y13"/>
  <sheetViews>
    <sheetView zoomScaleNormal="100" workbookViewId="0">
      <pane xSplit="4" ySplit="1" topLeftCell="E2" activePane="bottomRight" state="frozen"/>
      <selection pane="topRight" activeCell="G1" sqref="G1"/>
      <selection pane="bottomLeft" activeCell="A2" sqref="A2"/>
      <selection pane="bottomRight" activeCell="S17" sqref="S17"/>
    </sheetView>
  </sheetViews>
  <sheetFormatPr defaultColWidth="9.140625" defaultRowHeight="15" x14ac:dyDescent="0.25"/>
  <cols>
    <col min="1" max="1" width="18" style="1" bestFit="1" customWidth="1"/>
    <col min="2" max="2" width="11.28515625" style="1" bestFit="1" customWidth="1"/>
    <col min="3" max="3" width="11" style="1" bestFit="1" customWidth="1"/>
    <col min="4" max="4" width="10" style="1" bestFit="1" customWidth="1"/>
    <col min="5" max="5" width="31" style="1" bestFit="1" customWidth="1"/>
    <col min="6" max="6" width="30.140625" style="1" bestFit="1" customWidth="1"/>
    <col min="7" max="7" width="15.5703125" style="1" bestFit="1" customWidth="1"/>
    <col min="8" max="8" width="17.85546875" style="1" bestFit="1" customWidth="1"/>
    <col min="9" max="9" width="17.28515625" style="1" bestFit="1" customWidth="1"/>
    <col min="10" max="10" width="18.5703125" style="1" bestFit="1" customWidth="1"/>
    <col min="11" max="11" width="15.5703125" style="1" bestFit="1" customWidth="1"/>
    <col min="12" max="12" width="15.42578125" style="1" bestFit="1" customWidth="1"/>
    <col min="13" max="13" width="20.7109375" style="1" bestFit="1" customWidth="1"/>
    <col min="14" max="14" width="17.85546875" style="1" bestFit="1" customWidth="1"/>
    <col min="15" max="15" width="17.5703125" style="1" bestFit="1" customWidth="1"/>
    <col min="16" max="16" width="15" style="1" bestFit="1" customWidth="1"/>
    <col min="17" max="17" width="15.85546875" style="1" bestFit="1" customWidth="1"/>
    <col min="18" max="18" width="20" style="1" bestFit="1" customWidth="1"/>
    <col min="19" max="19" width="20.5703125" style="1" bestFit="1" customWidth="1"/>
    <col min="20" max="20" width="20" style="1" bestFit="1" customWidth="1"/>
    <col min="21" max="21" width="20.5703125" style="1" bestFit="1" customWidth="1"/>
    <col min="22" max="22" width="20.28515625" style="1" bestFit="1" customWidth="1"/>
    <col min="23" max="23" width="21.5703125" style="1" bestFit="1" customWidth="1"/>
    <col min="24" max="24" width="18.42578125" style="1" bestFit="1" customWidth="1"/>
    <col min="25" max="25" width="79.42578125" style="1" bestFit="1" customWidth="1"/>
    <col min="26" max="16384" width="9.140625" style="1"/>
  </cols>
  <sheetData>
    <row r="1" spans="1:25" s="4" customFormat="1" x14ac:dyDescent="0.25">
      <c r="A1" s="3" t="s">
        <v>7</v>
      </c>
      <c r="B1" s="3" t="s">
        <v>4</v>
      </c>
      <c r="C1" s="3" t="s">
        <v>5</v>
      </c>
      <c r="D1" s="3" t="s">
        <v>324</v>
      </c>
      <c r="E1" s="3" t="s">
        <v>345</v>
      </c>
      <c r="F1" s="3" t="s">
        <v>346</v>
      </c>
      <c r="G1" s="3" t="s">
        <v>347</v>
      </c>
      <c r="H1" s="3" t="s">
        <v>435</v>
      </c>
      <c r="I1" s="3" t="s">
        <v>348</v>
      </c>
      <c r="J1" s="3" t="s">
        <v>367</v>
      </c>
      <c r="K1" s="3" t="s">
        <v>349</v>
      </c>
      <c r="L1" s="3" t="s">
        <v>350</v>
      </c>
      <c r="M1" s="3" t="s">
        <v>352</v>
      </c>
      <c r="N1" s="3" t="s">
        <v>353</v>
      </c>
      <c r="O1" s="3" t="s">
        <v>354</v>
      </c>
      <c r="P1" s="60" t="s">
        <v>355</v>
      </c>
      <c r="Q1" s="3" t="s">
        <v>356</v>
      </c>
      <c r="R1" s="61" t="s">
        <v>429</v>
      </c>
      <c r="S1" s="61" t="s">
        <v>437</v>
      </c>
      <c r="T1" s="61" t="s">
        <v>440</v>
      </c>
      <c r="U1" s="3" t="s">
        <v>431</v>
      </c>
      <c r="V1" s="3" t="s">
        <v>359</v>
      </c>
      <c r="W1" s="3" t="s">
        <v>441</v>
      </c>
      <c r="X1" s="3" t="s">
        <v>360</v>
      </c>
      <c r="Y1" s="4" t="s">
        <v>14</v>
      </c>
    </row>
    <row r="2" spans="1:25" x14ac:dyDescent="0.25">
      <c r="A2" s="1" t="s">
        <v>79</v>
      </c>
      <c r="B2" s="1">
        <v>2024</v>
      </c>
      <c r="C2" s="1" t="s">
        <v>87</v>
      </c>
      <c r="D2" s="1">
        <v>1</v>
      </c>
      <c r="E2" s="14">
        <v>96.58</v>
      </c>
      <c r="F2" s="1" t="s">
        <v>3</v>
      </c>
      <c r="G2" s="14">
        <v>3.9137499999999998</v>
      </c>
      <c r="H2" s="6" t="s">
        <v>3</v>
      </c>
      <c r="I2" s="1" t="s">
        <v>3</v>
      </c>
      <c r="J2" s="14">
        <v>6.2494699999999996</v>
      </c>
      <c r="K2" s="14">
        <f>22.9546*41.87</f>
        <v>961.10910199999989</v>
      </c>
      <c r="L2" s="7">
        <v>0.47144000000000003</v>
      </c>
      <c r="M2" s="7">
        <v>0.77</v>
      </c>
      <c r="N2" s="1" t="s">
        <v>3</v>
      </c>
      <c r="O2" s="7">
        <v>2.8100800000000001</v>
      </c>
      <c r="P2" s="14">
        <v>71.11</v>
      </c>
      <c r="Q2" s="14">
        <v>3.22</v>
      </c>
      <c r="R2" s="14">
        <v>35.131999999999998</v>
      </c>
      <c r="S2" s="14">
        <v>44.829900000000002</v>
      </c>
      <c r="T2" s="14">
        <v>129.52199999999999</v>
      </c>
      <c r="U2" s="7">
        <v>3.8380000000000001</v>
      </c>
      <c r="V2" s="14">
        <v>10.8858</v>
      </c>
      <c r="W2" s="14">
        <v>1109.94</v>
      </c>
      <c r="X2" s="1">
        <v>310</v>
      </c>
      <c r="Y2" s="1" t="s">
        <v>3</v>
      </c>
    </row>
    <row r="3" spans="1:25" x14ac:dyDescent="0.25">
      <c r="A3" s="1" t="s">
        <v>84</v>
      </c>
      <c r="B3" s="1">
        <v>2023</v>
      </c>
      <c r="C3" s="1" t="s">
        <v>88</v>
      </c>
      <c r="D3" s="1">
        <v>48</v>
      </c>
      <c r="E3" s="14">
        <f>1160/D3</f>
        <v>24.166666666666668</v>
      </c>
      <c r="F3" s="1" t="s">
        <v>3</v>
      </c>
      <c r="G3" s="14" t="s">
        <v>3</v>
      </c>
      <c r="H3" s="1" t="s">
        <v>3</v>
      </c>
      <c r="I3" s="1" t="s">
        <v>3</v>
      </c>
      <c r="J3" s="9" t="s">
        <v>3</v>
      </c>
      <c r="K3" s="1" t="s">
        <v>3</v>
      </c>
      <c r="L3" s="1" t="s">
        <v>3</v>
      </c>
      <c r="M3" s="1" t="s">
        <v>3</v>
      </c>
      <c r="N3" s="7">
        <f>20.8/D3</f>
        <v>0.43333333333333335</v>
      </c>
      <c r="O3" s="7" t="s">
        <v>3</v>
      </c>
      <c r="P3" s="7" t="s">
        <v>3</v>
      </c>
      <c r="Q3" s="1">
        <f>1.44*1000/(D3)</f>
        <v>30</v>
      </c>
      <c r="R3" s="14" t="s">
        <v>3</v>
      </c>
      <c r="S3" s="14" t="s">
        <v>3</v>
      </c>
      <c r="T3" s="14" t="s">
        <v>3</v>
      </c>
      <c r="U3" s="7" t="s">
        <v>3</v>
      </c>
      <c r="V3" s="14" t="s">
        <v>3</v>
      </c>
      <c r="W3" s="14" t="s">
        <v>3</v>
      </c>
      <c r="X3" s="1" t="s">
        <v>3</v>
      </c>
      <c r="Y3" s="1" t="s">
        <v>3</v>
      </c>
    </row>
    <row r="4" spans="1:25" x14ac:dyDescent="0.25">
      <c r="A4" s="1" t="s">
        <v>85</v>
      </c>
      <c r="B4" s="1">
        <v>2019</v>
      </c>
      <c r="C4" s="1" t="s">
        <v>87</v>
      </c>
      <c r="D4" s="1">
        <v>1</v>
      </c>
      <c r="E4" s="14">
        <v>112</v>
      </c>
      <c r="F4" s="1" t="s">
        <v>438</v>
      </c>
      <c r="G4" s="14">
        <f>H4/8*1000</f>
        <v>2.8375000000000004</v>
      </c>
      <c r="H4" s="6">
        <v>2.2700000000000001E-2</v>
      </c>
      <c r="I4" s="7">
        <f>0.00189*1000</f>
        <v>1.89</v>
      </c>
      <c r="J4" s="1" t="s">
        <v>3</v>
      </c>
      <c r="K4" s="1">
        <v>828</v>
      </c>
      <c r="L4" s="14">
        <v>21.6</v>
      </c>
      <c r="M4" s="1" t="s">
        <v>3</v>
      </c>
      <c r="N4" s="1" t="s">
        <v>3</v>
      </c>
      <c r="O4" s="7">
        <v>2.0699999999999998</v>
      </c>
      <c r="P4" s="14">
        <v>227</v>
      </c>
      <c r="Q4" s="1" t="s">
        <v>3</v>
      </c>
      <c r="R4" s="14">
        <v>85.5</v>
      </c>
      <c r="S4" s="14" t="s">
        <v>3</v>
      </c>
      <c r="T4" s="14">
        <v>3.46</v>
      </c>
      <c r="U4" s="7" t="s">
        <v>3</v>
      </c>
      <c r="V4" s="14" t="s">
        <v>3</v>
      </c>
      <c r="W4" s="14">
        <v>228</v>
      </c>
      <c r="X4" s="7">
        <v>0.95699999999999996</v>
      </c>
      <c r="Y4" s="1" t="s">
        <v>436</v>
      </c>
    </row>
    <row r="5" spans="1:25" x14ac:dyDescent="0.25">
      <c r="A5" s="1" t="s">
        <v>85</v>
      </c>
      <c r="B5" s="1">
        <v>2019</v>
      </c>
      <c r="C5" s="1" t="s">
        <v>88</v>
      </c>
      <c r="D5" s="1">
        <v>1</v>
      </c>
      <c r="E5" s="14">
        <v>87.9</v>
      </c>
      <c r="F5" s="1" t="s">
        <v>3</v>
      </c>
      <c r="G5" s="14" t="s">
        <v>3</v>
      </c>
      <c r="H5" s="1" t="s">
        <v>3</v>
      </c>
      <c r="I5" s="7">
        <f>0.00174*1000</f>
        <v>1.74</v>
      </c>
      <c r="J5" s="1" t="s">
        <v>3</v>
      </c>
      <c r="K5" s="1">
        <v>489</v>
      </c>
      <c r="L5" s="14" t="s">
        <v>3</v>
      </c>
      <c r="M5" s="1" t="s">
        <v>3</v>
      </c>
      <c r="N5" s="1" t="s">
        <v>3</v>
      </c>
      <c r="O5" s="7">
        <f>1.98</f>
        <v>1.98</v>
      </c>
      <c r="P5" s="14">
        <v>212</v>
      </c>
      <c r="Q5" s="1" t="s">
        <v>3</v>
      </c>
      <c r="R5" s="14">
        <v>69.099999999999994</v>
      </c>
      <c r="S5" s="14" t="s">
        <v>3</v>
      </c>
      <c r="T5" s="7">
        <v>0.40400000000000003</v>
      </c>
      <c r="U5" s="7" t="s">
        <v>3</v>
      </c>
      <c r="V5" s="14" t="s">
        <v>3</v>
      </c>
      <c r="W5" s="14">
        <v>110</v>
      </c>
      <c r="X5" s="7">
        <v>0.7</v>
      </c>
      <c r="Y5" s="1" t="s">
        <v>3</v>
      </c>
    </row>
    <row r="6" spans="1:25" x14ac:dyDescent="0.25">
      <c r="A6" s="1" t="s">
        <v>91</v>
      </c>
      <c r="B6" s="1">
        <v>2001</v>
      </c>
      <c r="C6" s="1" t="s">
        <v>88</v>
      </c>
      <c r="D6" s="1">
        <v>275</v>
      </c>
      <c r="E6" s="14">
        <v>293</v>
      </c>
      <c r="F6" s="1" t="s">
        <v>3</v>
      </c>
      <c r="G6" s="14" t="s">
        <v>3</v>
      </c>
      <c r="H6" s="1" t="s">
        <v>3</v>
      </c>
      <c r="I6" s="7" t="s">
        <v>3</v>
      </c>
      <c r="J6" s="1" t="s">
        <v>3</v>
      </c>
      <c r="K6" s="1" t="s">
        <v>3</v>
      </c>
      <c r="L6" s="14" t="s">
        <v>3</v>
      </c>
      <c r="M6" s="1" t="s">
        <v>3</v>
      </c>
      <c r="N6" s="1" t="s">
        <v>3</v>
      </c>
      <c r="O6" s="7">
        <v>1.25</v>
      </c>
      <c r="P6" s="1" t="s">
        <v>3</v>
      </c>
      <c r="Q6" s="1" t="s">
        <v>3</v>
      </c>
      <c r="R6" s="14" t="s">
        <v>3</v>
      </c>
      <c r="S6" s="14" t="s">
        <v>3</v>
      </c>
      <c r="T6" s="14" t="s">
        <v>3</v>
      </c>
      <c r="U6" s="7" t="s">
        <v>3</v>
      </c>
      <c r="V6" s="14" t="s">
        <v>3</v>
      </c>
      <c r="W6" s="14" t="s">
        <v>3</v>
      </c>
      <c r="X6" s="2" t="s">
        <v>3</v>
      </c>
      <c r="Y6" s="1" t="s">
        <v>89</v>
      </c>
    </row>
    <row r="7" spans="1:25" x14ac:dyDescent="0.25">
      <c r="A7" s="1" t="s">
        <v>91</v>
      </c>
      <c r="B7" s="1">
        <v>2001</v>
      </c>
      <c r="C7" s="1" t="s">
        <v>88</v>
      </c>
      <c r="D7" s="1">
        <v>275</v>
      </c>
      <c r="E7" s="14">
        <v>86</v>
      </c>
      <c r="F7" s="1" t="s">
        <v>3</v>
      </c>
      <c r="G7" s="14" t="s">
        <v>3</v>
      </c>
      <c r="H7" s="1" t="s">
        <v>3</v>
      </c>
      <c r="I7" s="7" t="s">
        <v>3</v>
      </c>
      <c r="J7" s="1" t="s">
        <v>3</v>
      </c>
      <c r="K7" s="1" t="s">
        <v>3</v>
      </c>
      <c r="L7" s="14" t="s">
        <v>3</v>
      </c>
      <c r="M7" s="1" t="s">
        <v>3</v>
      </c>
      <c r="N7" s="1" t="s">
        <v>3</v>
      </c>
      <c r="O7" s="7">
        <v>0.27</v>
      </c>
      <c r="P7" s="1" t="s">
        <v>3</v>
      </c>
      <c r="Q7" s="1" t="s">
        <v>3</v>
      </c>
      <c r="R7" s="14" t="s">
        <v>3</v>
      </c>
      <c r="S7" s="14" t="s">
        <v>3</v>
      </c>
      <c r="T7" s="14" t="s">
        <v>3</v>
      </c>
      <c r="U7" s="7" t="s">
        <v>3</v>
      </c>
      <c r="V7" s="14" t="s">
        <v>3</v>
      </c>
      <c r="W7" s="14" t="s">
        <v>3</v>
      </c>
      <c r="X7" s="1" t="s">
        <v>3</v>
      </c>
      <c r="Y7" s="1" t="s">
        <v>90</v>
      </c>
    </row>
    <row r="8" spans="1:25" x14ac:dyDescent="0.25">
      <c r="A8" s="1" t="s">
        <v>94</v>
      </c>
      <c r="B8" s="1">
        <v>2024</v>
      </c>
      <c r="C8" s="1" t="s">
        <v>87</v>
      </c>
      <c r="D8" s="1">
        <v>1</v>
      </c>
      <c r="E8" s="14">
        <f>(3.53+3.24+4.46)*10</f>
        <v>112.30000000000001</v>
      </c>
      <c r="F8" s="1" t="s">
        <v>3</v>
      </c>
      <c r="G8" s="14">
        <f>(0.382+0.339+0.303)*10</f>
        <v>10.24</v>
      </c>
      <c r="H8" s="1" t="s">
        <v>3</v>
      </c>
      <c r="I8" s="7">
        <f>(29.4+89.7+22.4+14.6)*10/1000</f>
        <v>1.5609999999999999</v>
      </c>
      <c r="J8" s="1" t="s">
        <v>3</v>
      </c>
      <c r="K8" s="1">
        <v>1800</v>
      </c>
      <c r="L8" s="14">
        <f>(195+101+126+202)*10/1000</f>
        <v>6.24</v>
      </c>
      <c r="M8" s="1" t="s">
        <v>3</v>
      </c>
      <c r="N8" s="7">
        <f>(33+21.5+13.6)*10/1000</f>
        <v>0.68100000000000005</v>
      </c>
      <c r="O8" s="7" t="s">
        <v>3</v>
      </c>
      <c r="P8" s="1" t="s">
        <v>3</v>
      </c>
      <c r="Q8" s="1" t="s">
        <v>3</v>
      </c>
      <c r="R8" s="14">
        <f>(23.2+21.1+37.2+16.8)</f>
        <v>98.3</v>
      </c>
      <c r="S8" s="14">
        <f>(3.31+2.74+3.31+2.4)*10</f>
        <v>117.60000000000002</v>
      </c>
      <c r="T8" s="14" t="s">
        <v>3</v>
      </c>
      <c r="U8" s="7">
        <f>(71.8+136+51.2+173)*10/1000</f>
        <v>4.32</v>
      </c>
      <c r="V8" s="14">
        <f>(179+98.8+250+87.5)*10/1000</f>
        <v>6.1529999999999996</v>
      </c>
      <c r="W8" s="14">
        <f>(53.5+44.4+63+38.5)*10</f>
        <v>1994</v>
      </c>
      <c r="X8" s="1" t="s">
        <v>3</v>
      </c>
      <c r="Y8" s="1" t="s">
        <v>3</v>
      </c>
    </row>
    <row r="9" spans="1:25" x14ac:dyDescent="0.25">
      <c r="A9" s="1" t="s">
        <v>105</v>
      </c>
      <c r="B9" s="1">
        <v>2015</v>
      </c>
      <c r="C9" s="1" t="s">
        <v>87</v>
      </c>
      <c r="D9" s="1" t="s">
        <v>3</v>
      </c>
      <c r="E9" s="14">
        <v>1160</v>
      </c>
      <c r="F9" s="7">
        <v>0.218</v>
      </c>
      <c r="G9" s="14" t="s">
        <v>3</v>
      </c>
      <c r="H9" s="1" t="s">
        <v>3</v>
      </c>
      <c r="I9" s="1" t="s">
        <v>3</v>
      </c>
      <c r="J9" s="1" t="s">
        <v>3</v>
      </c>
      <c r="K9" s="1" t="s">
        <v>3</v>
      </c>
      <c r="L9" s="1" t="s">
        <v>3</v>
      </c>
      <c r="M9" s="1" t="s">
        <v>3</v>
      </c>
      <c r="N9" s="1" t="s">
        <v>3</v>
      </c>
      <c r="O9" s="1" t="s">
        <v>3</v>
      </c>
      <c r="P9" s="1" t="s">
        <v>3</v>
      </c>
      <c r="Q9" s="1" t="s">
        <v>3</v>
      </c>
      <c r="R9" s="14" t="s">
        <v>3</v>
      </c>
      <c r="S9" s="14" t="s">
        <v>3</v>
      </c>
      <c r="T9" s="14" t="s">
        <v>3</v>
      </c>
      <c r="U9" s="7" t="s">
        <v>3</v>
      </c>
      <c r="V9" s="14" t="s">
        <v>3</v>
      </c>
      <c r="W9" s="14" t="s">
        <v>3</v>
      </c>
      <c r="X9" s="1" t="s">
        <v>3</v>
      </c>
      <c r="Y9" s="1" t="s">
        <v>3</v>
      </c>
    </row>
    <row r="10" spans="1:25" x14ac:dyDescent="0.25">
      <c r="S10" s="5"/>
    </row>
    <row r="11" spans="1:25" x14ac:dyDescent="0.25">
      <c r="E11" s="14"/>
      <c r="F11" s="14"/>
      <c r="G11" s="14"/>
      <c r="H11" s="14"/>
      <c r="I11" s="14"/>
      <c r="J11" s="14"/>
      <c r="K11" s="14"/>
      <c r="L11" s="14"/>
      <c r="M11" s="14"/>
      <c r="N11" s="14"/>
      <c r="O11" s="14"/>
      <c r="P11" s="14"/>
      <c r="Q11" s="14"/>
      <c r="R11" s="14"/>
      <c r="S11" s="14"/>
      <c r="T11" s="14"/>
      <c r="U11" s="14"/>
      <c r="V11" s="14"/>
      <c r="W11" s="14"/>
      <c r="X11" s="14"/>
    </row>
    <row r="12" spans="1:25" x14ac:dyDescent="0.25">
      <c r="E12" s="14"/>
      <c r="F12" s="14"/>
      <c r="G12" s="14"/>
      <c r="H12" s="14"/>
      <c r="I12" s="14"/>
      <c r="J12" s="14"/>
      <c r="K12" s="14"/>
      <c r="L12" s="14"/>
      <c r="M12" s="14"/>
      <c r="N12" s="14"/>
      <c r="O12" s="14"/>
      <c r="P12" s="14"/>
      <c r="Q12" s="14"/>
      <c r="R12" s="14"/>
      <c r="S12" s="14"/>
      <c r="T12" s="14"/>
      <c r="U12" s="14"/>
      <c r="V12" s="14"/>
      <c r="W12" s="14"/>
      <c r="X12" s="14"/>
    </row>
    <row r="13" spans="1:25" x14ac:dyDescent="0.25">
      <c r="E13" s="14"/>
      <c r="F13" s="14"/>
      <c r="G13" s="14"/>
      <c r="H13" s="14"/>
      <c r="I13" s="14"/>
      <c r="J13" s="14"/>
      <c r="K13" s="14"/>
      <c r="L13" s="14"/>
      <c r="M13" s="14"/>
      <c r="N13" s="14"/>
      <c r="O13" s="14"/>
      <c r="P13" s="14"/>
      <c r="Q13" s="14"/>
      <c r="R13" s="14"/>
      <c r="S13" s="14"/>
      <c r="T13" s="14"/>
      <c r="U13" s="14"/>
      <c r="V13" s="14"/>
      <c r="W13" s="14"/>
      <c r="X13" s="1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13B7D-8E33-4DB6-A1A1-FCE32E0049E4}">
  <sheetPr>
    <tabColor rgb="FFA2D5F4"/>
  </sheetPr>
  <dimension ref="A1:X23"/>
  <sheetViews>
    <sheetView zoomScaleNormal="100" workbookViewId="0">
      <pane xSplit="5" ySplit="1" topLeftCell="F2" activePane="bottomRight" state="frozen"/>
      <selection pane="topRight" activeCell="F1" sqref="F1"/>
      <selection pane="bottomLeft" activeCell="A2" sqref="A2"/>
      <selection pane="bottomRight" activeCell="F25" sqref="F25"/>
    </sheetView>
  </sheetViews>
  <sheetFormatPr defaultRowHeight="15" x14ac:dyDescent="0.25"/>
  <cols>
    <col min="1" max="1" width="18" style="1" bestFit="1" customWidth="1"/>
    <col min="2" max="2" width="11.28515625" style="1" bestFit="1" customWidth="1"/>
    <col min="3" max="3" width="11" style="1" bestFit="1" customWidth="1"/>
    <col min="4" max="4" width="10" style="1" bestFit="1" customWidth="1"/>
    <col min="5" max="5" width="22.5703125" style="1" bestFit="1" customWidth="1"/>
    <col min="6" max="6" width="31" style="1" bestFit="1" customWidth="1"/>
    <col min="7" max="7" width="30.140625" style="1" bestFit="1" customWidth="1"/>
    <col min="8" max="8" width="15.85546875" style="1" bestFit="1" customWidth="1"/>
    <col min="9" max="9" width="17.28515625" style="1" bestFit="1" customWidth="1"/>
    <col min="10" max="10" width="18.5703125" style="1" bestFit="1" customWidth="1"/>
    <col min="11" max="12" width="15.5703125" style="1" bestFit="1" customWidth="1"/>
    <col min="13" max="13" width="20.7109375" style="1" bestFit="1" customWidth="1"/>
    <col min="14" max="14" width="17.5703125" style="1" bestFit="1" customWidth="1"/>
    <col min="15" max="15" width="15" style="1" bestFit="1" customWidth="1"/>
    <col min="16" max="16" width="15.85546875" style="1" bestFit="1" customWidth="1"/>
    <col min="17" max="17" width="20" style="1" bestFit="1" customWidth="1"/>
    <col min="18" max="18" width="20.5703125" style="1" bestFit="1" customWidth="1"/>
    <col min="19" max="19" width="20" style="1" bestFit="1" customWidth="1"/>
    <col min="20" max="20" width="20.5703125" style="1" bestFit="1" customWidth="1"/>
    <col min="21" max="21" width="20.28515625" style="1" bestFit="1" customWidth="1"/>
    <col min="22" max="22" width="21.5703125" style="1" bestFit="1" customWidth="1"/>
    <col min="23" max="23" width="18.42578125" style="1" bestFit="1" customWidth="1"/>
    <col min="24" max="24" width="48.85546875" style="1" bestFit="1" customWidth="1"/>
  </cols>
  <sheetData>
    <row r="1" spans="1:24" s="4" customFormat="1" x14ac:dyDescent="0.25">
      <c r="A1" s="3" t="s">
        <v>7</v>
      </c>
      <c r="B1" s="3" t="s">
        <v>4</v>
      </c>
      <c r="C1" s="3" t="s">
        <v>5</v>
      </c>
      <c r="D1" s="3" t="s">
        <v>324</v>
      </c>
      <c r="E1" s="20" t="s">
        <v>236</v>
      </c>
      <c r="F1" s="3" t="s">
        <v>345</v>
      </c>
      <c r="G1" s="3" t="s">
        <v>346</v>
      </c>
      <c r="H1" s="3" t="s">
        <v>347</v>
      </c>
      <c r="I1" s="3" t="s">
        <v>348</v>
      </c>
      <c r="J1" s="3" t="s">
        <v>367</v>
      </c>
      <c r="K1" s="3" t="s">
        <v>349</v>
      </c>
      <c r="L1" s="3" t="s">
        <v>350</v>
      </c>
      <c r="M1" s="3" t="s">
        <v>352</v>
      </c>
      <c r="N1" s="3" t="s">
        <v>354</v>
      </c>
      <c r="O1" s="60" t="s">
        <v>355</v>
      </c>
      <c r="P1" s="3" t="s">
        <v>356</v>
      </c>
      <c r="Q1" s="61" t="s">
        <v>429</v>
      </c>
      <c r="R1" s="61" t="s">
        <v>437</v>
      </c>
      <c r="S1" s="61" t="s">
        <v>440</v>
      </c>
      <c r="T1" s="3" t="s">
        <v>431</v>
      </c>
      <c r="U1" s="3" t="s">
        <v>359</v>
      </c>
      <c r="V1" s="3" t="s">
        <v>441</v>
      </c>
      <c r="W1" s="3" t="s">
        <v>360</v>
      </c>
      <c r="X1" s="4" t="s">
        <v>14</v>
      </c>
    </row>
    <row r="2" spans="1:24" x14ac:dyDescent="0.25">
      <c r="A2" s="1" t="s">
        <v>95</v>
      </c>
      <c r="B2" s="1">
        <v>2017</v>
      </c>
      <c r="C2" s="1" t="s">
        <v>88</v>
      </c>
      <c r="D2" s="1">
        <v>250</v>
      </c>
      <c r="E2" s="1" t="s">
        <v>96</v>
      </c>
      <c r="F2" s="1">
        <v>185</v>
      </c>
      <c r="G2" s="1" t="s">
        <v>3</v>
      </c>
      <c r="H2" s="1" t="s">
        <v>3</v>
      </c>
      <c r="I2" s="1" t="s">
        <v>3</v>
      </c>
      <c r="J2" s="1" t="s">
        <v>3</v>
      </c>
      <c r="K2" s="14">
        <f>55*41.87</f>
        <v>2302.85</v>
      </c>
      <c r="L2" s="1" t="s">
        <v>3</v>
      </c>
      <c r="M2" s="7">
        <f>0.62</f>
        <v>0.62</v>
      </c>
      <c r="N2" s="7">
        <f>1.47</f>
        <v>1.47</v>
      </c>
      <c r="O2" s="1" t="s">
        <v>3</v>
      </c>
      <c r="P2" s="1" t="s">
        <v>3</v>
      </c>
      <c r="Q2" s="1" t="s">
        <v>3</v>
      </c>
      <c r="R2" s="1" t="s">
        <v>3</v>
      </c>
      <c r="S2" s="1" t="s">
        <v>3</v>
      </c>
      <c r="T2" s="1" t="s">
        <v>3</v>
      </c>
      <c r="U2" s="1" t="s">
        <v>3</v>
      </c>
      <c r="V2" s="1" t="s">
        <v>3</v>
      </c>
      <c r="W2" s="1" t="s">
        <v>3</v>
      </c>
      <c r="X2" s="1" t="s">
        <v>3</v>
      </c>
    </row>
    <row r="3" spans="1:24" x14ac:dyDescent="0.25">
      <c r="A3" s="1" t="s">
        <v>95</v>
      </c>
      <c r="B3" s="1">
        <v>2017</v>
      </c>
      <c r="C3" s="1" t="s">
        <v>87</v>
      </c>
      <c r="D3" s="1">
        <v>250</v>
      </c>
      <c r="E3" s="1" t="s">
        <v>96</v>
      </c>
      <c r="F3" s="1">
        <v>550</v>
      </c>
      <c r="G3" s="1" t="s">
        <v>3</v>
      </c>
      <c r="H3" s="1" t="s">
        <v>3</v>
      </c>
      <c r="I3" s="1" t="s">
        <v>3</v>
      </c>
      <c r="J3" s="1" t="s">
        <v>3</v>
      </c>
      <c r="K3" s="14">
        <f>177*41.87</f>
        <v>7410.99</v>
      </c>
      <c r="L3" s="1" t="s">
        <v>3</v>
      </c>
      <c r="M3" s="1">
        <v>2.1</v>
      </c>
      <c r="N3" s="7">
        <v>5.2</v>
      </c>
      <c r="O3" s="1" t="s">
        <v>3</v>
      </c>
      <c r="P3" s="1" t="s">
        <v>3</v>
      </c>
      <c r="Q3" s="1" t="s">
        <v>3</v>
      </c>
      <c r="R3" s="1" t="s">
        <v>3</v>
      </c>
      <c r="S3" s="1" t="s">
        <v>3</v>
      </c>
      <c r="T3" s="1" t="s">
        <v>3</v>
      </c>
      <c r="U3" s="1" t="s">
        <v>3</v>
      </c>
      <c r="V3" s="1" t="s">
        <v>3</v>
      </c>
      <c r="W3" s="1" t="s">
        <v>3</v>
      </c>
      <c r="X3" s="1" t="s">
        <v>3</v>
      </c>
    </row>
    <row r="4" spans="1:24" x14ac:dyDescent="0.25">
      <c r="A4" s="1" t="s">
        <v>100</v>
      </c>
      <c r="B4" s="1">
        <v>2010</v>
      </c>
      <c r="C4" s="1" t="s">
        <v>87</v>
      </c>
      <c r="D4" s="1">
        <v>20</v>
      </c>
      <c r="E4" s="1" t="s">
        <v>97</v>
      </c>
      <c r="F4" s="1">
        <f>10600/D4</f>
        <v>530</v>
      </c>
      <c r="G4" s="1" t="s">
        <v>3</v>
      </c>
      <c r="H4" s="1" t="s">
        <v>3</v>
      </c>
      <c r="I4" s="1" t="s">
        <v>3</v>
      </c>
      <c r="J4" s="1" t="s">
        <v>3</v>
      </c>
      <c r="K4" s="14">
        <f>177*41.87</f>
        <v>7410.99</v>
      </c>
      <c r="L4" s="7">
        <f>3.12/D4</f>
        <v>0.156</v>
      </c>
      <c r="M4" s="1" t="s">
        <v>3</v>
      </c>
      <c r="N4" s="7">
        <f>81.9/D4</f>
        <v>4.0950000000000006</v>
      </c>
      <c r="O4" s="14">
        <f>6.72*1000/D4*31/79</f>
        <v>131.84810126582278</v>
      </c>
      <c r="P4" s="1" t="s">
        <v>3</v>
      </c>
      <c r="Q4" s="1" t="s">
        <v>3</v>
      </c>
      <c r="R4" s="1" t="s">
        <v>3</v>
      </c>
      <c r="S4" s="1" t="s">
        <v>3</v>
      </c>
      <c r="T4" s="1" t="s">
        <v>3</v>
      </c>
      <c r="U4" s="1" t="s">
        <v>3</v>
      </c>
      <c r="V4" s="1" t="s">
        <v>3</v>
      </c>
      <c r="W4" s="14">
        <f>0.000832*10^6/D5</f>
        <v>41.6</v>
      </c>
      <c r="X4" s="1" t="s">
        <v>3</v>
      </c>
    </row>
    <row r="5" spans="1:24" x14ac:dyDescent="0.25">
      <c r="A5" s="1" t="s">
        <v>100</v>
      </c>
      <c r="B5" s="1">
        <v>2010</v>
      </c>
      <c r="C5" s="1" t="s">
        <v>87</v>
      </c>
      <c r="D5" s="1">
        <v>20</v>
      </c>
      <c r="E5" s="1" t="s">
        <v>98</v>
      </c>
      <c r="F5" s="1">
        <f>11200/D5</f>
        <v>560</v>
      </c>
      <c r="G5" s="1" t="s">
        <v>3</v>
      </c>
      <c r="H5" s="1" t="s">
        <v>3</v>
      </c>
      <c r="I5" s="1" t="s">
        <v>3</v>
      </c>
      <c r="J5" s="1" t="s">
        <v>3</v>
      </c>
      <c r="K5" s="1">
        <f>234000/D5</f>
        <v>11700</v>
      </c>
      <c r="L5" s="7">
        <f>3.12/D5</f>
        <v>0.156</v>
      </c>
      <c r="M5" s="1" t="s">
        <v>3</v>
      </c>
      <c r="N5" s="7">
        <f>85/D5</f>
        <v>4.25</v>
      </c>
      <c r="O5" s="14">
        <f>7.05*1000/D5*31/79</f>
        <v>138.32278481012659</v>
      </c>
      <c r="P5" s="1" t="s">
        <v>3</v>
      </c>
      <c r="Q5" s="1" t="s">
        <v>3</v>
      </c>
      <c r="R5" s="1" t="s">
        <v>3</v>
      </c>
      <c r="S5" s="1" t="s">
        <v>3</v>
      </c>
      <c r="T5" s="1" t="s">
        <v>3</v>
      </c>
      <c r="U5" s="1" t="s">
        <v>3</v>
      </c>
      <c r="V5" s="1" t="s">
        <v>3</v>
      </c>
      <c r="W5" s="14">
        <f>0.000861*10^6/D5</f>
        <v>43.05</v>
      </c>
      <c r="X5" s="1" t="s">
        <v>3</v>
      </c>
    </row>
    <row r="6" spans="1:24" x14ac:dyDescent="0.25">
      <c r="A6" s="1" t="s">
        <v>100</v>
      </c>
      <c r="B6" s="1">
        <v>2010</v>
      </c>
      <c r="C6" s="1" t="s">
        <v>87</v>
      </c>
      <c r="D6" s="1">
        <v>20</v>
      </c>
      <c r="E6" s="1" t="s">
        <v>99</v>
      </c>
      <c r="F6" s="1">
        <f>12500/D6</f>
        <v>625</v>
      </c>
      <c r="G6" s="1" t="s">
        <v>3</v>
      </c>
      <c r="H6" s="1" t="s">
        <v>3</v>
      </c>
      <c r="I6" s="1" t="s">
        <v>3</v>
      </c>
      <c r="J6" s="1" t="s">
        <v>3</v>
      </c>
      <c r="K6" s="1">
        <f>259000/D6</f>
        <v>12950</v>
      </c>
      <c r="L6" s="7">
        <f>3.12/D6</f>
        <v>0.156</v>
      </c>
      <c r="M6" s="1" t="s">
        <v>3</v>
      </c>
      <c r="N6" s="7">
        <f>91.5/D6</f>
        <v>4.5750000000000002</v>
      </c>
      <c r="O6" s="14">
        <f>7.77*1000/20*31/79</f>
        <v>152.4493670886076</v>
      </c>
      <c r="P6" s="1" t="s">
        <v>3</v>
      </c>
      <c r="Q6" s="1" t="s">
        <v>3</v>
      </c>
      <c r="R6" s="1" t="s">
        <v>3</v>
      </c>
      <c r="S6" s="1" t="s">
        <v>3</v>
      </c>
      <c r="T6" s="1" t="s">
        <v>3</v>
      </c>
      <c r="U6" s="1" t="s">
        <v>3</v>
      </c>
      <c r="V6" s="1" t="s">
        <v>3</v>
      </c>
      <c r="W6" s="14">
        <f>0.00114*10^6/D5</f>
        <v>57</v>
      </c>
      <c r="X6" s="1" t="s">
        <v>3</v>
      </c>
    </row>
    <row r="7" spans="1:24" x14ac:dyDescent="0.25">
      <c r="A7" s="1" t="s">
        <v>103</v>
      </c>
      <c r="B7" s="1">
        <v>2021</v>
      </c>
      <c r="C7" s="1" t="s">
        <v>88</v>
      </c>
      <c r="D7" s="1">
        <v>1000</v>
      </c>
      <c r="E7" s="1" t="s">
        <v>0</v>
      </c>
      <c r="F7" s="14">
        <f>702755/D7</f>
        <v>702.755</v>
      </c>
      <c r="G7" s="5">
        <f>1712000/D7/80000</f>
        <v>2.1399999999999999E-2</v>
      </c>
      <c r="H7" s="1" t="s">
        <v>3</v>
      </c>
      <c r="I7" s="1" t="s">
        <v>3</v>
      </c>
      <c r="J7" s="1" t="s">
        <v>3</v>
      </c>
      <c r="K7" s="1" t="s">
        <v>3</v>
      </c>
      <c r="L7" s="7" t="s">
        <v>3</v>
      </c>
      <c r="M7" s="7">
        <f>326.33/D7</f>
        <v>0.32633000000000001</v>
      </c>
      <c r="N7" s="7">
        <f>5848/D7</f>
        <v>5.8479999999999999</v>
      </c>
      <c r="O7" s="1" t="s">
        <v>3</v>
      </c>
      <c r="P7" s="1">
        <f>141</f>
        <v>141</v>
      </c>
      <c r="Q7" s="1" t="s">
        <v>3</v>
      </c>
      <c r="R7" s="1" t="s">
        <v>3</v>
      </c>
      <c r="S7" s="1" t="s">
        <v>3</v>
      </c>
      <c r="T7" s="1" t="s">
        <v>3</v>
      </c>
      <c r="U7" s="1" t="s">
        <v>3</v>
      </c>
      <c r="V7" s="1" t="s">
        <v>3</v>
      </c>
      <c r="W7" s="14">
        <f>0.0000000584/D7*10^12</f>
        <v>58.4</v>
      </c>
      <c r="X7" s="1" t="s">
        <v>444</v>
      </c>
    </row>
    <row r="8" spans="1:24" x14ac:dyDescent="0.25">
      <c r="A8" s="1" t="s">
        <v>105</v>
      </c>
      <c r="B8" s="1">
        <v>2015</v>
      </c>
      <c r="C8" s="1" t="s">
        <v>87</v>
      </c>
      <c r="D8" s="1" t="s">
        <v>3</v>
      </c>
      <c r="E8" s="1" t="s">
        <v>0</v>
      </c>
      <c r="F8" s="1">
        <v>665</v>
      </c>
      <c r="G8" s="5" t="s">
        <v>3</v>
      </c>
      <c r="H8" s="1" t="s">
        <v>3</v>
      </c>
      <c r="I8" s="1" t="s">
        <v>3</v>
      </c>
      <c r="J8" s="1" t="s">
        <v>3</v>
      </c>
      <c r="K8" s="1" t="s">
        <v>3</v>
      </c>
      <c r="L8" s="7" t="s">
        <v>3</v>
      </c>
      <c r="M8" s="1" t="s">
        <v>3</v>
      </c>
      <c r="N8" s="7">
        <v>4.6399999999999997</v>
      </c>
      <c r="O8" s="1" t="s">
        <v>3</v>
      </c>
      <c r="P8" s="1" t="s">
        <v>3</v>
      </c>
      <c r="Q8" s="1" t="s">
        <v>3</v>
      </c>
      <c r="R8" s="1" t="s">
        <v>3</v>
      </c>
      <c r="S8" s="1" t="s">
        <v>3</v>
      </c>
      <c r="T8" s="1" t="s">
        <v>3</v>
      </c>
      <c r="U8" s="1" t="s">
        <v>3</v>
      </c>
      <c r="V8" s="1" t="s">
        <v>3</v>
      </c>
      <c r="W8" s="14" t="s">
        <v>3</v>
      </c>
      <c r="X8" s="1" t="s">
        <v>3</v>
      </c>
    </row>
    <row r="9" spans="1:24" x14ac:dyDescent="0.25">
      <c r="A9" s="1" t="s">
        <v>107</v>
      </c>
      <c r="B9" s="1">
        <v>2020</v>
      </c>
      <c r="C9" s="1" t="s">
        <v>88</v>
      </c>
      <c r="D9" s="1">
        <v>250</v>
      </c>
      <c r="E9" s="1" t="s">
        <v>111</v>
      </c>
      <c r="F9" s="14">
        <f>0.00935*1970000*5/D9</f>
        <v>368.39</v>
      </c>
      <c r="G9" s="5">
        <v>1.1599999999999999E-2</v>
      </c>
      <c r="H9" s="1" t="s">
        <v>3</v>
      </c>
      <c r="I9" s="1" t="s">
        <v>3</v>
      </c>
      <c r="J9" s="1" t="s">
        <v>3</v>
      </c>
      <c r="K9" s="14">
        <f>(0.0026+0.0029)*5*1970000/D9*41.87</f>
        <v>9073.2289999999975</v>
      </c>
      <c r="L9" s="14">
        <f>(0.003+0.0016)*1970000*5/250</f>
        <v>181.24</v>
      </c>
      <c r="M9" s="7">
        <f>(0.000026+0.000037+0.000005)*1970000*5/D9</f>
        <v>2.6792000000000002</v>
      </c>
      <c r="N9" s="7" t="s">
        <v>3</v>
      </c>
      <c r="O9" s="1" t="s">
        <v>3</v>
      </c>
      <c r="P9" s="1" t="s">
        <v>3</v>
      </c>
      <c r="Q9" s="1" t="s">
        <v>3</v>
      </c>
      <c r="R9" s="1" t="s">
        <v>3</v>
      </c>
      <c r="S9" s="1" t="s">
        <v>3</v>
      </c>
      <c r="T9" s="1" t="s">
        <v>3</v>
      </c>
      <c r="U9" s="1" t="s">
        <v>3</v>
      </c>
      <c r="V9" s="1" t="s">
        <v>3</v>
      </c>
      <c r="W9" s="14" t="s">
        <v>3</v>
      </c>
      <c r="X9" s="1" t="s">
        <v>442</v>
      </c>
    </row>
    <row r="10" spans="1:24" x14ac:dyDescent="0.25">
      <c r="A10" s="1" t="s">
        <v>109</v>
      </c>
      <c r="B10" s="1">
        <v>2022</v>
      </c>
      <c r="C10" s="1" t="s">
        <v>87</v>
      </c>
      <c r="D10" s="1">
        <v>250</v>
      </c>
      <c r="E10" s="1" t="s">
        <v>0</v>
      </c>
      <c r="F10" s="14">
        <f>(0.00384+0.00994)*8000*5</f>
        <v>551.19999999999993</v>
      </c>
      <c r="G10" s="5">
        <f>0.00691</f>
        <v>6.9100000000000003E-3</v>
      </c>
      <c r="H10" s="1" t="s">
        <v>3</v>
      </c>
      <c r="I10" s="1" t="s">
        <v>3</v>
      </c>
      <c r="J10" s="1" t="s">
        <v>3</v>
      </c>
      <c r="K10" s="14">
        <f>(0.000937+0.00279+0.00174)*8000*5*41.87</f>
        <v>9156.1315999999988</v>
      </c>
      <c r="L10" s="7">
        <f>(0.000032+0.0000189+0.00005)*8000*5</f>
        <v>4.0360000000000005</v>
      </c>
      <c r="M10" s="7">
        <f>(0.0000616+0.000035+0.0000303)*8000*5</f>
        <v>5.0759999999999996</v>
      </c>
      <c r="N10" s="7">
        <f>(0.0000616+0.000035+0.0000303)*8000*5</f>
        <v>5.0759999999999996</v>
      </c>
      <c r="O10" s="1" t="s">
        <v>3</v>
      </c>
      <c r="P10" s="1" t="s">
        <v>3</v>
      </c>
      <c r="Q10" s="14">
        <f>(0.000663+0.000147+0.00122)*8000*5</f>
        <v>81.199999999999989</v>
      </c>
      <c r="R10" s="14">
        <f>(0.000948+0.00027+0.00178)*5*8000</f>
        <v>119.92</v>
      </c>
      <c r="S10" s="1" t="s">
        <v>3</v>
      </c>
      <c r="T10" s="1" t="s">
        <v>3</v>
      </c>
      <c r="U10" s="1" t="s">
        <v>3</v>
      </c>
      <c r="V10" s="1" t="s">
        <v>3</v>
      </c>
      <c r="W10" s="14">
        <f>(0.00000000195+0.00000000135+0.00000000293)*8000*5*10^6</f>
        <v>249.20000000000005</v>
      </c>
      <c r="X10" s="1" t="s">
        <v>443</v>
      </c>
    </row>
    <row r="11" spans="1:24" x14ac:dyDescent="0.25">
      <c r="A11" s="1" t="s">
        <v>109</v>
      </c>
      <c r="B11" s="1">
        <v>2022</v>
      </c>
      <c r="C11" s="1" t="s">
        <v>87</v>
      </c>
      <c r="D11" s="1">
        <v>250</v>
      </c>
      <c r="E11" s="1" t="s">
        <v>0</v>
      </c>
      <c r="F11" s="14">
        <f>(0.00437+0.00556)*10*8000</f>
        <v>794.4</v>
      </c>
      <c r="G11" s="5">
        <f>0.00484</f>
        <v>4.8399999999999997E-3</v>
      </c>
      <c r="H11" s="1" t="s">
        <v>3</v>
      </c>
      <c r="I11" s="1" t="s">
        <v>3</v>
      </c>
      <c r="J11" s="1" t="s">
        <v>3</v>
      </c>
      <c r="K11" s="14">
        <f>(0.00104+0.00156+0.00121)*8000*10*41.87</f>
        <v>12761.976000000001</v>
      </c>
      <c r="L11" s="7">
        <f>(0.0000355+0.0000106+0.0000352)*8000*10</f>
        <v>6.5039999999999996</v>
      </c>
      <c r="M11" s="7">
        <f>(0.0000688+0.0000196+0.0000209)*8000*10</f>
        <v>8.7439999999999998</v>
      </c>
      <c r="N11" s="7">
        <f>(0.0000688+0.0000196+0.0000209)*8000*10</f>
        <v>8.7439999999999998</v>
      </c>
      <c r="O11" s="1" t="s">
        <v>3</v>
      </c>
      <c r="P11" s="1" t="s">
        <v>3</v>
      </c>
      <c r="Q11" s="14">
        <f>(0.000732+0.0000821+0.000837)*8000*10</f>
        <v>132.08799999999999</v>
      </c>
      <c r="R11" s="14">
        <f>(0.00105+0.000151+0.00122)*8000*10</f>
        <v>193.67999999999998</v>
      </c>
      <c r="S11" s="1" t="s">
        <v>3</v>
      </c>
      <c r="T11" s="1" t="s">
        <v>3</v>
      </c>
      <c r="U11" s="1" t="s">
        <v>3</v>
      </c>
      <c r="V11" s="1" t="s">
        <v>3</v>
      </c>
      <c r="W11" s="14">
        <f>(0.00000000216+0.000000000755+0.00000000203)*8000*10*10^6</f>
        <v>395.6</v>
      </c>
      <c r="X11" s="1" t="s">
        <v>3</v>
      </c>
    </row>
    <row r="12" spans="1:24" x14ac:dyDescent="0.25">
      <c r="A12" s="1" t="s">
        <v>109</v>
      </c>
      <c r="B12" s="1">
        <v>2022</v>
      </c>
      <c r="C12" s="1" t="s">
        <v>87</v>
      </c>
      <c r="D12" s="1">
        <v>250</v>
      </c>
      <c r="E12" s="1" t="s">
        <v>0</v>
      </c>
      <c r="F12" s="14">
        <f>(0.00374+0.00975)*8000*5</f>
        <v>539.6</v>
      </c>
      <c r="G12" s="5">
        <f>0.00673</f>
        <v>6.7299999999999999E-3</v>
      </c>
      <c r="H12" s="1" t="s">
        <v>3</v>
      </c>
      <c r="I12" s="1" t="s">
        <v>3</v>
      </c>
      <c r="J12" s="1" t="s">
        <v>3</v>
      </c>
      <c r="K12" s="14">
        <f>(0.00352+0.00617+0.00619)*8000*5</f>
        <v>635.20000000000005</v>
      </c>
      <c r="L12" s="7" t="s">
        <v>3</v>
      </c>
      <c r="M12" s="7">
        <f>(0.0000177+0.0000102+0.0000249)*8000*5</f>
        <v>2.1119999999999997</v>
      </c>
      <c r="N12" s="7">
        <f>(0.0002+0.000111+0.0000442)*8000*5</f>
        <v>14.208</v>
      </c>
      <c r="O12" s="1" t="s">
        <v>3</v>
      </c>
      <c r="P12" s="1" t="s">
        <v>3</v>
      </c>
      <c r="Q12" s="1" t="s">
        <v>3</v>
      </c>
      <c r="R12" s="14" t="s">
        <v>3</v>
      </c>
      <c r="S12" s="1" t="s">
        <v>3</v>
      </c>
      <c r="T12" s="1" t="s">
        <v>3</v>
      </c>
      <c r="U12" s="1" t="s">
        <v>3</v>
      </c>
      <c r="V12" s="1" t="s">
        <v>3</v>
      </c>
      <c r="W12" s="14">
        <f>(0.00000000195+0.00000000135+0.00000000293)*8000*5*10^6</f>
        <v>249.20000000000005</v>
      </c>
      <c r="X12" s="1" t="s">
        <v>3</v>
      </c>
    </row>
    <row r="13" spans="1:24" x14ac:dyDescent="0.25">
      <c r="A13" s="1" t="s">
        <v>109</v>
      </c>
      <c r="B13" s="1">
        <v>2022</v>
      </c>
      <c r="C13" s="1" t="s">
        <v>87</v>
      </c>
      <c r="D13" s="1">
        <v>250</v>
      </c>
      <c r="E13" s="1" t="s">
        <v>0</v>
      </c>
      <c r="F13" s="14">
        <f>(0.00416+0.00471)*8000*10</f>
        <v>709.59999999999991</v>
      </c>
      <c r="G13" s="5">
        <v>5.45E-3</v>
      </c>
      <c r="H13" s="1" t="s">
        <v>3</v>
      </c>
      <c r="I13" s="1" t="s">
        <v>3</v>
      </c>
      <c r="J13" s="1" t="s">
        <v>3</v>
      </c>
      <c r="K13" s="14">
        <f>(0.00309+0.0043+0.00345)*8000*10</f>
        <v>867.19999999999982</v>
      </c>
      <c r="L13" s="1" t="s">
        <v>3</v>
      </c>
      <c r="M13" s="7">
        <f>(0.0000197+0.0000172+0.00000573)*10*8000</f>
        <v>3.4104000000000001</v>
      </c>
      <c r="N13" s="7">
        <f>(0.000224+0.0000307+0.0000618)*8000*10</f>
        <v>25.32</v>
      </c>
      <c r="O13" s="1" t="s">
        <v>3</v>
      </c>
      <c r="P13" s="1" t="s">
        <v>3</v>
      </c>
      <c r="Q13" s="1" t="s">
        <v>3</v>
      </c>
      <c r="R13" s="14" t="s">
        <v>3</v>
      </c>
      <c r="S13" s="1" t="s">
        <v>3</v>
      </c>
      <c r="T13" s="1" t="s">
        <v>3</v>
      </c>
      <c r="U13" s="1" t="s">
        <v>3</v>
      </c>
      <c r="V13" s="1" t="s">
        <v>3</v>
      </c>
      <c r="W13" s="1">
        <f>(0.00000000219+0.000000000755+0.00000000203)*8000*10*10^6</f>
        <v>397.99999999999994</v>
      </c>
      <c r="X13" s="1" t="s">
        <v>3</v>
      </c>
    </row>
    <row r="14" spans="1:24" x14ac:dyDescent="0.25">
      <c r="A14" s="1" t="s">
        <v>112</v>
      </c>
      <c r="B14" s="1">
        <v>2020</v>
      </c>
      <c r="C14" s="1" t="s">
        <v>88</v>
      </c>
      <c r="D14" s="1">
        <v>957</v>
      </c>
      <c r="E14" s="1" t="s">
        <v>114</v>
      </c>
      <c r="F14" s="14" t="s">
        <v>3</v>
      </c>
      <c r="G14" s="14" t="s">
        <v>3</v>
      </c>
      <c r="H14" s="14" t="s">
        <v>3</v>
      </c>
      <c r="I14" s="14">
        <f>J14*2.5</f>
        <v>5.0940438871473361</v>
      </c>
      <c r="J14" s="14">
        <f>6.5*300/D14</f>
        <v>2.0376175548589344</v>
      </c>
      <c r="K14" s="14" t="s">
        <v>3</v>
      </c>
      <c r="L14" s="1" t="s">
        <v>3</v>
      </c>
      <c r="M14" s="1" t="s">
        <v>3</v>
      </c>
      <c r="N14" s="7" t="s">
        <v>3</v>
      </c>
      <c r="O14" s="14" t="s">
        <v>3</v>
      </c>
      <c r="P14" s="14" t="s">
        <v>3</v>
      </c>
      <c r="Q14" s="14" t="s">
        <v>3</v>
      </c>
      <c r="R14" s="14" t="s">
        <v>3</v>
      </c>
      <c r="S14" s="14" t="s">
        <v>3</v>
      </c>
      <c r="T14" s="14" t="s">
        <v>3</v>
      </c>
      <c r="U14" s="14" t="s">
        <v>3</v>
      </c>
      <c r="V14" s="14" t="s">
        <v>3</v>
      </c>
      <c r="W14" s="14" t="s">
        <v>3</v>
      </c>
      <c r="X14" s="1" t="s">
        <v>3</v>
      </c>
    </row>
    <row r="15" spans="1:24" x14ac:dyDescent="0.25">
      <c r="A15" s="1" t="s">
        <v>185</v>
      </c>
      <c r="B15" s="1">
        <v>2023</v>
      </c>
      <c r="C15" s="1" t="s">
        <v>87</v>
      </c>
      <c r="D15" s="1">
        <v>1200</v>
      </c>
      <c r="E15" s="1" t="s">
        <v>188</v>
      </c>
      <c r="F15" s="14">
        <f>447000/D15</f>
        <v>372.5</v>
      </c>
      <c r="G15" s="14" t="s">
        <v>3</v>
      </c>
      <c r="H15" s="14">
        <f>11700/D15</f>
        <v>9.75</v>
      </c>
      <c r="I15" s="14">
        <f t="shared" ref="I15:I19" si="0">J15*2.5</f>
        <v>33.541666666666664</v>
      </c>
      <c r="J15" s="14">
        <f>16100/D15</f>
        <v>13.416666666666666</v>
      </c>
      <c r="K15" s="14">
        <f>115000/D15*41.87</f>
        <v>4012.5416666666661</v>
      </c>
      <c r="L15" s="7">
        <f>4070/D15</f>
        <v>3.3916666666666666</v>
      </c>
      <c r="M15" s="7">
        <f>1430/D15</f>
        <v>1.1916666666666667</v>
      </c>
      <c r="N15" s="7">
        <f>3260/D15</f>
        <v>2.7166666666666668</v>
      </c>
      <c r="O15" s="14">
        <f>291*1000/D15</f>
        <v>242.5</v>
      </c>
      <c r="P15" s="14">
        <f>16.1/D15*1000</f>
        <v>13.416666666666668</v>
      </c>
      <c r="Q15" s="14">
        <f>129000/D15</f>
        <v>107.5</v>
      </c>
      <c r="R15" s="14">
        <f>165000/D15</f>
        <v>137.5</v>
      </c>
      <c r="S15" s="14">
        <f>6670000/D15</f>
        <v>5558.333333333333</v>
      </c>
      <c r="T15" s="14">
        <f>25300/D15</f>
        <v>21.083333333333332</v>
      </c>
      <c r="U15" s="14">
        <f>123000/D15</f>
        <v>102.5</v>
      </c>
      <c r="V15" s="14">
        <f>1370000/D15</f>
        <v>1141.6666666666667</v>
      </c>
      <c r="W15" s="14">
        <f>0.904/D15*10^6</f>
        <v>753.33333333333337</v>
      </c>
      <c r="X15" s="1" t="s">
        <v>3</v>
      </c>
    </row>
    <row r="16" spans="1:24" x14ac:dyDescent="0.25">
      <c r="A16" s="1" t="s">
        <v>185</v>
      </c>
      <c r="B16" s="1">
        <v>2023</v>
      </c>
      <c r="C16" s="1" t="s">
        <v>87</v>
      </c>
      <c r="D16" s="1">
        <v>1200</v>
      </c>
      <c r="E16" s="1" t="s">
        <v>187</v>
      </c>
      <c r="F16" s="14">
        <f>72300/D16</f>
        <v>60.25</v>
      </c>
      <c r="G16" s="14" t="s">
        <v>3</v>
      </c>
      <c r="H16" s="14">
        <f>1890/D16</f>
        <v>1.575</v>
      </c>
      <c r="I16" s="14">
        <f t="shared" si="0"/>
        <v>54.583333333333329</v>
      </c>
      <c r="J16" s="14">
        <f>26200/D16</f>
        <v>21.833333333333332</v>
      </c>
      <c r="K16" s="14">
        <f>24600/D16*41.87</f>
        <v>858.33499999999992</v>
      </c>
      <c r="L16" s="7">
        <f>1080/D16</f>
        <v>0.9</v>
      </c>
      <c r="M16" s="7">
        <f>8320/D16</f>
        <v>6.9333333333333336</v>
      </c>
      <c r="N16" s="7">
        <f>862/D16</f>
        <v>0.71833333333333338</v>
      </c>
      <c r="O16" s="14">
        <f>473*1000/D16</f>
        <v>394.16666666666669</v>
      </c>
      <c r="P16" s="14">
        <f>26.2/D16*1000</f>
        <v>21.833333333333332</v>
      </c>
      <c r="Q16" s="14">
        <f>27500/D16</f>
        <v>22.916666666666668</v>
      </c>
      <c r="R16" s="14">
        <f>26700/D16</f>
        <v>22.25</v>
      </c>
      <c r="S16" s="14">
        <f>1760000/D16</f>
        <v>1466.6666666666667</v>
      </c>
      <c r="T16" s="14">
        <f>4090/D16</f>
        <v>3.4083333333333332</v>
      </c>
      <c r="U16" s="14">
        <f>19900/D16</f>
        <v>16.583333333333332</v>
      </c>
      <c r="V16" s="14">
        <f>221000/D16</f>
        <v>184.16666666666666</v>
      </c>
      <c r="W16" s="14">
        <f>0.24/D16*10^6</f>
        <v>199.99999999999997</v>
      </c>
      <c r="X16" s="1" t="s">
        <v>3</v>
      </c>
    </row>
    <row r="17" spans="1:24" x14ac:dyDescent="0.25">
      <c r="A17" s="1" t="s">
        <v>185</v>
      </c>
      <c r="B17" s="1">
        <v>2023</v>
      </c>
      <c r="C17" s="1" t="s">
        <v>87</v>
      </c>
      <c r="D17" s="1">
        <v>1200</v>
      </c>
      <c r="E17" s="1" t="s">
        <v>0</v>
      </c>
      <c r="F17" s="14">
        <f>216000/D17</f>
        <v>180</v>
      </c>
      <c r="G17" s="14" t="s">
        <v>3</v>
      </c>
      <c r="H17" s="14">
        <f>5660/D17</f>
        <v>4.7166666666666668</v>
      </c>
      <c r="I17" s="14">
        <f t="shared" si="0"/>
        <v>6.625</v>
      </c>
      <c r="J17" s="14">
        <f>3180/D17</f>
        <v>2.65</v>
      </c>
      <c r="K17" s="14">
        <f>59100/D17*41.87</f>
        <v>2062.0974999999999</v>
      </c>
      <c r="L17" s="7">
        <f>2570/D17</f>
        <v>2.1416666666666666</v>
      </c>
      <c r="M17" s="7">
        <f>367/D17</f>
        <v>0.30583333333333335</v>
      </c>
      <c r="N17" s="7">
        <f>2050/D17</f>
        <v>1.7083333333333333</v>
      </c>
      <c r="O17" s="14">
        <f>57.4*1000/D17</f>
        <v>47.833333333333336</v>
      </c>
      <c r="P17" s="14">
        <f>3.18/D17*1000</f>
        <v>2.65</v>
      </c>
      <c r="Q17" s="14">
        <f>66300/D17</f>
        <v>55.25</v>
      </c>
      <c r="R17" s="14">
        <f>79800/D17</f>
        <v>66.5</v>
      </c>
      <c r="S17" s="14">
        <f>4200000/D17</f>
        <v>3500</v>
      </c>
      <c r="T17" s="14">
        <f>12300/D17</f>
        <v>10.25</v>
      </c>
      <c r="U17" s="14">
        <f>59500/D17</f>
        <v>49.583333333333336</v>
      </c>
      <c r="V17" s="14">
        <f>662000/D17</f>
        <v>551.66666666666663</v>
      </c>
      <c r="W17" s="14">
        <f>0.572/D17*10^6</f>
        <v>476.66666666666663</v>
      </c>
      <c r="X17" s="1" t="s">
        <v>3</v>
      </c>
    </row>
    <row r="18" spans="1:24" x14ac:dyDescent="0.25">
      <c r="A18" s="1" t="s">
        <v>185</v>
      </c>
      <c r="B18" s="1">
        <v>2023</v>
      </c>
      <c r="C18" s="1" t="s">
        <v>87</v>
      </c>
      <c r="D18" s="1">
        <v>1200</v>
      </c>
      <c r="E18" s="1" t="s">
        <v>81</v>
      </c>
      <c r="F18" s="14">
        <f>171000/D18</f>
        <v>142.5</v>
      </c>
      <c r="G18" s="14" t="s">
        <v>3</v>
      </c>
      <c r="H18" s="14">
        <f>4480/D18</f>
        <v>3.7333333333333334</v>
      </c>
      <c r="I18" s="14">
        <f t="shared" si="0"/>
        <v>5.3125</v>
      </c>
      <c r="J18" s="14">
        <f>2550/D18</f>
        <v>2.125</v>
      </c>
      <c r="K18" s="14">
        <f>12600/D18*41.87</f>
        <v>439.63499999999999</v>
      </c>
      <c r="L18" s="7">
        <f>627/D18</f>
        <v>0.52249999999999996</v>
      </c>
      <c r="M18" s="7">
        <f>927/D18</f>
        <v>0.77249999999999996</v>
      </c>
      <c r="N18" s="7">
        <f>503/D18</f>
        <v>0.41916666666666669</v>
      </c>
      <c r="O18" s="14">
        <f>46.1*1000/D18</f>
        <v>38.416666666666664</v>
      </c>
      <c r="P18" s="14">
        <f>2.55/D18*1000</f>
        <v>2.1249999999999996</v>
      </c>
      <c r="Q18" s="14">
        <f>14200/D18</f>
        <v>11.833333333333334</v>
      </c>
      <c r="R18" s="14">
        <f>63100/D18</f>
        <v>52.583333333333336</v>
      </c>
      <c r="S18" s="14">
        <f>1030000/D18</f>
        <v>858.33333333333337</v>
      </c>
      <c r="T18" s="14">
        <f>9670/D18</f>
        <v>8.0583333333333336</v>
      </c>
      <c r="U18" s="14">
        <f>47100/D18</f>
        <v>39.25</v>
      </c>
      <c r="V18" s="14">
        <f>525000/D18</f>
        <v>437.5</v>
      </c>
      <c r="W18" s="14">
        <f>0.14/D18*10^6</f>
        <v>116.66666666666669</v>
      </c>
      <c r="X18" s="1" t="s">
        <v>3</v>
      </c>
    </row>
    <row r="19" spans="1:24" x14ac:dyDescent="0.25">
      <c r="A19" s="1" t="s">
        <v>185</v>
      </c>
      <c r="B19" s="1">
        <v>2023</v>
      </c>
      <c r="C19" s="1" t="s">
        <v>87</v>
      </c>
      <c r="D19" s="1">
        <v>1200</v>
      </c>
      <c r="E19" s="6" t="s">
        <v>1</v>
      </c>
      <c r="F19" s="14">
        <f>58700/D19</f>
        <v>48.916666666666664</v>
      </c>
      <c r="G19" s="14" t="s">
        <v>3</v>
      </c>
      <c r="H19" s="14">
        <f>1530/D19</f>
        <v>1.2749999999999999</v>
      </c>
      <c r="I19" s="14">
        <f t="shared" si="0"/>
        <v>7.583333333333333</v>
      </c>
      <c r="J19" s="14">
        <f>3640/D19</f>
        <v>3.0333333333333332</v>
      </c>
      <c r="K19" s="14">
        <f>33200/D19*41.87</f>
        <v>1158.4033333333334</v>
      </c>
      <c r="L19" s="7">
        <f>753/D19</f>
        <v>0.62749999999999995</v>
      </c>
      <c r="M19" s="7">
        <f>240/D19</f>
        <v>0.2</v>
      </c>
      <c r="N19" s="7">
        <f>603/D19</f>
        <v>0.50249999999999995</v>
      </c>
      <c r="O19" s="14">
        <f>65.6*1000/D19</f>
        <v>54.666666666666664</v>
      </c>
      <c r="P19" s="14">
        <f>3.64/D19*1000</f>
        <v>3.0333333333333337</v>
      </c>
      <c r="Q19" s="14">
        <f>37200/D19</f>
        <v>31</v>
      </c>
      <c r="R19" s="14">
        <f>21700/D19</f>
        <v>18.083333333333332</v>
      </c>
      <c r="S19" s="14">
        <f>1240000/D19</f>
        <v>1033.3333333333333</v>
      </c>
      <c r="T19" s="14">
        <f>3320/D19</f>
        <v>2.7666666666666666</v>
      </c>
      <c r="U19" s="14">
        <f>16100/D19</f>
        <v>13.416666666666666</v>
      </c>
      <c r="V19" s="14">
        <f>180000/D19</f>
        <v>150</v>
      </c>
      <c r="W19" s="14">
        <f>0.168/D19*10^6</f>
        <v>140.00000000000003</v>
      </c>
      <c r="X19" s="1" t="s">
        <v>3</v>
      </c>
    </row>
    <row r="20" spans="1:24" x14ac:dyDescent="0.25">
      <c r="M20" s="7"/>
      <c r="T20" s="14"/>
    </row>
    <row r="21" spans="1:24" x14ac:dyDescent="0.25">
      <c r="F21" s="14"/>
      <c r="G21" s="14"/>
      <c r="H21" s="14"/>
      <c r="I21" s="14"/>
      <c r="J21" s="14"/>
      <c r="K21" s="14"/>
      <c r="L21" s="14"/>
      <c r="M21" s="14"/>
      <c r="N21" s="14"/>
      <c r="O21" s="14"/>
      <c r="P21" s="14"/>
      <c r="Q21" s="14"/>
      <c r="R21" s="14"/>
      <c r="S21" s="14"/>
      <c r="T21" s="14"/>
      <c r="U21" s="14"/>
      <c r="V21" s="14"/>
      <c r="W21" s="14"/>
    </row>
    <row r="22" spans="1:24" x14ac:dyDescent="0.25">
      <c r="F22" s="14"/>
      <c r="G22" s="14"/>
      <c r="H22" s="14"/>
      <c r="I22" s="14"/>
      <c r="J22" s="14"/>
      <c r="K22" s="14"/>
      <c r="L22" s="14"/>
      <c r="M22" s="14"/>
      <c r="N22" s="14"/>
      <c r="O22" s="14"/>
      <c r="P22" s="14"/>
      <c r="Q22" s="14"/>
      <c r="R22" s="14"/>
      <c r="S22" s="14"/>
      <c r="T22" s="14"/>
      <c r="U22" s="14"/>
      <c r="V22" s="14"/>
      <c r="W22" s="14"/>
    </row>
    <row r="23" spans="1:24" x14ac:dyDescent="0.25">
      <c r="F23" s="14"/>
      <c r="G23" s="14"/>
      <c r="H23" s="14"/>
      <c r="I23" s="14"/>
      <c r="J23" s="14"/>
      <c r="K23" s="14"/>
      <c r="L23" s="14"/>
      <c r="M23" s="14"/>
      <c r="N23" s="14"/>
      <c r="O23" s="14"/>
      <c r="P23" s="14"/>
      <c r="Q23" s="14"/>
      <c r="R23" s="14"/>
      <c r="S23" s="14"/>
      <c r="T23" s="14"/>
      <c r="U23" s="14"/>
      <c r="V23" s="14"/>
      <c r="W23" s="14"/>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1BE15-70D0-4997-9DE5-CF6EA23A14A4}">
  <sheetPr>
    <tabColor rgb="FFA2D5F4"/>
  </sheetPr>
  <dimension ref="A1:X13"/>
  <sheetViews>
    <sheetView zoomScaleNormal="100" workbookViewId="0">
      <pane xSplit="4" ySplit="1" topLeftCell="E2" activePane="bottomRight" state="frozen"/>
      <selection pane="topRight" activeCell="F1" sqref="F1"/>
      <selection pane="bottomLeft" activeCell="A2" sqref="A2"/>
      <selection pane="bottomRight" activeCell="E14" sqref="E14"/>
    </sheetView>
  </sheetViews>
  <sheetFormatPr defaultColWidth="9.140625" defaultRowHeight="15" x14ac:dyDescent="0.25"/>
  <cols>
    <col min="1" max="1" width="18" style="1" bestFit="1" customWidth="1"/>
    <col min="2" max="2" width="11.28515625" style="1" bestFit="1" customWidth="1"/>
    <col min="3" max="3" width="11" style="1" bestFit="1" customWidth="1"/>
    <col min="4" max="4" width="10" style="1" bestFit="1" customWidth="1"/>
    <col min="5" max="5" width="31" style="1" bestFit="1" customWidth="1"/>
    <col min="6" max="6" width="30.140625" style="1" bestFit="1" customWidth="1"/>
    <col min="7" max="7" width="15.5703125" style="1" bestFit="1" customWidth="1"/>
    <col min="8" max="8" width="17.28515625" style="1" bestFit="1" customWidth="1"/>
    <col min="9" max="9" width="18.5703125" style="1" bestFit="1" customWidth="1"/>
    <col min="10" max="10" width="15.5703125" style="1" bestFit="1" customWidth="1"/>
    <col min="11" max="11" width="15.42578125" style="1" bestFit="1" customWidth="1"/>
    <col min="12" max="12" width="20.7109375" style="1" bestFit="1" customWidth="1"/>
    <col min="13" max="13" width="17.85546875" style="1" bestFit="1" customWidth="1"/>
    <col min="14" max="14" width="17.5703125" style="1" bestFit="1" customWidth="1"/>
    <col min="15" max="15" width="15" style="1" bestFit="1" customWidth="1"/>
    <col min="16" max="16" width="15.85546875" style="1" bestFit="1" customWidth="1"/>
    <col min="17" max="17" width="20" style="1" bestFit="1" customWidth="1"/>
    <col min="18" max="18" width="20.5703125" style="1" bestFit="1" customWidth="1"/>
    <col min="19" max="19" width="20" style="1" bestFit="1" customWidth="1"/>
    <col min="20" max="20" width="20.5703125" style="1" bestFit="1" customWidth="1"/>
    <col min="21" max="21" width="20.28515625" style="1" bestFit="1" customWidth="1"/>
    <col min="22" max="22" width="21.5703125" style="1" bestFit="1" customWidth="1"/>
    <col min="23" max="23" width="18.42578125" style="1" bestFit="1" customWidth="1"/>
    <col min="24" max="24" width="71.140625" style="1" bestFit="1" customWidth="1"/>
    <col min="25" max="16384" width="9.140625" style="1"/>
  </cols>
  <sheetData>
    <row r="1" spans="1:24" s="4" customFormat="1" x14ac:dyDescent="0.25">
      <c r="A1" s="3" t="s">
        <v>7</v>
      </c>
      <c r="B1" s="3" t="s">
        <v>4</v>
      </c>
      <c r="C1" s="3" t="s">
        <v>5</v>
      </c>
      <c r="D1" s="3" t="s">
        <v>324</v>
      </c>
      <c r="E1" s="3" t="s">
        <v>345</v>
      </c>
      <c r="F1" s="3" t="s">
        <v>346</v>
      </c>
      <c r="G1" s="3" t="s">
        <v>347</v>
      </c>
      <c r="H1" s="3" t="s">
        <v>348</v>
      </c>
      <c r="I1" s="3" t="s">
        <v>367</v>
      </c>
      <c r="J1" s="3" t="s">
        <v>349</v>
      </c>
      <c r="K1" s="3" t="s">
        <v>350</v>
      </c>
      <c r="L1" s="3" t="s">
        <v>352</v>
      </c>
      <c r="M1" s="3" t="s">
        <v>353</v>
      </c>
      <c r="N1" s="3" t="s">
        <v>354</v>
      </c>
      <c r="O1" s="60" t="s">
        <v>355</v>
      </c>
      <c r="P1" s="3" t="s">
        <v>356</v>
      </c>
      <c r="Q1" s="61" t="s">
        <v>429</v>
      </c>
      <c r="R1" s="61" t="s">
        <v>437</v>
      </c>
      <c r="S1" s="61" t="s">
        <v>440</v>
      </c>
      <c r="T1" s="3" t="s">
        <v>431</v>
      </c>
      <c r="U1" s="3" t="s">
        <v>359</v>
      </c>
      <c r="V1" s="3" t="s">
        <v>441</v>
      </c>
      <c r="W1" s="3" t="s">
        <v>360</v>
      </c>
      <c r="X1" s="4" t="s">
        <v>14</v>
      </c>
    </row>
    <row r="2" spans="1:24" x14ac:dyDescent="0.25">
      <c r="A2" s="1" t="s">
        <v>112</v>
      </c>
      <c r="B2" s="1">
        <v>2020</v>
      </c>
      <c r="C2" s="1" t="s">
        <v>88</v>
      </c>
      <c r="D2" s="1">
        <v>1356</v>
      </c>
      <c r="E2" s="14">
        <f>1800*200/D2</f>
        <v>265.48672566371681</v>
      </c>
      <c r="F2" s="1" t="s">
        <v>3</v>
      </c>
      <c r="G2" s="1" t="s">
        <v>3</v>
      </c>
      <c r="H2" s="14" t="s">
        <v>3</v>
      </c>
      <c r="I2" s="14">
        <f>460*200/D2</f>
        <v>67.846607669616517</v>
      </c>
      <c r="J2" s="14">
        <f>430*200/D2*41.87</f>
        <v>2655.4719764011797</v>
      </c>
      <c r="K2" s="1" t="s">
        <v>3</v>
      </c>
      <c r="L2" s="7">
        <f>6.7*200/D2</f>
        <v>0.98820058997050142</v>
      </c>
      <c r="M2" s="14" t="s">
        <v>3</v>
      </c>
      <c r="N2" s="14">
        <f>130*200/D2</f>
        <v>19.174041297935105</v>
      </c>
      <c r="O2" s="14">
        <f>4.6*200/D2*1000</f>
        <v>678.46607669616515</v>
      </c>
      <c r="P2" s="14">
        <f>0.1*200/D2*1000</f>
        <v>14.749262536873156</v>
      </c>
      <c r="Q2" s="14">
        <f>880*200/D2</f>
        <v>129.79351032448378</v>
      </c>
      <c r="R2" s="14">
        <f>1200*200/D2</f>
        <v>176.99115044247787</v>
      </c>
      <c r="S2" s="14">
        <f>8200*200/D2</f>
        <v>1209.4395280235988</v>
      </c>
      <c r="T2" s="1" t="s">
        <v>3</v>
      </c>
      <c r="U2" s="14">
        <f>230*200/D2</f>
        <v>33.923303834808259</v>
      </c>
      <c r="V2" s="14">
        <f>29000*200/D2</f>
        <v>4277.2861356932153</v>
      </c>
      <c r="W2" s="14">
        <f>0.002*200/D2*10^6</f>
        <v>294.9852507374631</v>
      </c>
      <c r="X2" s="1" t="s">
        <v>448</v>
      </c>
    </row>
    <row r="3" spans="1:24" x14ac:dyDescent="0.25">
      <c r="A3" s="1" t="s">
        <v>115</v>
      </c>
      <c r="B3" s="1">
        <v>2024</v>
      </c>
      <c r="C3" s="1" t="s">
        <v>87</v>
      </c>
      <c r="D3" s="1">
        <v>2500</v>
      </c>
      <c r="E3" s="14">
        <f>(0.055+0.0012)/33.33*8000*20</f>
        <v>269.78697869786981</v>
      </c>
      <c r="F3" s="69">
        <f>33.97/33.33</f>
        <v>1.0192019201920193</v>
      </c>
      <c r="G3" s="1" t="s">
        <v>3</v>
      </c>
      <c r="H3" s="14">
        <f>(0.00000858+0.00000000117)/33.33*8000*20*1000</f>
        <v>41.193735373537351</v>
      </c>
      <c r="I3" s="1" t="s">
        <v>3</v>
      </c>
      <c r="J3" s="14" t="s">
        <v>3</v>
      </c>
      <c r="K3" s="1" t="s">
        <v>3</v>
      </c>
      <c r="L3" s="1" t="s">
        <v>3</v>
      </c>
      <c r="M3" s="14" t="s">
        <v>3</v>
      </c>
      <c r="N3" s="7">
        <f>(0.0015+0.000000739)/33.33*20*8000</f>
        <v>7.2042676267626771</v>
      </c>
      <c r="O3" s="14">
        <f>(0.0003+0.000000558)/33.33*20*8000*1000*0.3924</f>
        <v>566.16362052205216</v>
      </c>
      <c r="P3" s="1" t="s">
        <v>3</v>
      </c>
      <c r="Q3" s="1" t="s">
        <v>3</v>
      </c>
      <c r="R3" s="1" t="s">
        <v>3</v>
      </c>
      <c r="S3" s="14" t="s">
        <v>3</v>
      </c>
      <c r="T3" s="1" t="s">
        <v>3</v>
      </c>
      <c r="U3" s="14" t="s">
        <v>3</v>
      </c>
      <c r="V3" s="1" t="s">
        <v>3</v>
      </c>
      <c r="W3" s="1" t="s">
        <v>3</v>
      </c>
      <c r="X3" s="1" t="s">
        <v>3</v>
      </c>
    </row>
    <row r="4" spans="1:24" x14ac:dyDescent="0.25">
      <c r="A4" s="1" t="s">
        <v>115</v>
      </c>
      <c r="B4" s="1">
        <v>2024</v>
      </c>
      <c r="C4" s="1" t="s">
        <v>87</v>
      </c>
      <c r="D4" s="1">
        <v>2500</v>
      </c>
      <c r="E4" s="14">
        <f>(0.099+0.0028)/33.33*8000*20</f>
        <v>488.68886888688871</v>
      </c>
      <c r="F4" s="69">
        <f>3.45/33.33</f>
        <v>0.10351035103510352</v>
      </c>
      <c r="G4" s="1" t="s">
        <v>3</v>
      </c>
      <c r="H4" s="14">
        <f>(0.0000198+0.00000000264)/33.33*8000*20*1000</f>
        <v>95.062178217821781</v>
      </c>
      <c r="I4" s="1" t="s">
        <v>3</v>
      </c>
      <c r="J4" s="14" t="s">
        <v>3</v>
      </c>
      <c r="K4" s="1" t="s">
        <v>3</v>
      </c>
      <c r="L4" s="1" t="s">
        <v>3</v>
      </c>
      <c r="M4" s="14" t="s">
        <v>3</v>
      </c>
      <c r="N4" s="14">
        <f>(0.002+0.00000173)/33.33*8000*20</f>
        <v>9.6092649264926511</v>
      </c>
      <c r="O4" s="14">
        <f>(0.0005+0.00000129)/33.33*8000*20*1000</f>
        <v>2406.432643264327</v>
      </c>
      <c r="P4" s="1" t="s">
        <v>3</v>
      </c>
      <c r="Q4" s="1" t="s">
        <v>3</v>
      </c>
      <c r="R4" s="1" t="s">
        <v>3</v>
      </c>
      <c r="S4" s="14" t="s">
        <v>3</v>
      </c>
      <c r="T4" s="1" t="s">
        <v>3</v>
      </c>
      <c r="U4" s="14" t="s">
        <v>3</v>
      </c>
      <c r="V4" s="1" t="s">
        <v>3</v>
      </c>
      <c r="W4" s="1" t="s">
        <v>3</v>
      </c>
      <c r="X4" s="1" t="s">
        <v>3</v>
      </c>
    </row>
    <row r="5" spans="1:24" x14ac:dyDescent="0.25">
      <c r="A5" s="1" t="s">
        <v>115</v>
      </c>
      <c r="B5" s="1">
        <v>2024</v>
      </c>
      <c r="C5" s="1" t="s">
        <v>87</v>
      </c>
      <c r="D5" s="1">
        <v>2500</v>
      </c>
      <c r="E5" s="14">
        <f>(0.061+0.0026)/33.33*8000*20</f>
        <v>305.31053105310536</v>
      </c>
      <c r="F5" s="69">
        <f>3.17/33.33</f>
        <v>9.5109510951095114E-2</v>
      </c>
      <c r="G5" s="1" t="s">
        <v>3</v>
      </c>
      <c r="H5" s="14">
        <f>(0.0000177+0.00000000229)/33.33*20*8000*1000</f>
        <v>84.97948994899491</v>
      </c>
      <c r="I5" s="1" t="s">
        <v>3</v>
      </c>
      <c r="J5" s="14" t="s">
        <v>3</v>
      </c>
      <c r="K5" s="1" t="s">
        <v>3</v>
      </c>
      <c r="L5" s="1" t="s">
        <v>3</v>
      </c>
      <c r="M5" s="14" t="s">
        <v>3</v>
      </c>
      <c r="N5" s="7">
        <f>(0.0009+0.00000156)*20*8000/33.33</f>
        <v>4.3279207920792073</v>
      </c>
      <c r="O5" s="14">
        <f>(0.0003+0.00000114)/33.33*20*8000*1000</f>
        <v>1445.6165616561655</v>
      </c>
      <c r="P5" s="1" t="s">
        <v>3</v>
      </c>
      <c r="Q5" s="1" t="s">
        <v>3</v>
      </c>
      <c r="R5" s="1" t="s">
        <v>3</v>
      </c>
      <c r="S5" s="14" t="s">
        <v>3</v>
      </c>
      <c r="T5" s="1" t="s">
        <v>3</v>
      </c>
      <c r="U5" s="14" t="s">
        <v>3</v>
      </c>
      <c r="V5" s="1" t="s">
        <v>3</v>
      </c>
      <c r="W5" s="1" t="s">
        <v>3</v>
      </c>
      <c r="X5" s="1" t="s">
        <v>3</v>
      </c>
    </row>
    <row r="6" spans="1:24" x14ac:dyDescent="0.25">
      <c r="A6" s="1" t="s">
        <v>116</v>
      </c>
      <c r="B6" s="1">
        <v>2024</v>
      </c>
      <c r="C6" s="1" t="s">
        <v>87</v>
      </c>
      <c r="D6" s="1">
        <v>670</v>
      </c>
      <c r="E6" s="14">
        <v>94.511848029748791</v>
      </c>
      <c r="F6" s="1" t="s">
        <v>3</v>
      </c>
      <c r="G6" s="1" t="s">
        <v>3</v>
      </c>
      <c r="H6" s="14">
        <v>22.674590257895421</v>
      </c>
      <c r="I6" s="1" t="s">
        <v>3</v>
      </c>
      <c r="J6" s="14">
        <v>1305.8115672003455</v>
      </c>
      <c r="K6" s="1" t="s">
        <v>3</v>
      </c>
      <c r="L6" s="1" t="s">
        <v>3</v>
      </c>
      <c r="M6" s="7">
        <f>2855.53110110522/1000</f>
        <v>2.8555311011052198</v>
      </c>
      <c r="N6" s="7" t="s">
        <v>3</v>
      </c>
      <c r="O6" s="14">
        <v>13.528854675494003</v>
      </c>
      <c r="P6" s="14">
        <v>332.84065528115667</v>
      </c>
      <c r="Q6" s="1" t="s">
        <v>3</v>
      </c>
      <c r="R6" s="1" t="s">
        <v>3</v>
      </c>
      <c r="S6" s="14" t="s">
        <v>3</v>
      </c>
      <c r="T6" s="1" t="s">
        <v>3</v>
      </c>
      <c r="U6" s="14" t="s">
        <v>3</v>
      </c>
      <c r="V6" s="1" t="s">
        <v>3</v>
      </c>
      <c r="W6" s="1" t="s">
        <v>3</v>
      </c>
      <c r="X6" s="1" t="s">
        <v>3</v>
      </c>
    </row>
    <row r="7" spans="1:24" x14ac:dyDescent="0.25">
      <c r="A7" s="1" t="s">
        <v>116</v>
      </c>
      <c r="B7" s="1">
        <v>2024</v>
      </c>
      <c r="C7" s="1" t="s">
        <v>87</v>
      </c>
      <c r="D7" s="1">
        <v>9750</v>
      </c>
      <c r="E7" s="14">
        <v>83.920346979401828</v>
      </c>
      <c r="F7" s="1" t="s">
        <v>3</v>
      </c>
      <c r="G7" s="1" t="s">
        <v>3</v>
      </c>
      <c r="H7" s="14">
        <v>2.307421857719965</v>
      </c>
      <c r="I7" s="1" t="s">
        <v>3</v>
      </c>
      <c r="J7" s="14">
        <v>1118.555474247745</v>
      </c>
      <c r="K7" s="1" t="s">
        <v>3</v>
      </c>
      <c r="L7" s="1" t="s">
        <v>3</v>
      </c>
      <c r="M7" s="7">
        <f>614.602749966742/1000</f>
        <v>0.61460274996674191</v>
      </c>
      <c r="N7" s="7" t="s">
        <v>3</v>
      </c>
      <c r="O7" s="14">
        <v>4.2238994777528083</v>
      </c>
      <c r="P7" s="14">
        <v>160.57428073052043</v>
      </c>
      <c r="Q7" s="1" t="s">
        <v>3</v>
      </c>
      <c r="R7" s="1" t="s">
        <v>3</v>
      </c>
      <c r="S7" s="14" t="s">
        <v>3</v>
      </c>
      <c r="T7" s="1" t="s">
        <v>3</v>
      </c>
      <c r="U7" s="14" t="s">
        <v>3</v>
      </c>
      <c r="V7" s="1" t="s">
        <v>3</v>
      </c>
      <c r="W7" s="1" t="s">
        <v>3</v>
      </c>
      <c r="X7" s="1" t="s">
        <v>3</v>
      </c>
    </row>
    <row r="8" spans="1:24" x14ac:dyDescent="0.25">
      <c r="A8" s="1" t="s">
        <v>120</v>
      </c>
      <c r="B8" s="1">
        <v>2021</v>
      </c>
      <c r="C8" s="1" t="s">
        <v>87</v>
      </c>
      <c r="D8" s="1">
        <v>1000</v>
      </c>
      <c r="E8" s="15">
        <f>0.0576*17.7*240000/D8</f>
        <v>244.6848</v>
      </c>
      <c r="F8" s="1" t="s">
        <v>3</v>
      </c>
      <c r="G8" s="14">
        <f>0.00161*17.7*240000/D8</f>
        <v>6.8392800000000005</v>
      </c>
      <c r="H8" s="14" t="s">
        <v>3</v>
      </c>
      <c r="I8" s="14">
        <f>0.00676*17.7*240000/D8</f>
        <v>28.716480000000004</v>
      </c>
      <c r="J8" s="14">
        <f>0.0234*41.87*17.7*240000/1000</f>
        <v>4162.0119839999998</v>
      </c>
      <c r="K8" s="7">
        <f>0.000366*17.7*240000/D8</f>
        <v>1.5547679999999999</v>
      </c>
      <c r="L8" s="7">
        <f>0.000599*17.7*240000/D8</f>
        <v>2.5445519999999999</v>
      </c>
      <c r="M8" s="14" t="s">
        <v>3</v>
      </c>
      <c r="N8" s="7">
        <f>0.00203*17.7*240000/D8</f>
        <v>8.6234399999999987</v>
      </c>
      <c r="O8" s="14">
        <f>0.0000573*1000*17.7*240000/D8</f>
        <v>243.41039999999995</v>
      </c>
      <c r="P8" s="14">
        <f>0.00000249*1000*17.7*240000/D8</f>
        <v>10.57752</v>
      </c>
      <c r="Q8" s="14">
        <f>0.0147*17.7*240000/D8</f>
        <v>62.445599999999992</v>
      </c>
      <c r="R8" s="14">
        <f>0.0177*17.7*240000/D8</f>
        <v>75.189600000000013</v>
      </c>
      <c r="S8" s="14">
        <f>0.0101*17.7*240000/D8</f>
        <v>42.904799999999994</v>
      </c>
      <c r="T8" s="14">
        <f>0.0032*17.7*240000/D8</f>
        <v>13.5936</v>
      </c>
      <c r="U8" s="14">
        <f>0.00612*17.7*240000/D8</f>
        <v>25.99776</v>
      </c>
      <c r="V8" s="14">
        <f>0.866*17.7*240000/D8</f>
        <v>3678.7679999999996</v>
      </c>
      <c r="W8" s="14">
        <f>0.000000163*10^6*17.7*240000/D8</f>
        <v>692.42399999999986</v>
      </c>
      <c r="X8" s="1" t="s">
        <v>449</v>
      </c>
    </row>
    <row r="9" spans="1:24" x14ac:dyDescent="0.25">
      <c r="A9" s="1" t="s">
        <v>185</v>
      </c>
      <c r="B9" s="1">
        <v>2023</v>
      </c>
      <c r="C9" s="1" t="s">
        <v>87</v>
      </c>
      <c r="D9" s="1">
        <v>1000</v>
      </c>
      <c r="E9" s="14">
        <f>447000/D9</f>
        <v>447</v>
      </c>
      <c r="F9" s="1" t="s">
        <v>3</v>
      </c>
      <c r="G9" s="14">
        <f>11700/D9</f>
        <v>11.7</v>
      </c>
      <c r="H9" s="14" t="s">
        <v>3</v>
      </c>
      <c r="I9" s="14">
        <f>16100/D9</f>
        <v>16.100000000000001</v>
      </c>
      <c r="J9" s="14">
        <f>115000/D9*41.87</f>
        <v>4815.0499999999993</v>
      </c>
      <c r="K9" s="7">
        <f>4070/D9</f>
        <v>4.07</v>
      </c>
      <c r="L9" s="7">
        <f>1430/D9</f>
        <v>1.43</v>
      </c>
      <c r="M9" s="14" t="s">
        <v>3</v>
      </c>
      <c r="N9" s="7">
        <f>3260/D9</f>
        <v>3.26</v>
      </c>
      <c r="O9" s="14">
        <f>291*1000/D9</f>
        <v>291</v>
      </c>
      <c r="P9" s="14">
        <f>16.1/D9*1000</f>
        <v>16.100000000000001</v>
      </c>
      <c r="Q9" s="14">
        <f>129000/D9</f>
        <v>129</v>
      </c>
      <c r="R9" s="1">
        <f>165000/D9</f>
        <v>165</v>
      </c>
      <c r="S9" s="14">
        <f>6670000/D9</f>
        <v>6670</v>
      </c>
      <c r="T9" s="14">
        <f>25300/D9</f>
        <v>25.3</v>
      </c>
      <c r="U9" s="14">
        <f>123000/D9</f>
        <v>123</v>
      </c>
      <c r="V9" s="1">
        <f>1370000/D9</f>
        <v>1370</v>
      </c>
      <c r="W9" s="1">
        <f>0.904*10^6/D9</f>
        <v>904</v>
      </c>
      <c r="X9" s="1" t="s">
        <v>3</v>
      </c>
    </row>
    <row r="11" spans="1:24" x14ac:dyDescent="0.25">
      <c r="E11" s="14"/>
      <c r="F11" s="14"/>
      <c r="G11" s="14"/>
      <c r="H11" s="14"/>
      <c r="I11" s="14"/>
      <c r="J11" s="14"/>
      <c r="K11" s="14"/>
      <c r="L11" s="14"/>
      <c r="M11" s="14"/>
      <c r="N11" s="14"/>
      <c r="O11" s="14"/>
      <c r="P11" s="14"/>
      <c r="Q11" s="14"/>
      <c r="R11" s="14"/>
      <c r="S11" s="14"/>
      <c r="T11" s="14"/>
      <c r="U11" s="14"/>
      <c r="V11" s="14"/>
      <c r="W11" s="14"/>
    </row>
    <row r="12" spans="1:24" x14ac:dyDescent="0.25">
      <c r="E12" s="14"/>
      <c r="F12" s="14"/>
      <c r="G12" s="14"/>
      <c r="H12" s="14"/>
      <c r="I12" s="14"/>
      <c r="J12" s="14"/>
      <c r="K12" s="14"/>
      <c r="L12" s="14"/>
      <c r="M12" s="14"/>
      <c r="N12" s="14"/>
      <c r="O12" s="14"/>
      <c r="P12" s="14"/>
      <c r="Q12" s="14"/>
      <c r="R12" s="14"/>
      <c r="S12" s="14"/>
      <c r="T12" s="14"/>
      <c r="U12" s="14"/>
      <c r="V12" s="14"/>
      <c r="W12" s="14"/>
    </row>
    <row r="13" spans="1:24" x14ac:dyDescent="0.25">
      <c r="E13" s="14"/>
      <c r="F13" s="14"/>
      <c r="G13" s="14"/>
      <c r="H13" s="14"/>
      <c r="I13" s="14"/>
      <c r="J13" s="14"/>
      <c r="K13" s="14"/>
      <c r="L13" s="14"/>
      <c r="M13" s="14"/>
      <c r="N13" s="14"/>
      <c r="O13" s="14"/>
      <c r="P13" s="14"/>
      <c r="Q13" s="14"/>
      <c r="R13" s="14"/>
      <c r="S13" s="14"/>
      <c r="T13" s="14"/>
      <c r="U13" s="14"/>
      <c r="V13" s="14"/>
      <c r="W13" s="1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9BDB08AEE59A0449AA948328FF072BF" ma:contentTypeVersion="10" ma:contentTypeDescription="Creare un nuovo documento." ma:contentTypeScope="" ma:versionID="657f22e9f22a397077cf6bac84fbf529">
  <xsd:schema xmlns:xsd="http://www.w3.org/2001/XMLSchema" xmlns:xs="http://www.w3.org/2001/XMLSchema" xmlns:p="http://schemas.microsoft.com/office/2006/metadata/properties" xmlns:ns2="c4d76208-9998-46e1-af7d-adf5e60751e8" targetNamespace="http://schemas.microsoft.com/office/2006/metadata/properties" ma:root="true" ma:fieldsID="b57bcce45d90f07c5f344643954c9ba7" ns2:_="">
    <xsd:import namespace="c4d76208-9998-46e1-af7d-adf5e60751e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4d76208-9998-46e1-af7d-adf5e6075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01d839f4-5e4e-4afa-85c1-b6ecef325b10"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4d76208-9998-46e1-af7d-adf5e60751e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59C8C5D-DD56-4678-AA55-1A2F7B2048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4d76208-9998-46e1-af7d-adf5e60751e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16F3F3-6E34-4CF0-960F-984B703479B3}">
  <ds:schemaRefs>
    <ds:schemaRef ds:uri="http://schemas.microsoft.com/sharepoint/v3/contenttype/forms"/>
  </ds:schemaRefs>
</ds:datastoreItem>
</file>

<file path=customXml/itemProps3.xml><?xml version="1.0" encoding="utf-8"?>
<ds:datastoreItem xmlns:ds="http://schemas.openxmlformats.org/officeDocument/2006/customXml" ds:itemID="{1909C94A-BDE1-45A5-9295-A4F5C95B094A}">
  <ds:schemaRefs>
    <ds:schemaRef ds:uri="http://schemas.microsoft.com/office/2006/metadata/properties"/>
    <ds:schemaRef ds:uri="http://schemas.microsoft.com/office/infopath/2007/PartnerControls"/>
    <ds:schemaRef ds:uri="c4d76208-9998-46e1-af7d-adf5e60751e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Metadata</vt:lpstr>
      <vt:lpstr>References</vt:lpstr>
      <vt:lpstr>PV</vt:lpstr>
      <vt:lpstr>BESS</vt:lpstr>
      <vt:lpstr>STE</vt:lpstr>
      <vt:lpstr>TES</vt:lpstr>
      <vt:lpstr>PEMFC</vt:lpstr>
      <vt:lpstr>SOFC</vt:lpstr>
      <vt:lpstr>PEMEC</vt:lpstr>
      <vt:lpstr>AEL</vt:lpstr>
      <vt:lpstr>CGH2</vt:lpstr>
      <vt:lpstr>ICE</vt:lpstr>
      <vt:lpstr>Boiler</vt:lpstr>
      <vt:lpstr>HP</vt:lpstr>
      <vt:lpstr>ORC</vt:lpstr>
      <vt:lpstr>Energy carriers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Rozzi</dc:creator>
  <cp:lastModifiedBy>Elena  Rozzi</cp:lastModifiedBy>
  <dcterms:created xsi:type="dcterms:W3CDTF">2024-11-13T08:33:02Z</dcterms:created>
  <dcterms:modified xsi:type="dcterms:W3CDTF">2025-05-02T13:30:31Z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0x01010009BDB08AEE59A0449AA948328FF072BF</vt:lpwstr>
  </property>
  <property fmtid="{D5CDD505-2E9C-101B-9397-08002B2CF9AE}" pid="3" name="MediaServiceImageTags">
    <vt:lpwstr/>
  </property>
</Properties>
</file>