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hameenamk-my.sharepoint.com/personal/onachristina230_hamk_fi/Documents/Laskurit/"/>
    </mc:Choice>
  </mc:AlternateContent>
  <xr:revisionPtr revIDLastSave="0" documentId="8_{9A730240-3FCD-4472-B154-6FFAB0C62EBC}" xr6:coauthVersionLast="47" xr6:coauthVersionMax="47" xr10:uidLastSave="{00000000-0000-0000-0000-000000000000}"/>
  <bookViews>
    <workbookView xWindow="-108" yWindow="-108" windowWidth="23256" windowHeight="12456" xr2:uid="{43C79BCB-0ACD-4994-8541-90A97990FE60}"/>
  </bookViews>
  <sheets>
    <sheet name="Energiainvestointilaskuri" sheetId="7" r:id="rId1"/>
    <sheet name="Aloitustaulukot" sheetId="2" state="hidden" r:id="rId2"/>
    <sheet name="Energia" sheetId="1" r:id="rId3"/>
    <sheet name="Tausta" sheetId="4" r:id="rId4"/>
    <sheet name="Aurinkosähkö" sheetId="6" r:id="rId5"/>
    <sheet name="rakennusosat" sheetId="3" r:id="rId6"/>
  </sheets>
  <externalReferences>
    <externalReference r:id="rId7"/>
  </externalReferences>
  <definedNames>
    <definedName name="ExternalData_1" localSheetId="1" hidden="1">Aloitustaulukot!$B$240:$J$257</definedName>
    <definedName name="ExternalData_2" localSheetId="1" hidden="1">Aloitustaulukot!$B$259:$J$276</definedName>
    <definedName name="ExternalData_3" localSheetId="1" hidden="1">Aloitustaulukot!$B$277:$J$290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0" i="1" l="1"/>
  <c r="G20" i="4"/>
  <c r="L51" i="6" l="1"/>
  <c r="L52" i="6" s="1"/>
  <c r="L53" i="6" s="1"/>
  <c r="L54" i="6" s="1"/>
  <c r="L55" i="6" s="1"/>
  <c r="L56" i="6" s="1"/>
  <c r="L57" i="6" s="1"/>
  <c r="L58" i="6" s="1"/>
  <c r="L59" i="6" s="1"/>
  <c r="L60" i="6" s="1"/>
  <c r="L61" i="6" s="1"/>
  <c r="L62" i="6" s="1"/>
  <c r="L63" i="6" s="1"/>
  <c r="L64" i="6" s="1"/>
  <c r="L65" i="6" s="1"/>
  <c r="L66" i="6" s="1"/>
  <c r="L67" i="6" s="1"/>
  <c r="L68" i="6" s="1"/>
  <c r="L69" i="6" s="1"/>
  <c r="L70" i="6" s="1"/>
  <c r="L71" i="6" s="1"/>
  <c r="L72" i="6" s="1"/>
  <c r="L73" i="6" s="1"/>
  <c r="L74" i="6" s="1"/>
  <c r="L75" i="6" s="1"/>
  <c r="L50" i="6"/>
  <c r="K140" i="1"/>
  <c r="D141" i="1"/>
  <c r="C44" i="1"/>
  <c r="D35" i="6"/>
  <c r="F100" i="1"/>
  <c r="C69" i="1"/>
  <c r="C68" i="1"/>
  <c r="C30" i="1"/>
  <c r="C20" i="4" s="1"/>
  <c r="F3" i="1"/>
  <c r="C10" i="1"/>
  <c r="C53" i="1" s="1"/>
  <c r="F53" i="1" s="1"/>
  <c r="C22" i="1"/>
  <c r="B9" i="6"/>
  <c r="C64" i="1"/>
  <c r="C63" i="1"/>
  <c r="C71" i="1"/>
  <c r="F140" i="1"/>
  <c r="G20" i="1"/>
  <c r="C70" i="4" s="1"/>
  <c r="G19" i="1"/>
  <c r="K160" i="1"/>
  <c r="D140" i="1"/>
  <c r="C136" i="1"/>
  <c r="B141" i="1" s="1"/>
  <c r="D142" i="1" l="1"/>
  <c r="F141" i="1"/>
  <c r="C164" i="1"/>
  <c r="B142" i="1"/>
  <c r="D143" i="1" s="1"/>
  <c r="F142" i="1" l="1"/>
  <c r="B143" i="1"/>
  <c r="D144" i="1" s="1"/>
  <c r="F143" i="1" l="1"/>
  <c r="B144" i="1"/>
  <c r="D145" i="1" s="1"/>
  <c r="F144" i="1" l="1"/>
  <c r="B145" i="1"/>
  <c r="D146" i="1" s="1"/>
  <c r="F145" i="1" l="1"/>
  <c r="B146" i="1"/>
  <c r="D147" i="1" s="1"/>
  <c r="F146" i="1" l="1"/>
  <c r="B147" i="1"/>
  <c r="D148" i="1" s="1"/>
  <c r="F147" i="1" l="1"/>
  <c r="B148" i="1"/>
  <c r="D149" i="1" s="1"/>
  <c r="F148" i="1" l="1"/>
  <c r="B149" i="1"/>
  <c r="D150" i="1" s="1"/>
  <c r="F149" i="1" l="1"/>
  <c r="B150" i="1"/>
  <c r="D151" i="1" s="1"/>
  <c r="F150" i="1" l="1"/>
  <c r="B151" i="1"/>
  <c r="B152" i="1" s="1"/>
  <c r="B153" i="1" s="1"/>
  <c r="F151" i="1" l="1"/>
  <c r="F152" i="1" s="1"/>
  <c r="F153" i="1" s="1"/>
  <c r="D152" i="1"/>
  <c r="D153" i="1" s="1"/>
  <c r="D154" i="1" s="1"/>
  <c r="B154" i="1"/>
  <c r="D155" i="1" l="1"/>
  <c r="F154" i="1"/>
  <c r="B155" i="1"/>
  <c r="D156" i="1" l="1"/>
  <c r="F155" i="1"/>
  <c r="B156" i="1"/>
  <c r="D157" i="1" s="1"/>
  <c r="F156" i="1" l="1"/>
  <c r="B157" i="1"/>
  <c r="D158" i="1" s="1"/>
  <c r="F157" i="1" l="1"/>
  <c r="B158" i="1"/>
  <c r="D159" i="1" s="1"/>
  <c r="F158" i="1" l="1"/>
  <c r="B159" i="1"/>
  <c r="F159" i="1" l="1"/>
  <c r="C96" i="1"/>
  <c r="C112" i="1" s="1"/>
  <c r="C36" i="1"/>
  <c r="D435" i="2"/>
  <c r="D434" i="2"/>
  <c r="D433" i="2"/>
  <c r="C101" i="1" l="1"/>
  <c r="C46" i="1"/>
  <c r="D33" i="6"/>
  <c r="A50" i="6"/>
  <c r="B23" i="6"/>
  <c r="B22" i="6"/>
  <c r="B21" i="6"/>
  <c r="B20" i="6"/>
  <c r="C20" i="6" s="1"/>
  <c r="B19" i="6"/>
  <c r="B18" i="6"/>
  <c r="B17" i="6"/>
  <c r="B16" i="6"/>
  <c r="B15" i="6"/>
  <c r="B14" i="6"/>
  <c r="B13" i="6"/>
  <c r="B12" i="6"/>
  <c r="C12" i="6" s="1"/>
  <c r="C50" i="6" l="1"/>
  <c r="C51" i="6" s="1"/>
  <c r="C52" i="6" s="1"/>
  <c r="C53" i="6" s="1"/>
  <c r="C54" i="6" s="1"/>
  <c r="C55" i="6" s="1"/>
  <c r="C56" i="6" s="1"/>
  <c r="C57" i="6" s="1"/>
  <c r="C58" i="6" s="1"/>
  <c r="C59" i="6" s="1"/>
  <c r="C60" i="6" s="1"/>
  <c r="C61" i="6" s="1"/>
  <c r="C62" i="6" s="1"/>
  <c r="C63" i="6" s="1"/>
  <c r="C64" i="6" s="1"/>
  <c r="C65" i="6" s="1"/>
  <c r="C66" i="6" s="1"/>
  <c r="C67" i="6" s="1"/>
  <c r="C68" i="6" s="1"/>
  <c r="C69" i="6" s="1"/>
  <c r="C70" i="6" s="1"/>
  <c r="C71" i="6" s="1"/>
  <c r="C72" i="6" s="1"/>
  <c r="C73" i="6" s="1"/>
  <c r="C74" i="6" s="1"/>
  <c r="C75" i="6" s="1"/>
  <c r="C23" i="6"/>
  <c r="D36" i="6"/>
  <c r="I49" i="6" s="1"/>
  <c r="C18" i="6"/>
  <c r="C19" i="6"/>
  <c r="C13" i="6"/>
  <c r="C14" i="6"/>
  <c r="C15" i="6"/>
  <c r="C16" i="6"/>
  <c r="C17" i="6"/>
  <c r="C21" i="6"/>
  <c r="C22" i="6"/>
  <c r="J50" i="6"/>
  <c r="A51" i="6"/>
  <c r="B24" i="6"/>
  <c r="D37" i="6" l="1"/>
  <c r="D41" i="6" s="1"/>
  <c r="J51" i="6"/>
  <c r="A52" i="6"/>
  <c r="C24" i="6"/>
  <c r="B50" i="6" l="1"/>
  <c r="B51" i="6" s="1"/>
  <c r="A53" i="6"/>
  <c r="J52" i="6"/>
  <c r="E50" i="6" l="1"/>
  <c r="A54" i="6"/>
  <c r="J53" i="6"/>
  <c r="J54" i="6" l="1"/>
  <c r="A55" i="6"/>
  <c r="E51" i="6"/>
  <c r="B52" i="6"/>
  <c r="E52" i="6" l="1"/>
  <c r="B53" i="6"/>
  <c r="J55" i="6"/>
  <c r="A56" i="6"/>
  <c r="E53" i="6" l="1"/>
  <c r="B54" i="6"/>
  <c r="J56" i="6"/>
  <c r="A57" i="6"/>
  <c r="A58" i="6" l="1"/>
  <c r="J57" i="6"/>
  <c r="E54" i="6"/>
  <c r="B55" i="6"/>
  <c r="E55" i="6" l="1"/>
  <c r="B56" i="6"/>
  <c r="J58" i="6"/>
  <c r="A59" i="6"/>
  <c r="E56" i="6" l="1"/>
  <c r="B57" i="6"/>
  <c r="J59" i="6"/>
  <c r="A60" i="6"/>
  <c r="A61" i="6" l="1"/>
  <c r="J60" i="6"/>
  <c r="E57" i="6"/>
  <c r="B58" i="6"/>
  <c r="J61" i="6" l="1"/>
  <c r="A62" i="6"/>
  <c r="E58" i="6"/>
  <c r="B59" i="6"/>
  <c r="J62" i="6" l="1"/>
  <c r="A63" i="6"/>
  <c r="E59" i="6"/>
  <c r="B60" i="6"/>
  <c r="E60" i="6" l="1"/>
  <c r="B61" i="6"/>
  <c r="J63" i="6"/>
  <c r="A64" i="6"/>
  <c r="A65" i="6" l="1"/>
  <c r="J64" i="6"/>
  <c r="E61" i="6"/>
  <c r="B62" i="6"/>
  <c r="A66" i="6" l="1"/>
  <c r="J65" i="6"/>
  <c r="E62" i="6"/>
  <c r="B63" i="6"/>
  <c r="E63" i="6" l="1"/>
  <c r="B64" i="6"/>
  <c r="J66" i="6"/>
  <c r="A67" i="6"/>
  <c r="E64" i="6" l="1"/>
  <c r="B65" i="6"/>
  <c r="A68" i="6"/>
  <c r="J67" i="6"/>
  <c r="E65" i="6" l="1"/>
  <c r="B66" i="6"/>
  <c r="J68" i="6"/>
  <c r="A69" i="6"/>
  <c r="A70" i="6" l="1"/>
  <c r="J69" i="6"/>
  <c r="E66" i="6"/>
  <c r="B67" i="6"/>
  <c r="E67" i="6" l="1"/>
  <c r="B68" i="6"/>
  <c r="J70" i="6"/>
  <c r="A71" i="6"/>
  <c r="E68" i="6" l="1"/>
  <c r="B69" i="6"/>
  <c r="A72" i="6"/>
  <c r="J71" i="6"/>
  <c r="A73" i="6" l="1"/>
  <c r="J72" i="6"/>
  <c r="E69" i="6"/>
  <c r="B70" i="6"/>
  <c r="A74" i="6" l="1"/>
  <c r="J73" i="6"/>
  <c r="E70" i="6"/>
  <c r="B71" i="6"/>
  <c r="E71" i="6" l="1"/>
  <c r="B72" i="6"/>
  <c r="J74" i="6"/>
  <c r="A75" i="6"/>
  <c r="E72" i="6" l="1"/>
  <c r="B73" i="6"/>
  <c r="C76" i="6"/>
  <c r="A76" i="6"/>
  <c r="J75" i="6"/>
  <c r="L76" i="6"/>
  <c r="B76" i="6" l="1"/>
  <c r="E76" i="6" s="1"/>
  <c r="L77" i="6"/>
  <c r="C77" i="6"/>
  <c r="J76" i="6"/>
  <c r="A77" i="6"/>
  <c r="E73" i="6"/>
  <c r="B74" i="6"/>
  <c r="B75" i="6" s="1"/>
  <c r="N76" i="6" l="1"/>
  <c r="M75" i="6"/>
  <c r="E75" i="6"/>
  <c r="M76" i="6"/>
  <c r="E74" i="6"/>
  <c r="A78" i="6"/>
  <c r="J77" i="6"/>
  <c r="L78" i="6"/>
  <c r="C78" i="6"/>
  <c r="B77" i="6"/>
  <c r="E77" i="6" s="1"/>
  <c r="M77" i="6" l="1"/>
  <c r="N77" i="6" s="1"/>
  <c r="N75" i="6"/>
  <c r="C79" i="6"/>
  <c r="M78" i="6"/>
  <c r="B78" i="6"/>
  <c r="L79" i="6"/>
  <c r="A79" i="6"/>
  <c r="J78" i="6"/>
  <c r="E78" i="6"/>
  <c r="N78" i="6" s="1"/>
  <c r="B79" i="6" l="1"/>
  <c r="B80" i="6" s="1"/>
  <c r="A80" i="6"/>
  <c r="J80" i="6" s="1"/>
  <c r="M79" i="6"/>
  <c r="J79" i="6"/>
  <c r="E79" i="6" l="1"/>
  <c r="N79" i="6" s="1"/>
  <c r="O79" i="6" l="1"/>
  <c r="P79" i="6" s="1"/>
  <c r="C23" i="1"/>
  <c r="D55" i="1"/>
  <c r="C434" i="2" l="1"/>
  <c r="C433" i="2"/>
  <c r="D437" i="2"/>
  <c r="D436" i="2"/>
  <c r="G119" i="1"/>
  <c r="G111" i="1"/>
  <c r="G127" i="1"/>
  <c r="G126" i="1"/>
  <c r="G123" i="1"/>
  <c r="G116" i="1"/>
  <c r="C75" i="4"/>
  <c r="C86" i="4"/>
  <c r="C85" i="4"/>
  <c r="C76" i="4"/>
  <c r="C54" i="1" l="1"/>
  <c r="C56" i="1"/>
  <c r="C57" i="1"/>
  <c r="D438" i="2"/>
  <c r="C439" i="2"/>
  <c r="D439" i="2"/>
  <c r="C437" i="2"/>
  <c r="C436" i="2"/>
  <c r="C435" i="2"/>
  <c r="C438" i="2"/>
  <c r="G235" i="2"/>
  <c r="F235" i="2"/>
  <c r="E235" i="2"/>
  <c r="D235" i="2"/>
  <c r="C235" i="2"/>
  <c r="C27" i="4"/>
  <c r="F4" i="1"/>
  <c r="F5" i="1"/>
  <c r="F6" i="1"/>
  <c r="F7" i="1"/>
  <c r="F8" i="1"/>
  <c r="F9" i="1"/>
  <c r="F11" i="4" s="1"/>
  <c r="G11" i="4" s="1"/>
  <c r="H11" i="4" s="1"/>
  <c r="C26" i="4" s="1"/>
  <c r="F10" i="1"/>
  <c r="F12" i="4" s="1"/>
  <c r="G12" i="4" s="1"/>
  <c r="H12" i="4" s="1"/>
  <c r="F11" i="1"/>
  <c r="F12" i="1"/>
  <c r="F13" i="1"/>
  <c r="F14" i="1"/>
  <c r="D444" i="2" l="1"/>
  <c r="C24" i="1"/>
  <c r="C75" i="1" l="1"/>
  <c r="C73" i="1"/>
  <c r="C70" i="1"/>
  <c r="C80" i="1" s="1"/>
  <c r="C74" i="1"/>
  <c r="C36" i="4" s="1"/>
  <c r="C72" i="1"/>
  <c r="C81" i="1" s="1"/>
  <c r="C76" i="1"/>
  <c r="L38" i="4"/>
  <c r="C62" i="1"/>
  <c r="D57" i="1"/>
  <c r="D56" i="1"/>
  <c r="D54" i="1"/>
  <c r="D53" i="1"/>
  <c r="C59" i="1"/>
  <c r="C55" i="1"/>
  <c r="C58" i="1" s="1"/>
  <c r="C37" i="1"/>
  <c r="C41" i="1"/>
  <c r="C42" i="1" s="1"/>
  <c r="C48" i="1"/>
  <c r="C84" i="1" s="1"/>
  <c r="C45" i="1"/>
  <c r="C32" i="1"/>
  <c r="E83" i="1" l="1"/>
  <c r="G83" i="1" s="1"/>
  <c r="C5" i="4"/>
  <c r="E81" i="1"/>
  <c r="C127" i="1" s="1"/>
  <c r="E80" i="1"/>
  <c r="C38" i="4"/>
  <c r="E85" i="1"/>
  <c r="O18" i="4"/>
  <c r="B89" i="1" s="1"/>
  <c r="E84" i="1"/>
  <c r="C116" i="1"/>
  <c r="E53" i="1"/>
  <c r="G53" i="1"/>
  <c r="H53" i="1"/>
  <c r="E54" i="1"/>
  <c r="G54" i="1"/>
  <c r="H54" i="1"/>
  <c r="F54" i="1"/>
  <c r="H55" i="1"/>
  <c r="G55" i="1"/>
  <c r="E55" i="1"/>
  <c r="F55" i="1"/>
  <c r="C45" i="4"/>
  <c r="C46" i="4"/>
  <c r="C39" i="4"/>
  <c r="C40" i="4"/>
  <c r="C41" i="4"/>
  <c r="C42" i="4"/>
  <c r="C44" i="4"/>
  <c r="C43" i="4"/>
  <c r="C49" i="4"/>
  <c r="C48" i="4"/>
  <c r="C47" i="4"/>
  <c r="E24" i="4"/>
  <c r="E25" i="4"/>
  <c r="E26" i="4"/>
  <c r="E20" i="4"/>
  <c r="E21" i="4"/>
  <c r="E27" i="4"/>
  <c r="E28" i="4"/>
  <c r="E30" i="4"/>
  <c r="E29" i="4"/>
  <c r="E31" i="4"/>
  <c r="E22" i="4"/>
  <c r="E23" i="4"/>
  <c r="G22" i="4"/>
  <c r="G29" i="4"/>
  <c r="G23" i="4"/>
  <c r="G24" i="4"/>
  <c r="G25" i="4"/>
  <c r="G21" i="4"/>
  <c r="G26" i="4"/>
  <c r="G30" i="4"/>
  <c r="G27" i="4"/>
  <c r="G28" i="4"/>
  <c r="G31" i="4"/>
  <c r="F24" i="4"/>
  <c r="F20" i="4"/>
  <c r="F23" i="4"/>
  <c r="F26" i="4"/>
  <c r="F28" i="4"/>
  <c r="F29" i="4"/>
  <c r="F30" i="4"/>
  <c r="F31" i="4"/>
  <c r="F27" i="4"/>
  <c r="F21" i="4"/>
  <c r="F22" i="4"/>
  <c r="F25" i="4"/>
  <c r="C14" i="4"/>
  <c r="C15" i="4"/>
  <c r="C16" i="4"/>
  <c r="C6" i="4"/>
  <c r="C7" i="4"/>
  <c r="C8" i="4"/>
  <c r="C10" i="4"/>
  <c r="C13" i="4"/>
  <c r="C9" i="4"/>
  <c r="C11" i="4"/>
  <c r="C12" i="4"/>
  <c r="I22" i="4"/>
  <c r="C33" i="1"/>
  <c r="E82" i="1" s="1"/>
  <c r="C31" i="1"/>
  <c r="C40" i="1" l="1"/>
  <c r="H30" i="4"/>
  <c r="F62" i="1"/>
  <c r="D38" i="4"/>
  <c r="P4" i="4" s="1"/>
  <c r="E116" i="1"/>
  <c r="H116" i="1" s="1"/>
  <c r="E127" i="1"/>
  <c r="H127" i="1" s="1"/>
  <c r="G46" i="4"/>
  <c r="H26" i="4"/>
  <c r="H31" i="4"/>
  <c r="H27" i="4"/>
  <c r="H25" i="4"/>
  <c r="H21" i="4"/>
  <c r="H29" i="4"/>
  <c r="I30" i="4"/>
  <c r="H24" i="4"/>
  <c r="H22" i="4"/>
  <c r="J22" i="4" s="1"/>
  <c r="H20" i="4"/>
  <c r="H23" i="4"/>
  <c r="H28" i="4"/>
  <c r="I27" i="4"/>
  <c r="I28" i="4"/>
  <c r="H57" i="1"/>
  <c r="E57" i="1"/>
  <c r="F57" i="1"/>
  <c r="G57" i="1"/>
  <c r="I26" i="4"/>
  <c r="I25" i="4"/>
  <c r="I29" i="4"/>
  <c r="I20" i="4"/>
  <c r="I31" i="4"/>
  <c r="I21" i="4"/>
  <c r="I23" i="4"/>
  <c r="I24" i="4"/>
  <c r="H56" i="1"/>
  <c r="E56" i="1"/>
  <c r="G56" i="1"/>
  <c r="F56" i="1"/>
  <c r="C50" i="4"/>
  <c r="E49" i="4"/>
  <c r="Q15" i="4" s="1"/>
  <c r="E38" i="4"/>
  <c r="Q4" i="4" s="1"/>
  <c r="E39" i="4"/>
  <c r="Q5" i="4" s="1"/>
  <c r="E41" i="4"/>
  <c r="Q7" i="4" s="1"/>
  <c r="E42" i="4"/>
  <c r="Q8" i="4" s="1"/>
  <c r="E46" i="4"/>
  <c r="Q12" i="4" s="1"/>
  <c r="E40" i="4"/>
  <c r="Q6" i="4" s="1"/>
  <c r="E43" i="4"/>
  <c r="Q9" i="4" s="1"/>
  <c r="E47" i="4"/>
  <c r="Q13" i="4" s="1"/>
  <c r="E48" i="4"/>
  <c r="Q14" i="4" s="1"/>
  <c r="E44" i="4"/>
  <c r="Q10" i="4" s="1"/>
  <c r="E45" i="4"/>
  <c r="Q11" i="4" s="1"/>
  <c r="D39" i="4"/>
  <c r="P5" i="4" s="1"/>
  <c r="D40" i="4"/>
  <c r="P6" i="4" s="1"/>
  <c r="D41" i="4"/>
  <c r="P7" i="4" s="1"/>
  <c r="D47" i="4"/>
  <c r="P13" i="4" s="1"/>
  <c r="D42" i="4"/>
  <c r="P8" i="4" s="1"/>
  <c r="D48" i="4"/>
  <c r="P14" i="4" s="1"/>
  <c r="D49" i="4"/>
  <c r="P15" i="4" s="1"/>
  <c r="D43" i="4"/>
  <c r="P9" i="4" s="1"/>
  <c r="D44" i="4"/>
  <c r="P10" i="4" s="1"/>
  <c r="D45" i="4"/>
  <c r="P11" i="4" s="1"/>
  <c r="D46" i="4"/>
  <c r="P12" i="4" s="1"/>
  <c r="F39" i="4"/>
  <c r="F40" i="4"/>
  <c r="F43" i="4"/>
  <c r="F44" i="4"/>
  <c r="F45" i="4"/>
  <c r="F46" i="4"/>
  <c r="F47" i="4"/>
  <c r="F42" i="4"/>
  <c r="F48" i="4"/>
  <c r="F41" i="4"/>
  <c r="F49" i="4"/>
  <c r="F38" i="4"/>
  <c r="E32" i="4"/>
  <c r="F32" i="4"/>
  <c r="G32" i="4"/>
  <c r="D10" i="4"/>
  <c r="E10" i="4"/>
  <c r="F10" i="4" s="1"/>
  <c r="G10" i="4" s="1"/>
  <c r="E32" i="1"/>
  <c r="O29" i="4" s="1"/>
  <c r="D15" i="4"/>
  <c r="E15" i="4"/>
  <c r="F15" i="4" s="1"/>
  <c r="G15" i="4" s="1"/>
  <c r="H15" i="4" s="1"/>
  <c r="D12" i="4"/>
  <c r="E12" i="4"/>
  <c r="D11" i="4"/>
  <c r="E11" i="4"/>
  <c r="D9" i="4"/>
  <c r="E9" i="4"/>
  <c r="F9" i="4" s="1"/>
  <c r="G9" i="4" s="1"/>
  <c r="H9" i="4" s="1"/>
  <c r="D13" i="4"/>
  <c r="E13" i="4"/>
  <c r="F13" i="4" s="1"/>
  <c r="G13" i="4" s="1"/>
  <c r="H13" i="4" s="1"/>
  <c r="D8" i="4"/>
  <c r="E8" i="4"/>
  <c r="F8" i="4" s="1"/>
  <c r="G8" i="4" s="1"/>
  <c r="H8" i="4" s="1"/>
  <c r="D7" i="4"/>
  <c r="E7" i="4"/>
  <c r="F7" i="4" s="1"/>
  <c r="G7" i="4" s="1"/>
  <c r="H7" i="4" s="1"/>
  <c r="D6" i="4"/>
  <c r="E6" i="4"/>
  <c r="F6" i="4" s="1"/>
  <c r="G6" i="4" s="1"/>
  <c r="H6" i="4" s="1"/>
  <c r="E5" i="4"/>
  <c r="F5" i="4" s="1"/>
  <c r="G5" i="4" s="1"/>
  <c r="H5" i="4" s="1"/>
  <c r="D5" i="4"/>
  <c r="D16" i="4"/>
  <c r="E16" i="4"/>
  <c r="F16" i="4" s="1"/>
  <c r="G16" i="4" s="1"/>
  <c r="H16" i="4" s="1"/>
  <c r="D14" i="4"/>
  <c r="E14" i="4"/>
  <c r="F14" i="4" s="1"/>
  <c r="G14" i="4" s="1"/>
  <c r="H14" i="4" s="1"/>
  <c r="F33" i="1"/>
  <c r="C82" i="1"/>
  <c r="C123" i="1"/>
  <c r="E123" i="1" s="1"/>
  <c r="H123" i="1" s="1"/>
  <c r="C13" i="1"/>
  <c r="C6" i="1"/>
  <c r="J98" i="2"/>
  <c r="J97" i="2"/>
  <c r="J96" i="2"/>
  <c r="J95" i="2"/>
  <c r="C21" i="4" l="1"/>
  <c r="C28" i="4"/>
  <c r="C23" i="4"/>
  <c r="C22" i="4"/>
  <c r="C30" i="4"/>
  <c r="C31" i="4"/>
  <c r="C24" i="4"/>
  <c r="C29" i="4"/>
  <c r="G115" i="1"/>
  <c r="R4" i="4"/>
  <c r="J30" i="4"/>
  <c r="R11" i="4"/>
  <c r="R10" i="4"/>
  <c r="R9" i="4"/>
  <c r="R12" i="4"/>
  <c r="R13" i="4"/>
  <c r="R7" i="4"/>
  <c r="R14" i="4"/>
  <c r="R6" i="4"/>
  <c r="R5" i="4"/>
  <c r="R15" i="4"/>
  <c r="R8" i="4"/>
  <c r="G47" i="4"/>
  <c r="G42" i="4"/>
  <c r="G48" i="4"/>
  <c r="G41" i="4"/>
  <c r="G38" i="4"/>
  <c r="G45" i="4"/>
  <c r="G40" i="4"/>
  <c r="G39" i="4"/>
  <c r="G49" i="4"/>
  <c r="G43" i="4"/>
  <c r="G44" i="4"/>
  <c r="H10" i="4"/>
  <c r="J25" i="4"/>
  <c r="J23" i="4"/>
  <c r="J28" i="4"/>
  <c r="J20" i="4"/>
  <c r="J29" i="4"/>
  <c r="J27" i="4"/>
  <c r="J26" i="4"/>
  <c r="J24" i="4"/>
  <c r="J21" i="4"/>
  <c r="J31" i="4"/>
  <c r="H32" i="4"/>
  <c r="O24" i="4"/>
  <c r="O22" i="4"/>
  <c r="O28" i="4"/>
  <c r="M19" i="4"/>
  <c r="L20" i="4" s="1"/>
  <c r="O23" i="4"/>
  <c r="O30" i="4"/>
  <c r="O31" i="4"/>
  <c r="O20" i="4"/>
  <c r="I32" i="4"/>
  <c r="C71" i="4"/>
  <c r="I20" i="1"/>
  <c r="O21" i="4"/>
  <c r="O26" i="4"/>
  <c r="O27" i="4"/>
  <c r="O25" i="4"/>
  <c r="F59" i="4"/>
  <c r="F60" i="4"/>
  <c r="F56" i="4"/>
  <c r="F57" i="4"/>
  <c r="F58" i="4"/>
  <c r="F61" i="4"/>
  <c r="F62" i="4"/>
  <c r="F63" i="4"/>
  <c r="F65" i="4"/>
  <c r="F64" i="4"/>
  <c r="F66" i="4"/>
  <c r="F55" i="4"/>
  <c r="C58" i="4"/>
  <c r="C61" i="4"/>
  <c r="C63" i="4"/>
  <c r="C59" i="4"/>
  <c r="C60" i="4"/>
  <c r="C62" i="4"/>
  <c r="C64" i="4"/>
  <c r="C57" i="4"/>
  <c r="C65" i="4"/>
  <c r="C56" i="4"/>
  <c r="C66" i="4"/>
  <c r="C55" i="4"/>
  <c r="D56" i="4"/>
  <c r="D62" i="4"/>
  <c r="D65" i="4"/>
  <c r="D64" i="4"/>
  <c r="D57" i="4"/>
  <c r="D55" i="4"/>
  <c r="D58" i="4"/>
  <c r="D66" i="4"/>
  <c r="D59" i="4"/>
  <c r="D61" i="4"/>
  <c r="D63" i="4"/>
  <c r="D60" i="4"/>
  <c r="E63" i="4"/>
  <c r="E65" i="4"/>
  <c r="E66" i="4"/>
  <c r="E55" i="4"/>
  <c r="E56" i="4"/>
  <c r="E64" i="4"/>
  <c r="E62" i="4"/>
  <c r="E59" i="4"/>
  <c r="E58" i="4"/>
  <c r="E60" i="4"/>
  <c r="E57" i="4"/>
  <c r="E61" i="4"/>
  <c r="D50" i="4"/>
  <c r="E50" i="4"/>
  <c r="F50" i="4"/>
  <c r="C25" i="4" l="1"/>
  <c r="C32" i="4" s="1"/>
  <c r="E86" i="1" s="1"/>
  <c r="C104" i="1" s="1"/>
  <c r="Q20" i="4"/>
  <c r="H38" i="4"/>
  <c r="R16" i="4"/>
  <c r="G50" i="4"/>
  <c r="O32" i="4"/>
  <c r="E89" i="1" s="1"/>
  <c r="J32" i="4"/>
  <c r="K32" i="4" s="1"/>
  <c r="E87" i="1" s="1"/>
  <c r="L26" i="4"/>
  <c r="Q26" i="4" s="1"/>
  <c r="L30" i="4"/>
  <c r="Q30" i="4" s="1"/>
  <c r="L21" i="4"/>
  <c r="L28" i="4"/>
  <c r="Q28" i="4" s="1"/>
  <c r="L27" i="4"/>
  <c r="Q27" i="4" s="1"/>
  <c r="L29" i="4"/>
  <c r="L23" i="4"/>
  <c r="L31" i="4"/>
  <c r="Q31" i="4" s="1"/>
  <c r="L22" i="4"/>
  <c r="L25" i="4"/>
  <c r="Q25" i="4" s="1"/>
  <c r="L24" i="4"/>
  <c r="H49" i="4"/>
  <c r="H46" i="4"/>
  <c r="H48" i="4"/>
  <c r="H45" i="4"/>
  <c r="H42" i="4"/>
  <c r="H44" i="4"/>
  <c r="H43" i="4"/>
  <c r="H41" i="4"/>
  <c r="H47" i="4"/>
  <c r="H39" i="4"/>
  <c r="H40" i="4"/>
  <c r="J38" i="4" l="1"/>
  <c r="N38" i="4" s="1"/>
  <c r="P38" i="4" s="1"/>
  <c r="O38" i="4"/>
  <c r="C27" i="1"/>
  <c r="C119" i="1"/>
  <c r="E119" i="1" s="1"/>
  <c r="H119" i="1" s="1"/>
  <c r="J44" i="4"/>
  <c r="N44" i="4" s="1"/>
  <c r="P44" i="4" s="1"/>
  <c r="J48" i="4"/>
  <c r="N48" i="4" s="1"/>
  <c r="P48" i="4" s="1"/>
  <c r="Q21" i="4"/>
  <c r="J49" i="4"/>
  <c r="N49" i="4" s="1"/>
  <c r="P49" i="4" s="1"/>
  <c r="Q24" i="4"/>
  <c r="J42" i="4" s="1"/>
  <c r="N42" i="4" s="1"/>
  <c r="P42" i="4" s="1"/>
  <c r="Q23" i="4"/>
  <c r="O41" i="4" s="1"/>
  <c r="J45" i="4"/>
  <c r="N45" i="4" s="1"/>
  <c r="P45" i="4" s="1"/>
  <c r="Q22" i="4"/>
  <c r="O40" i="4" s="1"/>
  <c r="J46" i="4"/>
  <c r="N46" i="4" s="1"/>
  <c r="P46" i="4" s="1"/>
  <c r="Q29" i="4"/>
  <c r="O47" i="4" s="1"/>
  <c r="O43" i="4"/>
  <c r="O46" i="4"/>
  <c r="O49" i="4"/>
  <c r="O48" i="4"/>
  <c r="L32" i="4"/>
  <c r="E88" i="1" s="1"/>
  <c r="H50" i="4"/>
  <c r="H51" i="4" s="1"/>
  <c r="J43" i="4"/>
  <c r="N43" i="4" s="1"/>
  <c r="P43" i="4" s="1"/>
  <c r="O45" i="4"/>
  <c r="O44" i="4"/>
  <c r="Q48" i="4" l="1"/>
  <c r="R48" i="4" s="1"/>
  <c r="R30" i="4" s="1"/>
  <c r="D22" i="6" s="1"/>
  <c r="Q44" i="4"/>
  <c r="R44" i="4" s="1"/>
  <c r="Q49" i="4"/>
  <c r="R49" i="4" s="1"/>
  <c r="R31" i="4" s="1"/>
  <c r="D23" i="6" s="1"/>
  <c r="Q32" i="4"/>
  <c r="E90" i="1" s="1"/>
  <c r="Q45" i="4"/>
  <c r="R45" i="4" s="1"/>
  <c r="R27" i="4" s="1"/>
  <c r="D19" i="6" s="1"/>
  <c r="J47" i="4"/>
  <c r="N47" i="4" s="1"/>
  <c r="P47" i="4" s="1"/>
  <c r="Q47" i="4" s="1"/>
  <c r="R47" i="4" s="1"/>
  <c r="R29" i="4" s="1"/>
  <c r="D21" i="6" s="1"/>
  <c r="Q46" i="4"/>
  <c r="R46" i="4" s="1"/>
  <c r="R28" i="4" s="1"/>
  <c r="D20" i="6" s="1"/>
  <c r="J40" i="4"/>
  <c r="N40" i="4" s="1"/>
  <c r="P40" i="4" s="1"/>
  <c r="Q40" i="4" s="1"/>
  <c r="R40" i="4" s="1"/>
  <c r="R22" i="4" s="1"/>
  <c r="D14" i="6" s="1"/>
  <c r="J41" i="4"/>
  <c r="N41" i="4" s="1"/>
  <c r="P41" i="4" s="1"/>
  <c r="Q41" i="4" s="1"/>
  <c r="R41" i="4" s="1"/>
  <c r="R23" i="4" s="1"/>
  <c r="D15" i="6" s="1"/>
  <c r="O42" i="4"/>
  <c r="Q42" i="4" s="1"/>
  <c r="R42" i="4" s="1"/>
  <c r="J39" i="4"/>
  <c r="N39" i="4" s="1"/>
  <c r="P39" i="4" s="1"/>
  <c r="O39" i="4"/>
  <c r="Q43" i="4"/>
  <c r="R43" i="4" s="1"/>
  <c r="R25" i="4" s="1"/>
  <c r="D17" i="6" s="1"/>
  <c r="Q38" i="4"/>
  <c r="R38" i="4" s="1"/>
  <c r="R26" i="4" l="1"/>
  <c r="D18" i="6" s="1"/>
  <c r="R24" i="4"/>
  <c r="D16" i="6" s="1"/>
  <c r="F21" i="6"/>
  <c r="G21" i="6" s="1"/>
  <c r="K21" i="6"/>
  <c r="F17" i="6"/>
  <c r="G17" i="6" s="1"/>
  <c r="K17" i="6"/>
  <c r="K15" i="6"/>
  <c r="F15" i="6"/>
  <c r="G15" i="6" s="1"/>
  <c r="F14" i="6"/>
  <c r="G14" i="6" s="1"/>
  <c r="K14" i="6"/>
  <c r="K20" i="6"/>
  <c r="F20" i="6"/>
  <c r="G20" i="6" s="1"/>
  <c r="F19" i="6"/>
  <c r="G19" i="6" s="1"/>
  <c r="K19" i="6"/>
  <c r="F23" i="6"/>
  <c r="G23" i="6" s="1"/>
  <c r="K23" i="6"/>
  <c r="F22" i="6"/>
  <c r="G22" i="6" s="1"/>
  <c r="K22" i="6"/>
  <c r="Q39" i="4"/>
  <c r="R39" i="4" s="1"/>
  <c r="R21" i="4" s="1"/>
  <c r="R20" i="4"/>
  <c r="D12" i="6" s="1"/>
  <c r="D13" i="6" l="1"/>
  <c r="F13" i="6" s="1"/>
  <c r="G13" i="6" s="1"/>
  <c r="F12" i="6"/>
  <c r="G12" i="6" s="1"/>
  <c r="F18" i="6"/>
  <c r="G18" i="6" s="1"/>
  <c r="J18" i="6" s="1"/>
  <c r="K18" i="6"/>
  <c r="F16" i="6"/>
  <c r="G16" i="6" s="1"/>
  <c r="H16" i="6" s="1"/>
  <c r="I16" i="6" s="1"/>
  <c r="K16" i="6"/>
  <c r="J22" i="6"/>
  <c r="H22" i="6"/>
  <c r="I22" i="6" s="1"/>
  <c r="J23" i="6"/>
  <c r="H23" i="6"/>
  <c r="I23" i="6" s="1"/>
  <c r="J19" i="6"/>
  <c r="H19" i="6"/>
  <c r="I19" i="6" s="1"/>
  <c r="J20" i="6"/>
  <c r="H20" i="6"/>
  <c r="I20" i="6" s="1"/>
  <c r="J14" i="6"/>
  <c r="H14" i="6"/>
  <c r="I14" i="6" s="1"/>
  <c r="J15" i="6"/>
  <c r="H15" i="6"/>
  <c r="I15" i="6" s="1"/>
  <c r="J17" i="6"/>
  <c r="H17" i="6"/>
  <c r="I17" i="6" s="1"/>
  <c r="J21" i="6"/>
  <c r="H21" i="6"/>
  <c r="I21" i="6" s="1"/>
  <c r="E91" i="1"/>
  <c r="Q50" i="4"/>
  <c r="R32" i="4"/>
  <c r="R51" i="4"/>
  <c r="E92" i="1" l="1"/>
  <c r="G92" i="1" s="1"/>
  <c r="D24" i="6"/>
  <c r="K13" i="6"/>
  <c r="C18" i="1"/>
  <c r="K12" i="6"/>
  <c r="H18" i="6"/>
  <c r="I18" i="6" s="1"/>
  <c r="J16" i="6"/>
  <c r="H12" i="6"/>
  <c r="I12" i="6" s="1"/>
  <c r="J12" i="6"/>
  <c r="G24" i="6"/>
  <c r="C126" i="1" s="1"/>
  <c r="E126" i="1" s="1"/>
  <c r="H126" i="1" s="1"/>
  <c r="J13" i="6"/>
  <c r="H13" i="6"/>
  <c r="I13" i="6" s="1"/>
  <c r="C95" i="1" l="1"/>
  <c r="C73" i="4"/>
  <c r="C74" i="4" s="1"/>
  <c r="J24" i="6"/>
  <c r="H24" i="6"/>
  <c r="H25" i="6" s="1"/>
  <c r="C78" i="4" l="1"/>
  <c r="C77" i="4"/>
  <c r="C83" i="4"/>
  <c r="C84" i="4" s="1"/>
  <c r="C88" i="4" s="1"/>
  <c r="C79" i="4"/>
  <c r="C100" i="1" s="1"/>
  <c r="M50" i="6"/>
  <c r="M51" i="6"/>
  <c r="N51" i="6" s="1"/>
  <c r="M52" i="6"/>
  <c r="N52" i="6" s="1"/>
  <c r="M53" i="6"/>
  <c r="N53" i="6" s="1"/>
  <c r="M54" i="6"/>
  <c r="N54" i="6" s="1"/>
  <c r="M55" i="6"/>
  <c r="N55" i="6" s="1"/>
  <c r="M56" i="6"/>
  <c r="N56" i="6" s="1"/>
  <c r="M57" i="6"/>
  <c r="N57" i="6" s="1"/>
  <c r="M58" i="6"/>
  <c r="N58" i="6" s="1"/>
  <c r="M59" i="6"/>
  <c r="N59" i="6" s="1"/>
  <c r="M60" i="6"/>
  <c r="N60" i="6" s="1"/>
  <c r="M61" i="6"/>
  <c r="N61" i="6" s="1"/>
  <c r="M62" i="6"/>
  <c r="N62" i="6" s="1"/>
  <c r="M63" i="6"/>
  <c r="N63" i="6" s="1"/>
  <c r="M64" i="6"/>
  <c r="N64" i="6" s="1"/>
  <c r="M65" i="6"/>
  <c r="N65" i="6" s="1"/>
  <c r="M66" i="6"/>
  <c r="N66" i="6" s="1"/>
  <c r="M67" i="6"/>
  <c r="N67" i="6" s="1"/>
  <c r="M68" i="6"/>
  <c r="N68" i="6" s="1"/>
  <c r="M69" i="6"/>
  <c r="N69" i="6" s="1"/>
  <c r="M70" i="6"/>
  <c r="N70" i="6" s="1"/>
  <c r="M71" i="6"/>
  <c r="N71" i="6" s="1"/>
  <c r="M72" i="6"/>
  <c r="N72" i="6" s="1"/>
  <c r="M73" i="6"/>
  <c r="N73" i="6" s="1"/>
  <c r="M74" i="6"/>
  <c r="N74" i="6" s="1"/>
  <c r="C97" i="1" l="1"/>
  <c r="C80" i="4"/>
  <c r="G146" i="1"/>
  <c r="G147" i="1"/>
  <c r="G150" i="1"/>
  <c r="G151" i="1"/>
  <c r="G152" i="1"/>
  <c r="G155" i="1"/>
  <c r="G141" i="1"/>
  <c r="G149" i="1"/>
  <c r="G153" i="1"/>
  <c r="G156" i="1"/>
  <c r="C87" i="4"/>
  <c r="C89" i="4"/>
  <c r="C115" i="1"/>
  <c r="E115" i="1" s="1"/>
  <c r="H115" i="1" s="1"/>
  <c r="N50" i="6"/>
  <c r="D38" i="6" s="1"/>
  <c r="Q75" i="6"/>
  <c r="R75" i="6" s="1"/>
  <c r="Q76" i="6"/>
  <c r="R76" i="6" s="1"/>
  <c r="Q77" i="6"/>
  <c r="R77" i="6" s="1"/>
  <c r="Q78" i="6"/>
  <c r="R78" i="6" s="1"/>
  <c r="Q79" i="6"/>
  <c r="R79" i="6" s="1"/>
  <c r="G144" i="1" l="1"/>
  <c r="G140" i="1"/>
  <c r="C90" i="4"/>
  <c r="C141" i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E156" i="1" s="1"/>
  <c r="H156" i="1" s="1"/>
  <c r="C111" i="1"/>
  <c r="G145" i="1"/>
  <c r="G142" i="1"/>
  <c r="G143" i="1"/>
  <c r="G158" i="1"/>
  <c r="G154" i="1"/>
  <c r="C108" i="1"/>
  <c r="E111" i="1"/>
  <c r="E108" i="1" s="1"/>
  <c r="G159" i="1"/>
  <c r="G157" i="1"/>
  <c r="G148" i="1"/>
  <c r="F164" i="1" l="1"/>
  <c r="E140" i="1"/>
  <c r="G164" i="1" s="1"/>
  <c r="E143" i="1"/>
  <c r="H143" i="1" s="1"/>
  <c r="E155" i="1"/>
  <c r="H155" i="1" s="1"/>
  <c r="E142" i="1"/>
  <c r="H142" i="1" s="1"/>
  <c r="E150" i="1"/>
  <c r="H150" i="1" s="1"/>
  <c r="E152" i="1"/>
  <c r="H152" i="1" s="1"/>
  <c r="E141" i="1"/>
  <c r="H141" i="1" s="1"/>
  <c r="E148" i="1"/>
  <c r="H148" i="1" s="1"/>
  <c r="E145" i="1"/>
  <c r="H145" i="1" s="1"/>
  <c r="E146" i="1"/>
  <c r="H146" i="1" s="1"/>
  <c r="C157" i="1"/>
  <c r="E157" i="1" s="1"/>
  <c r="H157" i="1" s="1"/>
  <c r="E147" i="1"/>
  <c r="H147" i="1" s="1"/>
  <c r="E153" i="1"/>
  <c r="H153" i="1" s="1"/>
  <c r="E151" i="1"/>
  <c r="H151" i="1" s="1"/>
  <c r="E144" i="1"/>
  <c r="H144" i="1" s="1"/>
  <c r="E149" i="1"/>
  <c r="H149" i="1" s="1"/>
  <c r="E154" i="1"/>
  <c r="H154" i="1" s="1"/>
  <c r="H111" i="1"/>
  <c r="F50" i="6"/>
  <c r="D40" i="6"/>
  <c r="E107" i="1"/>
  <c r="C158" i="1" l="1"/>
  <c r="E158" i="1" s="1"/>
  <c r="H158" i="1" s="1"/>
  <c r="H140" i="1"/>
  <c r="J140" i="1" s="1"/>
  <c r="H108" i="1"/>
  <c r="M114" i="1" s="1"/>
  <c r="G50" i="6"/>
  <c r="I50" i="6" s="1"/>
  <c r="F51" i="6" s="1"/>
  <c r="H50" i="6"/>
  <c r="M113" i="1" l="1"/>
  <c r="M111" i="1"/>
  <c r="M112" i="1"/>
  <c r="M107" i="1"/>
  <c r="J108" i="1" s="1"/>
  <c r="M110" i="1"/>
  <c r="M109" i="1"/>
  <c r="M108" i="1"/>
  <c r="M115" i="1"/>
  <c r="C159" i="1"/>
  <c r="E159" i="1" s="1"/>
  <c r="H159" i="1" s="1"/>
  <c r="M117" i="1"/>
  <c r="M116" i="1"/>
  <c r="G51" i="6"/>
  <c r="I51" i="6" s="1"/>
  <c r="F52" i="6" s="1"/>
  <c r="H51" i="6"/>
  <c r="K50" i="6"/>
  <c r="O50" i="6" s="1"/>
  <c r="H136" i="1"/>
  <c r="N140" i="1"/>
  <c r="O140" i="1" s="1"/>
  <c r="D164" i="1"/>
  <c r="L140" i="1"/>
  <c r="K141" i="1" s="1"/>
  <c r="K51" i="6" l="1"/>
  <c r="O51" i="6" s="1"/>
  <c r="P51" i="6" s="1"/>
  <c r="Q50" i="6"/>
  <c r="P50" i="6"/>
  <c r="G52" i="6"/>
  <c r="I52" i="6" s="1"/>
  <c r="F53" i="6" s="1"/>
  <c r="H52" i="6"/>
  <c r="L141" i="1"/>
  <c r="K142" i="1" s="1"/>
  <c r="P140" i="1"/>
  <c r="Q140" i="1" s="1"/>
  <c r="Q51" i="6" l="1"/>
  <c r="R51" i="6" s="1"/>
  <c r="H53" i="6"/>
  <c r="G53" i="6"/>
  <c r="R50" i="6"/>
  <c r="K52" i="6"/>
  <c r="O52" i="6" s="1"/>
  <c r="I141" i="1"/>
  <c r="J141" i="1" s="1"/>
  <c r="N141" i="1" s="1"/>
  <c r="O141" i="1" s="1"/>
  <c r="L142" i="1"/>
  <c r="P52" i="6" l="1"/>
  <c r="Q52" i="6"/>
  <c r="I53" i="6"/>
  <c r="F54" i="6" s="1"/>
  <c r="K53" i="6"/>
  <c r="O53" i="6" s="1"/>
  <c r="P53" i="6" s="1"/>
  <c r="K143" i="1"/>
  <c r="L143" i="1"/>
  <c r="I142" i="1"/>
  <c r="J142" i="1" s="1"/>
  <c r="N142" i="1" s="1"/>
  <c r="O142" i="1" s="1"/>
  <c r="P141" i="1"/>
  <c r="Q141" i="1" s="1"/>
  <c r="Q53" i="6" l="1"/>
  <c r="R53" i="6" s="1"/>
  <c r="G54" i="6"/>
  <c r="H54" i="6"/>
  <c r="R52" i="6"/>
  <c r="P142" i="1"/>
  <c r="Q142" i="1" s="1"/>
  <c r="L144" i="1"/>
  <c r="K144" i="1"/>
  <c r="I143" i="1"/>
  <c r="J143" i="1" s="1"/>
  <c r="N143" i="1" s="1"/>
  <c r="O143" i="1" s="1"/>
  <c r="P143" i="1" s="1"/>
  <c r="Q143" i="1" s="1"/>
  <c r="I54" i="6" l="1"/>
  <c r="F55" i="6" s="1"/>
  <c r="K54" i="6"/>
  <c r="O54" i="6" s="1"/>
  <c r="L145" i="1"/>
  <c r="K145" i="1"/>
  <c r="I144" i="1"/>
  <c r="J144" i="1" s="1"/>
  <c r="N144" i="1" s="1"/>
  <c r="O144" i="1" s="1"/>
  <c r="P54" i="6" l="1"/>
  <c r="Q54" i="6"/>
  <c r="H55" i="6"/>
  <c r="G55" i="6"/>
  <c r="P144" i="1"/>
  <c r="Q144" i="1" s="1"/>
  <c r="L146" i="1"/>
  <c r="K146" i="1"/>
  <c r="I145" i="1"/>
  <c r="J145" i="1" s="1"/>
  <c r="N145" i="1" s="1"/>
  <c r="O145" i="1" s="1"/>
  <c r="R54" i="6" l="1"/>
  <c r="I55" i="6"/>
  <c r="F56" i="6" s="1"/>
  <c r="K55" i="6"/>
  <c r="O55" i="6" s="1"/>
  <c r="P145" i="1"/>
  <c r="Q145" i="1" s="1"/>
  <c r="L147" i="1"/>
  <c r="K147" i="1"/>
  <c r="I146" i="1"/>
  <c r="J146" i="1" s="1"/>
  <c r="N146" i="1" s="1"/>
  <c r="O146" i="1" s="1"/>
  <c r="P55" i="6" l="1"/>
  <c r="Q55" i="6"/>
  <c r="G56" i="6"/>
  <c r="I56" i="6" s="1"/>
  <c r="F57" i="6" s="1"/>
  <c r="H56" i="6"/>
  <c r="P146" i="1"/>
  <c r="Q146" i="1" s="1"/>
  <c r="I147" i="1"/>
  <c r="J147" i="1" s="1"/>
  <c r="N147" i="1" s="1"/>
  <c r="O147" i="1" s="1"/>
  <c r="P147" i="1" s="1"/>
  <c r="Q147" i="1" s="1"/>
  <c r="K148" i="1"/>
  <c r="L148" i="1"/>
  <c r="R55" i="6" l="1"/>
  <c r="G57" i="6"/>
  <c r="H57" i="6"/>
  <c r="K56" i="6"/>
  <c r="O56" i="6" s="1"/>
  <c r="L149" i="1"/>
  <c r="K149" i="1"/>
  <c r="I148" i="1"/>
  <c r="J148" i="1" s="1"/>
  <c r="N148" i="1" s="1"/>
  <c r="O148" i="1" s="1"/>
  <c r="P148" i="1" s="1"/>
  <c r="Q148" i="1" s="1"/>
  <c r="P56" i="6" l="1"/>
  <c r="Q56" i="6"/>
  <c r="I57" i="6"/>
  <c r="F58" i="6" s="1"/>
  <c r="K57" i="6"/>
  <c r="O57" i="6" s="1"/>
  <c r="K150" i="1"/>
  <c r="I149" i="1"/>
  <c r="J149" i="1" s="1"/>
  <c r="N149" i="1" s="1"/>
  <c r="O149" i="1" s="1"/>
  <c r="P149" i="1" s="1"/>
  <c r="Q149" i="1" s="1"/>
  <c r="L150" i="1"/>
  <c r="H58" i="6" l="1"/>
  <c r="G58" i="6"/>
  <c r="I58" i="6" s="1"/>
  <c r="F59" i="6" s="1"/>
  <c r="R56" i="6"/>
  <c r="Q57" i="6"/>
  <c r="R57" i="6" s="1"/>
  <c r="P57" i="6"/>
  <c r="I150" i="1"/>
  <c r="J150" i="1" s="1"/>
  <c r="N150" i="1" s="1"/>
  <c r="O150" i="1" s="1"/>
  <c r="P150" i="1" s="1"/>
  <c r="Q150" i="1" s="1"/>
  <c r="L151" i="1"/>
  <c r="K151" i="1"/>
  <c r="K58" i="6" l="1"/>
  <c r="O58" i="6" s="1"/>
  <c r="P58" i="6" s="1"/>
  <c r="H59" i="6"/>
  <c r="H80" i="6" s="1"/>
  <c r="G59" i="6"/>
  <c r="K152" i="1"/>
  <c r="I151" i="1"/>
  <c r="J151" i="1" s="1"/>
  <c r="N151" i="1" s="1"/>
  <c r="O151" i="1" s="1"/>
  <c r="P151" i="1" s="1"/>
  <c r="Q151" i="1" s="1"/>
  <c r="L152" i="1"/>
  <c r="Q58" i="6" l="1"/>
  <c r="R58" i="6" s="1"/>
  <c r="K59" i="6"/>
  <c r="O59" i="6" s="1"/>
  <c r="P59" i="6" s="1"/>
  <c r="I59" i="6"/>
  <c r="F60" i="6" s="1"/>
  <c r="G60" i="6" s="1"/>
  <c r="I60" i="6" s="1"/>
  <c r="F61" i="6" s="1"/>
  <c r="K153" i="1"/>
  <c r="L153" i="1"/>
  <c r="I152" i="1"/>
  <c r="J152" i="1" s="1"/>
  <c r="N152" i="1" s="1"/>
  <c r="O152" i="1" s="1"/>
  <c r="P152" i="1" s="1"/>
  <c r="Q152" i="1" s="1"/>
  <c r="Q59" i="6" l="1"/>
  <c r="R59" i="6" s="1"/>
  <c r="H60" i="6"/>
  <c r="K60" i="6" s="1"/>
  <c r="O60" i="6" s="1"/>
  <c r="G61" i="6"/>
  <c r="I61" i="6" s="1"/>
  <c r="F62" i="6" s="1"/>
  <c r="H61" i="6"/>
  <c r="I153" i="1"/>
  <c r="J153" i="1" s="1"/>
  <c r="N153" i="1" s="1"/>
  <c r="O153" i="1" s="1"/>
  <c r="P153" i="1" s="1"/>
  <c r="Q153" i="1" s="1"/>
  <c r="L154" i="1"/>
  <c r="K154" i="1"/>
  <c r="P60" i="6" l="1"/>
  <c r="Q60" i="6"/>
  <c r="R60" i="6" s="1"/>
  <c r="H62" i="6"/>
  <c r="G62" i="6"/>
  <c r="I62" i="6" s="1"/>
  <c r="F63" i="6" s="1"/>
  <c r="K61" i="6"/>
  <c r="O61" i="6" s="1"/>
  <c r="I154" i="1"/>
  <c r="J154" i="1" s="1"/>
  <c r="N154" i="1" s="1"/>
  <c r="O154" i="1" s="1"/>
  <c r="P154" i="1" s="1"/>
  <c r="Q154" i="1" s="1"/>
  <c r="K155" i="1"/>
  <c r="L155" i="1"/>
  <c r="K62" i="6" l="1"/>
  <c r="O62" i="6" s="1"/>
  <c r="Q62" i="6" s="1"/>
  <c r="R62" i="6" s="1"/>
  <c r="Q61" i="6"/>
  <c r="R61" i="6" s="1"/>
  <c r="P61" i="6"/>
  <c r="G63" i="6"/>
  <c r="I63" i="6" s="1"/>
  <c r="F64" i="6" s="1"/>
  <c r="H63" i="6"/>
  <c r="I155" i="1"/>
  <c r="J155" i="1" s="1"/>
  <c r="N155" i="1" s="1"/>
  <c r="O155" i="1" s="1"/>
  <c r="P155" i="1" s="1"/>
  <c r="Q155" i="1" s="1"/>
  <c r="L156" i="1"/>
  <c r="K156" i="1"/>
  <c r="P62" i="6" l="1"/>
  <c r="G64" i="6"/>
  <c r="I64" i="6" s="1"/>
  <c r="F65" i="6" s="1"/>
  <c r="H64" i="6"/>
  <c r="K63" i="6"/>
  <c r="O63" i="6" s="1"/>
  <c r="L157" i="1"/>
  <c r="I156" i="1"/>
  <c r="J156" i="1" s="1"/>
  <c r="N156" i="1" s="1"/>
  <c r="O156" i="1" s="1"/>
  <c r="P156" i="1" s="1"/>
  <c r="Q156" i="1" s="1"/>
  <c r="K157" i="1"/>
  <c r="Q63" i="6" l="1"/>
  <c r="R63" i="6" s="1"/>
  <c r="P63" i="6"/>
  <c r="H65" i="6"/>
  <c r="G65" i="6"/>
  <c r="I65" i="6" s="1"/>
  <c r="F66" i="6" s="1"/>
  <c r="K64" i="6"/>
  <c r="O64" i="6" s="1"/>
  <c r="K158" i="1"/>
  <c r="I157" i="1"/>
  <c r="J157" i="1" s="1"/>
  <c r="N157" i="1" s="1"/>
  <c r="O157" i="1" s="1"/>
  <c r="P157" i="1" s="1"/>
  <c r="Q157" i="1" s="1"/>
  <c r="L158" i="1"/>
  <c r="K65" i="6" l="1"/>
  <c r="O65" i="6" s="1"/>
  <c r="P65" i="6" s="1"/>
  <c r="P64" i="6"/>
  <c r="Q64" i="6"/>
  <c r="R64" i="6" s="1"/>
  <c r="H66" i="6"/>
  <c r="G66" i="6"/>
  <c r="I66" i="6" s="1"/>
  <c r="F67" i="6" s="1"/>
  <c r="I158" i="1"/>
  <c r="J158" i="1" s="1"/>
  <c r="N158" i="1" s="1"/>
  <c r="O158" i="1" s="1"/>
  <c r="P158" i="1" s="1"/>
  <c r="Q158" i="1" s="1"/>
  <c r="K159" i="1"/>
  <c r="L159" i="1"/>
  <c r="Q65" i="6" l="1"/>
  <c r="R65" i="6" s="1"/>
  <c r="K66" i="6"/>
  <c r="O66" i="6" s="1"/>
  <c r="Q66" i="6" s="1"/>
  <c r="R66" i="6" s="1"/>
  <c r="H67" i="6"/>
  <c r="G67" i="6"/>
  <c r="I67" i="6" s="1"/>
  <c r="F68" i="6" s="1"/>
  <c r="I159" i="1"/>
  <c r="J159" i="1" s="1"/>
  <c r="N159" i="1" s="1"/>
  <c r="O159" i="1" s="1"/>
  <c r="P162" i="1" s="1"/>
  <c r="P66" i="6" l="1"/>
  <c r="K67" i="6"/>
  <c r="O67" i="6" s="1"/>
  <c r="P67" i="6" s="1"/>
  <c r="H68" i="6"/>
  <c r="G68" i="6"/>
  <c r="I68" i="6" s="1"/>
  <c r="F69" i="6" s="1"/>
  <c r="P159" i="1"/>
  <c r="Q67" i="6" l="1"/>
  <c r="R67" i="6" s="1"/>
  <c r="K68" i="6"/>
  <c r="O68" i="6" s="1"/>
  <c r="P68" i="6" s="1"/>
  <c r="H69" i="6"/>
  <c r="G69" i="6"/>
  <c r="I69" i="6" s="1"/>
  <c r="F70" i="6" s="1"/>
  <c r="P161" i="1"/>
  <c r="Q159" i="1"/>
  <c r="Q160" i="1" s="1"/>
  <c r="H164" i="1" s="1"/>
  <c r="Q68" i="6" l="1"/>
  <c r="R68" i="6" s="1"/>
  <c r="K69" i="6"/>
  <c r="O69" i="6" s="1"/>
  <c r="P69" i="6" s="1"/>
  <c r="H70" i="6"/>
  <c r="G70" i="6"/>
  <c r="I70" i="6" s="1"/>
  <c r="F71" i="6" s="1"/>
  <c r="Q69" i="6" l="1"/>
  <c r="R69" i="6" s="1"/>
  <c r="K70" i="6"/>
  <c r="O70" i="6" s="1"/>
  <c r="P70" i="6" s="1"/>
  <c r="H71" i="6"/>
  <c r="G71" i="6"/>
  <c r="I71" i="6" s="1"/>
  <c r="F72" i="6" s="1"/>
  <c r="Q70" i="6" l="1"/>
  <c r="R70" i="6" s="1"/>
  <c r="K71" i="6"/>
  <c r="O71" i="6" s="1"/>
  <c r="P71" i="6" s="1"/>
  <c r="G72" i="6"/>
  <c r="I72" i="6" s="1"/>
  <c r="F73" i="6" s="1"/>
  <c r="H72" i="6"/>
  <c r="Q71" i="6" l="1"/>
  <c r="R71" i="6" s="1"/>
  <c r="H73" i="6"/>
  <c r="G73" i="6"/>
  <c r="I73" i="6" s="1"/>
  <c r="F74" i="6" s="1"/>
  <c r="K72" i="6"/>
  <c r="O72" i="6" s="1"/>
  <c r="K73" i="6" l="1"/>
  <c r="O73" i="6" s="1"/>
  <c r="Q73" i="6" s="1"/>
  <c r="R73" i="6" s="1"/>
  <c r="Q72" i="6"/>
  <c r="R72" i="6" s="1"/>
  <c r="P72" i="6"/>
  <c r="H74" i="6"/>
  <c r="G74" i="6"/>
  <c r="I74" i="6" s="1"/>
  <c r="F75" i="6" s="1"/>
  <c r="P73" i="6" l="1"/>
  <c r="K74" i="6"/>
  <c r="O74" i="6" s="1"/>
  <c r="H75" i="6"/>
  <c r="G75" i="6"/>
  <c r="Q74" i="6"/>
  <c r="P74" i="6" l="1"/>
  <c r="Q82" i="6"/>
  <c r="K75" i="6"/>
  <c r="O75" i="6" s="1"/>
  <c r="P75" i="6" s="1"/>
  <c r="I75" i="6"/>
  <c r="F76" i="6" s="1"/>
  <c r="H76" i="6" s="1"/>
  <c r="R74" i="6"/>
  <c r="R80" i="6" s="1"/>
  <c r="Q80" i="6"/>
  <c r="G76" i="6" l="1"/>
  <c r="K76" i="6" s="1"/>
  <c r="O76" i="6" s="1"/>
  <c r="P76" i="6" s="1"/>
  <c r="I76" i="6"/>
  <c r="F77" i="6" s="1"/>
  <c r="G77" i="6" s="1"/>
  <c r="I77" i="6" l="1"/>
  <c r="F78" i="6" s="1"/>
  <c r="G78" i="6" s="1"/>
  <c r="I78" i="6" s="1"/>
  <c r="F79" i="6" s="1"/>
  <c r="H77" i="6"/>
  <c r="K77" i="6" s="1"/>
  <c r="O77" i="6" s="1"/>
  <c r="P77" i="6" s="1"/>
  <c r="H78" i="6" l="1"/>
  <c r="K78" i="6" s="1"/>
  <c r="O78" i="6" s="1"/>
  <c r="P78" i="6" s="1"/>
  <c r="H79" i="6"/>
  <c r="G79" i="6"/>
  <c r="I79" i="6"/>
  <c r="K79" i="6" l="1"/>
  <c r="K80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Ona Christina Vassallo</author>
  </authors>
  <commentList>
    <comment ref="C19" authorId="0" shapeId="0" xr:uid="{26EB7DE1-99CD-421E-9CB4-5B2B9BB66354}">
      <text>
        <r>
          <rPr>
            <b/>
            <sz val="9"/>
            <color indexed="81"/>
            <rFont val="Tahoma"/>
            <family val="2"/>
          </rPr>
          <t>kyllä/ei</t>
        </r>
      </text>
    </comment>
    <comment ref="E19" authorId="0" shapeId="0" xr:uid="{6DFD0CED-E62D-44DE-8A5E-8A37599C3766}">
      <text>
        <r>
          <rPr>
            <b/>
            <sz val="9"/>
            <color indexed="81"/>
            <rFont val="Tahoma"/>
            <charset val="1"/>
          </rPr>
          <t>valinta</t>
        </r>
      </text>
    </comment>
    <comment ref="C20" authorId="0" shapeId="0" xr:uid="{160620B6-3C7A-4CEC-A312-9E8E1698BA60}">
      <text>
        <r>
          <rPr>
            <b/>
            <sz val="9"/>
            <color indexed="81"/>
            <rFont val="Tahoma"/>
            <family val="2"/>
          </rPr>
          <t xml:space="preserve">kyllä/ei
</t>
        </r>
      </text>
    </comment>
    <comment ref="E20" authorId="0" shapeId="0" xr:uid="{9CBA814A-CF11-40C8-8DC8-996AFEAB4FAA}">
      <text>
        <r>
          <rPr>
            <b/>
            <sz val="9"/>
            <color indexed="81"/>
            <rFont val="Tahoma"/>
            <charset val="1"/>
          </rPr>
          <t>valinta</t>
        </r>
      </text>
    </comment>
    <comment ref="C21" authorId="0" shapeId="0" xr:uid="{D2908398-2191-4A3E-8239-1B0FB50C22E3}">
      <text>
        <r>
          <rPr>
            <b/>
            <sz val="9"/>
            <color indexed="81"/>
            <rFont val="Tahoma"/>
            <family val="2"/>
          </rPr>
          <t xml:space="preserve">kyllä/ei
</t>
        </r>
      </text>
    </comment>
    <comment ref="C43" authorId="0" shapeId="0" xr:uid="{5F3DBBEE-55B6-412F-80F0-FF6E9923AF86}">
      <text>
        <r>
          <rPr>
            <b/>
            <sz val="9"/>
            <color indexed="81"/>
            <rFont val="Tahoma"/>
            <charset val="1"/>
          </rPr>
          <t xml:space="preserve">kyllä/ei
</t>
        </r>
      </text>
    </comment>
    <comment ref="C47" authorId="0" shapeId="0" xr:uid="{1D57FA2D-3020-4119-BCB1-CE9D052E5900}">
      <text>
        <r>
          <rPr>
            <b/>
            <sz val="9"/>
            <color indexed="81"/>
            <rFont val="Tahoma"/>
            <charset val="1"/>
          </rPr>
          <t>kyllä/ei</t>
        </r>
      </text>
    </comment>
    <comment ref="F100" authorId="0" shapeId="0" xr:uid="{D735F8C7-6C04-4E5A-8C00-195A7E3319B9}">
      <text>
        <r>
          <rPr>
            <b/>
            <sz val="9"/>
            <color indexed="81"/>
            <rFont val="Tahoma"/>
            <family val="2"/>
          </rPr>
          <t>Kierovesipumpun sähköteho</t>
        </r>
      </text>
    </comment>
    <comment ref="L139" authorId="0" shapeId="0" xr:uid="{69FF443B-ECF4-4B8C-A6CD-020AE76C619B}">
      <text>
        <r>
          <rPr>
            <b/>
            <sz val="9"/>
            <color indexed="81"/>
            <rFont val="Tahoma"/>
            <family val="2"/>
          </rPr>
          <t>Valitse itse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Ona Christina Vassallo</author>
  </authors>
  <commentList>
    <comment ref="J64" authorId="0" shapeId="0" xr:uid="{FF0024A9-CDA5-4481-9992-68BDED524ACC}">
      <text>
        <r>
          <rPr>
            <b/>
            <sz val="9"/>
            <color indexed="81"/>
            <rFont val="Tahoma"/>
            <family val="2"/>
          </rPr>
          <t>Invertterin vaihto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462EEA0-F0A0-402E-964F-9917673BA8EB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  <connection id="2" xr16:uid="{90486050-AAC2-4455-AC84-B88B43DD8F62}" keepAlive="1" name="Query - Table028 (Page 35) (2)" description="Connection to the 'Table028 (Page 35) (2)' query in the workbook." type="5" refreshedVersion="8" background="1" saveData="1">
    <dbPr connection="Provider=Microsoft.Mashup.OleDb.1;Data Source=$Workbook$;Location=&quot;Table028 (Page 35) (2)&quot;;Extended Properties=&quot;&quot;" command="SELECT * FROM [Table028 (Page 35) (2)]"/>
  </connection>
  <connection id="3" xr16:uid="{44A26BCA-8E7B-4E20-BDBA-A8D318F63A80}" keepAlive="1" name="Query - Table030 (Page 36) (2)" description="Connection to the 'Table030 (Page 36) (2)' query in the workbook." type="5" refreshedVersion="8" background="1" saveData="1">
    <dbPr connection="Provider=Microsoft.Mashup.OleDb.1;Data Source=$Workbook$;Location=&quot;Table030 (Page 36) (2)&quot;;Extended Properties=&quot;&quot;" command="SELECT * FROM [Table030 (Page 36) (2)]"/>
  </connection>
</connections>
</file>

<file path=xl/sharedStrings.xml><?xml version="1.0" encoding="utf-8"?>
<sst xmlns="http://schemas.openxmlformats.org/spreadsheetml/2006/main" count="1335" uniqueCount="689">
  <si>
    <t>total</t>
  </si>
  <si>
    <t>m2</t>
  </si>
  <si>
    <t>10 m2</t>
  </si>
  <si>
    <t>10*10=100</t>
  </si>
  <si>
    <t>sqrt(100)=10</t>
  </si>
  <si>
    <t>yksi sivu</t>
  </si>
  <si>
    <t>toinen sivu (?)</t>
  </si>
  <si>
    <t>voidaan sopia 2.8 m</t>
  </si>
  <si>
    <t>seinän ala silloin 10m*2.8m=28m</t>
  </si>
  <si>
    <t>tämä kerrotaan kerrosten määrällä ja neljällä (neljän seinän takia)</t>
  </si>
  <si>
    <t>Koska halutaan tietää pelkän ulkoseinän ala, miinustetaan siit ovet (5 % vaipan alasta) ja ikkunat (15 % vaipan alasta)</t>
  </si>
  <si>
    <t>Lopuksi päätellään koko ulkoseinän arvioitu ala suoraan kerrosalasta.</t>
  </si>
  <si>
    <t>Täten viimeinen lauseke laskuriin on</t>
  </si>
  <si>
    <t>(sqrt(kerrosala)*huonekorkeus*kerrosten määrä*4)-ikkunat-ovet</t>
  </si>
  <si>
    <t>Taulukko 1.</t>
  </si>
  <si>
    <t>Rakennusosa</t>
  </si>
  <si>
    <t>Ilmanvaihdon LTO vuosihyötysuhteet &amp; IV ominaisähkötehoja, 1010/2017 YM</t>
  </si>
  <si>
    <t>Sähköteho [kW/m3/s]</t>
  </si>
  <si>
    <t>n50/q50</t>
  </si>
  <si>
    <t>Ulkoseinä</t>
  </si>
  <si>
    <t>Maanvarainen alapohja</t>
  </si>
  <si>
    <t>Ryömintätilainen alapohja</t>
  </si>
  <si>
    <t>Ulkoilmaan rajoittuva alapohja</t>
  </si>
  <si>
    <t>Yläpohja</t>
  </si>
  <si>
    <t>Ovi</t>
  </si>
  <si>
    <t>Ikkuna</t>
  </si>
  <si>
    <t>LTO hyötysuhde</t>
  </si>
  <si>
    <t>Painovoimainen</t>
  </si>
  <si>
    <t>Koneellinen poisto</t>
  </si>
  <si>
    <t>Koneellinen tulopoisto</t>
  </si>
  <si>
    <t>ILP max energiamäärä [kWh/a]</t>
  </si>
  <si>
    <t>mikä iv?</t>
  </si>
  <si>
    <t>eristys</t>
  </si>
  <si>
    <t>Taulukko 2</t>
  </si>
  <si>
    <t>tunnit</t>
  </si>
  <si>
    <t>päivät</t>
  </si>
  <si>
    <t>Ulkoilmavirta</t>
  </si>
  <si>
    <t>Lämmitysraja</t>
  </si>
  <si>
    <t>Jäähdytysraja</t>
  </si>
  <si>
    <t>Crak.omin</t>
  </si>
  <si>
    <t>Lämpimän käyttöveden lämmitysenergian nettotarve vuodessa</t>
  </si>
  <si>
    <t>Kellonaika</t>
  </si>
  <si>
    <t>Käyttöaika </t>
  </si>
  <si>
    <t>Käyttöaste</t>
  </si>
  <si>
    <t>Sisäinen lämpökuormalämmitettyä nettoalaa kohti</t>
  </si>
  <si>
    <t>Kierto</t>
  </si>
  <si>
    <t>ei kiertoa</t>
  </si>
  <si>
    <t>dm3/(s m2)</t>
  </si>
  <si>
    <t>°C</t>
  </si>
  <si>
    <t>kWh/(m2 a)</t>
  </si>
  <si>
    <t>Vuorokautinenh/24h</t>
  </si>
  <si>
    <t>Viikoittainend/7d</t>
  </si>
  <si>
    <t>-</t>
  </si>
  <si>
    <t>ValaistusW/m2</t>
  </si>
  <si>
    <t>Kuluttaja-laitteetW/m2</t>
  </si>
  <si>
    <t>IhmisetW/m2</t>
  </si>
  <si>
    <t>L1&amp;L2 valaistuksen käyttöaste</t>
  </si>
  <si>
    <t>eristämätön</t>
  </si>
  <si>
    <t>suojaputkessa</t>
  </si>
  <si>
    <t>eristetty, perustaso</t>
  </si>
  <si>
    <t>eristetty, parempi</t>
  </si>
  <si>
    <t>Kiertojohdon ominaispituus m/m2</t>
  </si>
  <si>
    <t>Luokka 1)</t>
  </si>
  <si>
    <t>00:00-24:00</t>
  </si>
  <si>
    <t>Luokka 2)</t>
  </si>
  <si>
    <t>Luokka 3)</t>
  </si>
  <si>
    <t>07:00-18:00</t>
  </si>
  <si>
    <t>Luokka 4)</t>
  </si>
  <si>
    <t>08:00-21:00</t>
  </si>
  <si>
    <t>Luokka 5)</t>
  </si>
  <si>
    <t>Luokka 6)</t>
  </si>
  <si>
    <t>08:00-16:00</t>
  </si>
  <si>
    <t>Luokka 7)</t>
  </si>
  <si>
    <t>08:00-22:00</t>
  </si>
  <si>
    <t>Luokka 8)</t>
  </si>
  <si>
    <t>Taulukko 3</t>
  </si>
  <si>
    <t>T_u</t>
  </si>
  <si>
    <t>Tunteja kuukaudessa, normivuosi</t>
  </si>
  <si>
    <t>delta_t</t>
  </si>
  <si>
    <t>tammi</t>
  </si>
  <si>
    <t>helmi</t>
  </si>
  <si>
    <t>Mitoitusulkolämpötila</t>
  </si>
  <si>
    <t>maalis</t>
  </si>
  <si>
    <t>huhti</t>
  </si>
  <si>
    <t>touko</t>
  </si>
  <si>
    <t>kesä</t>
  </si>
  <si>
    <t>heinä</t>
  </si>
  <si>
    <t>elo</t>
  </si>
  <si>
    <t>syys</t>
  </si>
  <si>
    <t>loka</t>
  </si>
  <si>
    <t>marras</t>
  </si>
  <si>
    <t>joulu</t>
  </si>
  <si>
    <t>yht.</t>
  </si>
  <si>
    <t>Säävyöhykkeet 2012</t>
  </si>
  <si>
    <t>Taulukko 4</t>
  </si>
  <si>
    <t>1010/2017 Ympäristöministeriö</t>
  </si>
  <si>
    <t>Lämmitysratkaisu</t>
  </si>
  <si>
    <t>Menovesi</t>
  </si>
  <si>
    <t>Paluuvesi</t>
  </si>
  <si>
    <t>Vuosihyötysuhde</t>
  </si>
  <si>
    <t>Sähkö [kWh/m2a]</t>
  </si>
  <si>
    <t>vesikeskuslämmitys</t>
  </si>
  <si>
    <t>Vesiradiaattori 45/35</t>
  </si>
  <si>
    <t>oletus: eristetyt jakojohdot</t>
  </si>
  <si>
    <t>Vesiradiaattori 70/40</t>
  </si>
  <si>
    <t>suora sähkölämmitys</t>
  </si>
  <si>
    <t>Vesiradiaattori 90/70</t>
  </si>
  <si>
    <t>ilmakeskulämmitys</t>
  </si>
  <si>
    <t>Vesiradiaattori 70/40 jakotukilla</t>
  </si>
  <si>
    <t>uunilämmitys</t>
  </si>
  <si>
    <t>Vesiradiaattori 45/35 jakotukilla</t>
  </si>
  <si>
    <t>ei kiinteää lämmityslaitetta</t>
  </si>
  <si>
    <t>Vesikiertoinen lattialämmitys 40/30</t>
  </si>
  <si>
    <t>oletus: maata vasten rajoittunut rakenne</t>
  </si>
  <si>
    <t>Kattolämmitys (sähkö)</t>
  </si>
  <si>
    <t>oletus: lämpimään tilaan rajoittunut</t>
  </si>
  <si>
    <t>Ikkunalämmitys (sähkö)</t>
  </si>
  <si>
    <t>Ilmanvaihtolämmitys</t>
  </si>
  <si>
    <t>huonekohtainen sääntö</t>
  </si>
  <si>
    <t>Sähköpatterilämmitys</t>
  </si>
  <si>
    <t>Sähköinen lattialämmitys</t>
  </si>
  <si>
    <t>oletus: pintalattialämmitys</t>
  </si>
  <si>
    <t>Muut lämmityslaitteet</t>
  </si>
  <si>
    <t>mm. varaava tulisija</t>
  </si>
  <si>
    <t>Taulukko 5</t>
  </si>
  <si>
    <t>Käyttötarkoitusluokka 1</t>
  </si>
  <si>
    <t>Muut luokat</t>
  </si>
  <si>
    <t>Lämmöntuottojärjestelmä</t>
  </si>
  <si>
    <t>Apulaitteiden sähkön ominaiskulutus [kWh/m2a]</t>
  </si>
  <si>
    <t>Öljy, standardikattila</t>
  </si>
  <si>
    <t>Kevyt polttoöljy</t>
  </si>
  <si>
    <t>Kaasu, standardikattila</t>
  </si>
  <si>
    <t>Kaasu</t>
  </si>
  <si>
    <t>Öljy, kondenssikattila</t>
  </si>
  <si>
    <t>Kaasu, kondenssikattila</t>
  </si>
  <si>
    <t>Pellettikattila</t>
  </si>
  <si>
    <t>Puu</t>
  </si>
  <si>
    <t>Puukattila energiavaraajalla</t>
  </si>
  <si>
    <t>Sähkökattila</t>
  </si>
  <si>
    <t>Maalämpö, ym.</t>
  </si>
  <si>
    <t>Kaukolämpö</t>
  </si>
  <si>
    <t>Kauko- tai aluelämpö</t>
  </si>
  <si>
    <t>Huonekohtainen sähkölämmitys</t>
  </si>
  <si>
    <t>Sähkö</t>
  </si>
  <si>
    <t>Taulukko 6</t>
  </si>
  <si>
    <t>Rakennusosien määrittely</t>
  </si>
  <si>
    <t>Kerrokset</t>
  </si>
  <si>
    <t>Ulkoseinät [m2]</t>
  </si>
  <si>
    <t>Ovien lkm</t>
  </si>
  <si>
    <t>Ulkoseinien korkeus</t>
  </si>
  <si>
    <t>Taulukko 7</t>
  </si>
  <si>
    <t>Polttoaineet</t>
  </si>
  <si>
    <t>pelkät valinnat</t>
  </si>
  <si>
    <t>Raskas polttoöljy</t>
  </si>
  <si>
    <t>Kivihiili</t>
  </si>
  <si>
    <t>Turve</t>
  </si>
  <si>
    <t>Muu</t>
  </si>
  <si>
    <t>Taulukko 8</t>
  </si>
  <si>
    <t>Pumput</t>
  </si>
  <si>
    <t>MLP</t>
  </si>
  <si>
    <t>IVLP</t>
  </si>
  <si>
    <t>PILP</t>
  </si>
  <si>
    <t>ILP</t>
  </si>
  <si>
    <t>Taulukko 9</t>
  </si>
  <si>
    <t>varastoinnin lämpöhäviö</t>
  </si>
  <si>
    <t>Varaajan tilavuus, l</t>
  </si>
  <si>
    <t>40 mm eriste</t>
  </si>
  <si>
    <t>100 mm eriste</t>
  </si>
  <si>
    <t>Taulukko 10</t>
  </si>
  <si>
    <t>LKV kiertojohdon lämpöhäviön ominaislämpöteho</t>
  </si>
  <si>
    <t>W/m</t>
  </si>
  <si>
    <t>Ei tietoa</t>
  </si>
  <si>
    <t>0.5 D</t>
  </si>
  <si>
    <t>Suojaputki</t>
  </si>
  <si>
    <t>Suojaputki + 0.5 D</t>
  </si>
  <si>
    <t>Suojaputki + 1.5 D</t>
  </si>
  <si>
    <t>Taulukko 11</t>
  </si>
  <si>
    <t>Kuukausi</t>
  </si>
  <si>
    <t>Alapohjan alapuolisen maan lämpötila</t>
  </si>
  <si>
    <t>Maan vuosi- ja kuukausilämpötilan erotus</t>
  </si>
  <si>
    <t>T_{maa, kuukausi}</t>
  </si>
  <si>
    <t>ΔT_{maa, kuukausi}</t>
  </si>
  <si>
    <t>Tammikuu</t>
  </si>
  <si>
    <t>Helmikuu</t>
  </si>
  <si>
    <t>−1.0</t>
  </si>
  <si>
    <t>Maaliskuu</t>
  </si>
  <si>
    <t>−2.0</t>
  </si>
  <si>
    <t>Huhtikuu</t>
  </si>
  <si>
    <t>−3.0</t>
  </si>
  <si>
    <t>Toukokuu</t>
  </si>
  <si>
    <t>Kesäkuu</t>
  </si>
  <si>
    <t>Heinäkuu</t>
  </si>
  <si>
    <t>Elokuu</t>
  </si>
  <si>
    <t>Syyskuu</t>
  </si>
  <si>
    <t>Lokakuu</t>
  </si>
  <si>
    <t>Marraskuu</t>
  </si>
  <si>
    <t>Joulukuu</t>
  </si>
  <si>
    <t>Koko vuosi</t>
  </si>
  <si>
    <t>Taulukko 12</t>
  </si>
  <si>
    <t>Pohjonen</t>
  </si>
  <si>
    <t>Itä</t>
  </si>
  <si>
    <t>Etelä</t>
  </si>
  <si>
    <t>Länsi</t>
  </si>
  <si>
    <t>Month</t>
  </si>
  <si>
    <t>GHI</t>
  </si>
  <si>
    <t>GI_az0_el45</t>
  </si>
  <si>
    <t>GI_az90_el45</t>
  </si>
  <si>
    <t>GI_az180_el45</t>
  </si>
  <si>
    <t>GI_az270_el45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</si>
  <si>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</si>
  <si>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</si>
  <si>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</si>
  <si>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</si>
  <si>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</si>
  <si>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</si>
  <si>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</si>
  <si>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</si>
  <si>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</si>
  <si>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</si>
  <si>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</si>
  <si>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</si>
  <si>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TOTAL</t>
  </si>
  <si>
    <t>Taulukko 13</t>
  </si>
  <si>
    <t>Varjostusten korjauskerroin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</si>
  <si>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</si>
  <si>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</si>
  <si>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</si>
  <si>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</si>
  <si>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</si>
  <si>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</si>
  <si>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</si>
  <si>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</si>
  <si>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</si>
  <si>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Pohjoinen</t>
  </si>
  <si>
    <t>Koillinen</t>
  </si>
  <si>
    <t>tä</t>
  </si>
  <si>
    <t>Kaakko</t>
  </si>
  <si>
    <t>Lounas</t>
  </si>
  <si>
    <t>Luode</t>
  </si>
  <si>
    <t>F_{varjostus}</t>
  </si>
  <si>
    <t>F_{varjos-}
tus</t>
  </si>
  <si>
    <t>0,920</t>
  </si>
  <si>
    <t>0,805</t>
  </si>
  <si>
    <t>0,895</t>
  </si>
  <si>
    <t>0,795</t>
  </si>
  <si>
    <t>0,815</t>
  </si>
  <si>
    <t>0,880</t>
  </si>
  <si>
    <t>0,830</t>
  </si>
  <si>
    <t>0,890</t>
  </si>
  <si>
    <t>0,875</t>
  </si>
  <si>
    <t>0,845</t>
  </si>
  <si>
    <t>0,870</t>
  </si>
  <si>
    <t>0,840</t>
  </si>
  <si>
    <t>0,800</t>
  </si>
  <si>
    <t>0,820</t>
  </si>
  <si>
    <t>0,905</t>
  </si>
  <si>
    <t>0,910</t>
  </si>
  <si>
    <t>0,955</t>
  </si>
  <si>
    <t>0,892</t>
  </si>
  <si>
    <t>0,827</t>
  </si>
  <si>
    <t>Taulukko 14</t>
  </si>
  <si>
    <t>Säteilyn läpäisy kokonaiskorjauskerroin</t>
  </si>
  <si>
    <t>F_{läpäisy}</t>
  </si>
  <si>
    <t>Taulukko 15</t>
  </si>
  <si>
    <t>P</t>
  </si>
  <si>
    <t>Ko</t>
  </si>
  <si>
    <t>I</t>
  </si>
  <si>
    <t>Ka</t>
  </si>
  <si>
    <t>E</t>
  </si>
  <si>
    <t>Lo</t>
  </si>
  <si>
    <t>L</t>
  </si>
  <si>
    <t>Lu</t>
  </si>
  <si>
    <t>Ulkoilmalämpöpumput</t>
  </si>
  <si>
    <t>Menoveden korkein lämpötila, C</t>
  </si>
  <si>
    <t>SPF</t>
  </si>
  <si>
    <t>Ilma-ilma</t>
  </si>
  <si>
    <t>Ilma-vesi (tilat)</t>
  </si>
  <si>
    <t>Ilma-vesi (lkv)</t>
  </si>
  <si>
    <t>Taulukko 16</t>
  </si>
  <si>
    <t>paluuneste, keskilämpötila, -3 C</t>
  </si>
  <si>
    <t>paluuneste, keskilämpötila, +3 C</t>
  </si>
  <si>
    <t>Tilojen Lämmitys</t>
  </si>
  <si>
    <t>LKV</t>
  </si>
  <si>
    <t>Taulukko 17</t>
  </si>
  <si>
    <t>Jäteilman alin lämpötila, C</t>
  </si>
  <si>
    <t>Taulukko 18</t>
  </si>
  <si>
    <t>QLP/Q,läm,tilat,iv,lkv</t>
  </si>
  <si>
    <t>PILP osuus tiloista</t>
  </si>
  <si>
    <t>SPF 2</t>
  </si>
  <si>
    <t>SPF 3</t>
  </si>
  <si>
    <t>Qläm,tilat (kWh/m2)</t>
  </si>
  <si>
    <t>Tjäte 5c</t>
  </si>
  <si>
    <t>Taulukko 19</t>
  </si>
  <si>
    <t>MLP osuus tilojen lämmityksestä</t>
  </si>
  <si>
    <t>Säävyöhyke: I-II</t>
  </si>
  <si>
    <t>T_{m} , °C</t>
  </si>
  <si>
    <t>_{LPn} /_{tila}</t>
  </si>
  <si>
    <t>Q_{lämmitys,}
_{tilat} /
Q_{lämmitys, lkv}</t>
  </si>
  <si>
    <t>30</t>
  </si>
  <si>
    <t>40</t>
  </si>
  <si>
    <t>50</t>
  </si>
  <si>
    <t>60</t>
  </si>
  <si>
    <t>Taulukko 20</t>
  </si>
  <si>
    <t>0,33</t>
  </si>
  <si>
    <t>0,39</t>
  </si>
  <si>
    <t>0,49</t>
  </si>
  <si>
    <t>0,56</t>
  </si>
  <si>
    <t>0,44</t>
  </si>
  <si>
    <t>0,52</t>
  </si>
  <si>
    <t>0,63</t>
  </si>
  <si>
    <t>0,68</t>
  </si>
  <si>
    <t>0,54</t>
  </si>
  <si>
    <t>0,65</t>
  </si>
  <si>
    <t>0,73</t>
  </si>
  <si>
    <t>0,78</t>
  </si>
  <si>
    <t>0,64</t>
  </si>
  <si>
    <t>0,75</t>
  </si>
  <si>
    <t>0,82</t>
  </si>
  <si>
    <t>0,84</t>
  </si>
  <si>
    <t>0,81</t>
  </si>
  <si>
    <t>0,88</t>
  </si>
  <si>
    <t>0,90</t>
  </si>
  <si>
    <t>0,91</t>
  </si>
  <si>
    <t>0,89</t>
  </si>
  <si>
    <t>0,92</t>
  </si>
  <si>
    <t>0,93</t>
  </si>
  <si>
    <t>Taulukko 21</t>
  </si>
  <si>
    <t>E-luvun kerroin, 1048/2017</t>
  </si>
  <si>
    <t>sähkö</t>
  </si>
  <si>
    <t>kaukolämpö</t>
  </si>
  <si>
    <t>kaukojäähdytys</t>
  </si>
  <si>
    <t>fossiiliset polttoaineet</t>
  </si>
  <si>
    <t>uusiutuvat polttoaineet</t>
  </si>
  <si>
    <t>Taulukko 22</t>
  </si>
  <si>
    <t>E-luvun asteikot</t>
  </si>
  <si>
    <t>jos alle 150 m2</t>
  </si>
  <si>
    <t>jos yli 150 m2, alle 600 m2</t>
  </si>
  <si>
    <t>Luokka 1, alle 150 m2</t>
  </si>
  <si>
    <t>Luokka 1, 150-600 m2</t>
  </si>
  <si>
    <t>Luokka 1, yli 600 m2</t>
  </si>
  <si>
    <t>Luokka 1, rivitalot</t>
  </si>
  <si>
    <t>A</t>
  </si>
  <si>
    <t>B</t>
  </si>
  <si>
    <t>C</t>
  </si>
  <si>
    <t>D</t>
  </si>
  <si>
    <t>F</t>
  </si>
  <si>
    <t>G</t>
  </si>
  <si>
    <t>Kuukauden keskilämpötilat säävyöhykkeellä</t>
  </si>
  <si>
    <t>Säävyöhyke</t>
  </si>
  <si>
    <t>Tammi</t>
  </si>
  <si>
    <t>Rakennusluvan vireiletulovuosi</t>
  </si>
  <si>
    <t>Helmi</t>
  </si>
  <si>
    <t>Maalis</t>
  </si>
  <si>
    <t>Huhti</t>
  </si>
  <si>
    <t>Käyttötarkoitusluokka</t>
  </si>
  <si>
    <t>Touko</t>
  </si>
  <si>
    <t>Kesä</t>
  </si>
  <si>
    <t>Kokonaisala</t>
  </si>
  <si>
    <t>Heinä</t>
  </si>
  <si>
    <t>Kerrosala</t>
  </si>
  <si>
    <t>Elo</t>
  </si>
  <si>
    <t>Syys</t>
  </si>
  <si>
    <t>Loka</t>
  </si>
  <si>
    <t>Polttoaine</t>
  </si>
  <si>
    <t>Marras</t>
  </si>
  <si>
    <t>Lämmönjakojärjestelmä</t>
  </si>
  <si>
    <t>Joulu</t>
  </si>
  <si>
    <t>kyllä</t>
  </si>
  <si>
    <t>ei</t>
  </si>
  <si>
    <t>Tilojen lämmitys</t>
  </si>
  <si>
    <t>kWh/a</t>
  </si>
  <si>
    <t>Varaava tulisija</t>
  </si>
  <si>
    <t>määrä</t>
  </si>
  <si>
    <t>max energia</t>
  </si>
  <si>
    <t>Ilmalämpöpumppu</t>
  </si>
  <si>
    <t>kWh/m2</t>
  </si>
  <si>
    <t>Lämpöpumppu</t>
  </si>
  <si>
    <t>mikä</t>
  </si>
  <si>
    <t>Lämmönjakojärjestelmän sähkön kulutus</t>
  </si>
  <si>
    <t>Lämmöntuottojärjestelmän hyötysuhde</t>
  </si>
  <si>
    <t>Ilmanvaihto</t>
  </si>
  <si>
    <t>IV</t>
  </si>
  <si>
    <t>IV LTO</t>
  </si>
  <si>
    <t>IV poistoilmavrta</t>
  </si>
  <si>
    <t>L/s</t>
  </si>
  <si>
    <t>IV tuloilmavirta</t>
  </si>
  <si>
    <t>IV korvausilma</t>
  </si>
  <si>
    <t>qv,korvaus</t>
  </si>
  <si>
    <t>SFP</t>
  </si>
  <si>
    <t>kW/(m3/s)</t>
  </si>
  <si>
    <t>sähköteho</t>
  </si>
  <si>
    <t>W/m3</t>
  </si>
  <si>
    <t>Tsp</t>
  </si>
  <si>
    <t>c</t>
  </si>
  <si>
    <t>deltaTpuhallus</t>
  </si>
  <si>
    <t>IV vuorokautinen käyntiaikasuhde</t>
  </si>
  <si>
    <t>IV viikottainen käyntiaikasuhde</t>
  </si>
  <si>
    <t>Lämmin käyttövesi</t>
  </si>
  <si>
    <t>LKV lämmitysenergian nettotarve</t>
  </si>
  <si>
    <t>kWh/m2a</t>
  </si>
  <si>
    <t>LKV lämmitysenergian nettotarpeen yläraja</t>
  </si>
  <si>
    <t>LKV varaaja</t>
  </si>
  <si>
    <t>varaaja koko</t>
  </si>
  <si>
    <t>litraa</t>
  </si>
  <si>
    <t>mm</t>
  </si>
  <si>
    <t>LKV varastoinnin vuotuinen häviö</t>
  </si>
  <si>
    <t>LKV lämmitys, jaon hyötysuhde</t>
  </si>
  <si>
    <t>LKV lämmitys, siirron hyötysuhde</t>
  </si>
  <si>
    <t>Kiertojohdon ominaispituus</t>
  </si>
  <si>
    <t>m</t>
  </si>
  <si>
    <t>LKV kiertojohdon eristys</t>
  </si>
  <si>
    <t>Rakennusosat</t>
  </si>
  <si>
    <t>A (m2)</t>
  </si>
  <si>
    <t>U-arvo</t>
  </si>
  <si>
    <t>Alapohja</t>
  </si>
  <si>
    <t>Ikkunat</t>
  </si>
  <si>
    <t>Ovet</t>
  </si>
  <si>
    <t>Vaippa</t>
  </si>
  <si>
    <t>Tilavuus (m3)</t>
  </si>
  <si>
    <t>Alapohjan lämpötila</t>
  </si>
  <si>
    <t>Rakennuksen ilmanvuotoluku, q50</t>
  </si>
  <si>
    <t>m3/h m2</t>
  </si>
  <si>
    <t>jos n50:</t>
  </si>
  <si>
    <t>Ilmavuotoluvun yhtälön kerroin</t>
  </si>
  <si>
    <t>Rakennuksen tehollisen lämpökapasiteetin ominaisarvo</t>
  </si>
  <si>
    <t>Wh/m2K</t>
  </si>
  <si>
    <t>Rakennuksen käyttö</t>
  </si>
  <si>
    <t>Vuorokautinen käyttöaikasuhde</t>
  </si>
  <si>
    <t>Viikottainen käyttöaikasuhde</t>
  </si>
  <si>
    <t>Kuluttajalaitteiden ominaisteho</t>
  </si>
  <si>
    <t>W/m2</t>
  </si>
  <si>
    <t>Kuluttajalaitteiden käyttöaste</t>
  </si>
  <si>
    <t>Valaistuksen ominasiteho</t>
  </si>
  <si>
    <t>Valaistuksen käyttöaste</t>
  </si>
  <si>
    <t>Lämpökuorma ihmisistä</t>
  </si>
  <si>
    <t>Ihmisten läsnäoloaste</t>
  </si>
  <si>
    <t>Käyttöasteen suhde</t>
  </si>
  <si>
    <t>Teho</t>
  </si>
  <si>
    <t>Energiaa vuodessa</t>
  </si>
  <si>
    <t>Kuluttajalaitteet</t>
  </si>
  <si>
    <t>W</t>
  </si>
  <si>
    <t>Valaistus</t>
  </si>
  <si>
    <t>Ilmanvaihdon sähkön kulutus</t>
  </si>
  <si>
    <t>W/(m3/s)</t>
  </si>
  <si>
    <t>Qlkv</t>
  </si>
  <si>
    <t>Qlkv,siirto</t>
  </si>
  <si>
    <t>Qlkv,varasto</t>
  </si>
  <si>
    <t>Qiv</t>
  </si>
  <si>
    <t>Qjoht</t>
  </si>
  <si>
    <t>Qvuoto</t>
  </si>
  <si>
    <t>Qtila</t>
  </si>
  <si>
    <t>Lämpökuormat</t>
  </si>
  <si>
    <t>Qnetto,lämmitys</t>
  </si>
  <si>
    <t>Tilojen lämmitysjärjestelmien energiankulutus</t>
  </si>
  <si>
    <t>Lämmönjakojärjestelmän lämpöenergian tarve (kulutus)</t>
  </si>
  <si>
    <t>Lämmönjakojärjestelmien apulaitteiden sähköenergian kulutus</t>
  </si>
  <si>
    <t>Lämmöntuottojärjestelmän ostoenergiankulutus</t>
  </si>
  <si>
    <t>ostettua energiaa</t>
  </si>
  <si>
    <t>Käyttöveden lämmitysjärjestelmän energiankulutus</t>
  </si>
  <si>
    <t>LKV lämmityksen lämpönenergian kokonaistarve</t>
  </si>
  <si>
    <t>Plkv</t>
  </si>
  <si>
    <t>LKV lämmönjakojärjestelmän apulaitteiden sähköenergian kulutus</t>
  </si>
  <si>
    <t>IV lämmitysjärjestelmän energiankulutus</t>
  </si>
  <si>
    <t>Lämmitysjärjestelmän lämmitysenergian kokonaistarve, kulutus</t>
  </si>
  <si>
    <t>Ostoenergia</t>
  </si>
  <si>
    <t>E-luvun kerroin</t>
  </si>
  <si>
    <t>E-luku</t>
  </si>
  <si>
    <t>alle 150</t>
  </si>
  <si>
    <t>Energia</t>
  </si>
  <si>
    <t>150-600</t>
  </si>
  <si>
    <t>yli 600</t>
  </si>
  <si>
    <t>rivitalot</t>
  </si>
  <si>
    <t>Tuottojärjestelmä</t>
  </si>
  <si>
    <t>Apulaitteet</t>
  </si>
  <si>
    <t>Tuloilman lämmitys</t>
  </si>
  <si>
    <t>IV järjestelmä</t>
  </si>
  <si>
    <t>Puhaltimet</t>
  </si>
  <si>
    <t>Kuluttajalaitteet ja valaistus</t>
  </si>
  <si>
    <t>Käyttöikä</t>
  </si>
  <si>
    <t>suora takasinmaksuaika</t>
  </si>
  <si>
    <t>Lämpöpumppu investointilaskuri:</t>
  </si>
  <si>
    <t>Lainan määrä</t>
  </si>
  <si>
    <t>Kassavirta</t>
  </si>
  <si>
    <t>Uusi systeemi</t>
  </si>
  <si>
    <t>Nykyinen systeemi</t>
  </si>
  <si>
    <t>Erotus</t>
  </si>
  <si>
    <t>Laina-aika</t>
  </si>
  <si>
    <t>€/v</t>
  </si>
  <si>
    <t>Korot</t>
  </si>
  <si>
    <t>Ylläpito</t>
  </si>
  <si>
    <t>Kulut yhteensä</t>
  </si>
  <si>
    <t>NPV</t>
  </si>
  <si>
    <t>nettonykyarvo</t>
  </si>
  <si>
    <t>Milloin järjestelmä maksaa itsensä takaisin?</t>
  </si>
  <si>
    <t>IRR</t>
  </si>
  <si>
    <t>kassavirrasta</t>
  </si>
  <si>
    <t>Laina</t>
  </si>
  <si>
    <t>Korkomäär</t>
  </si>
  <si>
    <t>LTO lämpötilat kuukausittain</t>
  </si>
  <si>
    <t>Laitteiden kulutus</t>
  </si>
  <si>
    <t>Valaistuksen kulutus</t>
  </si>
  <si>
    <t>T,lto</t>
  </si>
  <si>
    <t>T,lto+puh</t>
  </si>
  <si>
    <t>T,lto poiskytkentä</t>
  </si>
  <si>
    <t>T,lto aikataululla ja poiskytkennällä</t>
  </si>
  <si>
    <t>T,lto + puhallin</t>
  </si>
  <si>
    <t>T sp</t>
  </si>
  <si>
    <t>LTO päällä</t>
  </si>
  <si>
    <t>x</t>
  </si>
  <si>
    <t>o</t>
  </si>
  <si>
    <t>Q,läm,netto</t>
  </si>
  <si>
    <t>LTOlla</t>
  </si>
  <si>
    <t>ulkoseinät</t>
  </si>
  <si>
    <t>yläpohja</t>
  </si>
  <si>
    <t>alapohja</t>
  </si>
  <si>
    <t>ikkunat</t>
  </si>
  <si>
    <t>ovet</t>
  </si>
  <si>
    <t>Kylmäsillat</t>
  </si>
  <si>
    <t>qv,vuoto</t>
  </si>
  <si>
    <t>kWh</t>
  </si>
  <si>
    <t>Yhteensä</t>
  </si>
  <si>
    <t>Ihmisten lämpöteho</t>
  </si>
  <si>
    <t>Ihmiset</t>
  </si>
  <si>
    <t>Käyttölaitteet</t>
  </si>
  <si>
    <t>LKV varasto</t>
  </si>
  <si>
    <t>LKV siirto</t>
  </si>
  <si>
    <t>Aurinko</t>
  </si>
  <si>
    <t>Hyödyntämisaste</t>
  </si>
  <si>
    <t>Crak</t>
  </si>
  <si>
    <t>Aikavakio, t (d)</t>
  </si>
  <si>
    <t>Suhde, y</t>
  </si>
  <si>
    <t>Apusuure, a</t>
  </si>
  <si>
    <t>tehokkuus</t>
  </si>
  <si>
    <t>Hyöty</t>
  </si>
  <si>
    <t>W/K</t>
  </si>
  <si>
    <t>Wh/K</t>
  </si>
  <si>
    <t>yhteensä:</t>
  </si>
  <si>
    <t>Lämpökuorma auringosta</t>
  </si>
  <si>
    <t>Lämpöpumput</t>
  </si>
  <si>
    <t>lämpöä tilaan</t>
  </si>
  <si>
    <t>sähköä ostettu</t>
  </si>
  <si>
    <t>suhde</t>
  </si>
  <si>
    <t>SPFtila</t>
  </si>
  <si>
    <t>SPFlkv</t>
  </si>
  <si>
    <t>WLP,lämmitys</t>
  </si>
  <si>
    <t>Wtilat</t>
  </si>
  <si>
    <t>Wlkv</t>
  </si>
  <si>
    <t>Qläm</t>
  </si>
  <si>
    <t>ilmasta energiaa</t>
  </si>
  <si>
    <t>WLP,läm</t>
  </si>
  <si>
    <t>ilmaista energiaa</t>
  </si>
  <si>
    <t>Aurinkokennojen tuottama sähköenergia kuukaudessa</t>
  </si>
  <si>
    <t>Wpv,i</t>
  </si>
  <si>
    <t>n</t>
  </si>
  <si>
    <t>etelä, 45 astetta</t>
  </si>
  <si>
    <t>Haluttu teho</t>
  </si>
  <si>
    <t>kWp</t>
  </si>
  <si>
    <t>Yksi paneeli</t>
  </si>
  <si>
    <t>Wp</t>
  </si>
  <si>
    <t>Yhden paneelin pinta-ala</t>
  </si>
  <si>
    <t>Kennoston ala</t>
  </si>
  <si>
    <t>Kuukaudet</t>
  </si>
  <si>
    <t>G [kWh/m2]</t>
  </si>
  <si>
    <t>Wpv,i [kWh]</t>
  </si>
  <si>
    <t>Kuukausikohtainen kulutus [kWh]</t>
  </si>
  <si>
    <t>Valoisa aika [% päivästä]</t>
  </si>
  <si>
    <t>Voidaan kattaa [kWh]</t>
  </si>
  <si>
    <t>Katetaan [kWh]</t>
  </si>
  <si>
    <t>Ylijäämä [kWh]</t>
  </si>
  <si>
    <t>Ylijäämä prosentteina [kWh/kk]</t>
  </si>
  <si>
    <t>Kuinka paljon sähköstä voidaan kattaa %</t>
  </si>
  <si>
    <t>Suora tuotanto</t>
  </si>
  <si>
    <t>Vuodessa:</t>
  </si>
  <si>
    <t>^^arvio</t>
  </si>
  <si>
    <t>keskiarvo</t>
  </si>
  <si>
    <t>ei ota huomioon varjostuksia eikä muita performanssiin vaikuttavia tekijöitä</t>
  </si>
  <si>
    <t>ylijäämä</t>
  </si>
  <si>
    <t>Investointilaskuri</t>
  </si>
  <si>
    <t>Aurinkosähkön myyntihinta verkkoon</t>
  </si>
  <si>
    <t>snt/kWh</t>
  </si>
  <si>
    <t>Investoinnin tiedot</t>
  </si>
  <si>
    <t>Investointikustannus</t>
  </si>
  <si>
    <t>€</t>
  </si>
  <si>
    <t>Vertailuhinta ilman tukia</t>
  </si>
  <si>
    <t>€/Wp</t>
  </si>
  <si>
    <t>Hankinta tuen alainen?</t>
  </si>
  <si>
    <t>Tuet</t>
  </si>
  <si>
    <t>%</t>
  </si>
  <si>
    <t>Kustannukset tukien kanssa</t>
  </si>
  <si>
    <t>tai vapaasti valittava summa</t>
  </si>
  <si>
    <t>vuotta</t>
  </si>
  <si>
    <t>vapaasti valittava</t>
  </si>
  <si>
    <t>Lainan korko</t>
  </si>
  <si>
    <t>Maksuerät vuodessa</t>
  </si>
  <si>
    <t>Muut kustannukset</t>
  </si>
  <si>
    <t>invertterin vaihto, arvio</t>
  </si>
  <si>
    <t>Ylläpitokulut (huolto,vakuutus, jne)</t>
  </si>
  <si>
    <t>Tuottovaatimus</t>
  </si>
  <si>
    <t>Laitteiston käyttöikä</t>
  </si>
  <si>
    <t>Voimalan vuosittainen vähenemä</t>
  </si>
  <si>
    <t>/vuosi</t>
  </si>
  <si>
    <t>vaihdettavissa</t>
  </si>
  <si>
    <t>Järjestelmän pitoaika &amp; tuotanto</t>
  </si>
  <si>
    <t>Vertailukustannukset</t>
  </si>
  <si>
    <t>Tuotankokustannukset</t>
  </si>
  <si>
    <t>Ylijäämä</t>
  </si>
  <si>
    <t>Tuotto- ja talouslaskelmat</t>
  </si>
  <si>
    <t>Tuotanto kWh/vuodessa</t>
  </si>
  <si>
    <t>Ostosähkön hankintakustannukset €/kWh</t>
  </si>
  <si>
    <t>Tuotantoa vastaavan ostosähkön arvo €/a</t>
  </si>
  <si>
    <t>Investoinnin lainaerät €/a</t>
  </si>
  <si>
    <t>Korkokulut €/a</t>
  </si>
  <si>
    <t>Lainasaldo €</t>
  </si>
  <si>
    <t>Ylläpito &amp; huolto €/a</t>
  </si>
  <si>
    <t>Kustannukset yhteensä €/a</t>
  </si>
  <si>
    <t>Myyntihinta €/kWh</t>
  </si>
  <si>
    <t>Myyntituotot €/a</t>
  </si>
  <si>
    <t>Tuotannon arvo yht. €/a</t>
  </si>
  <si>
    <t>Kassavirta €/a</t>
  </si>
  <si>
    <t>Investoinnin kumulatiivinen tuotto €/a</t>
  </si>
  <si>
    <t>NPV €/a</t>
  </si>
  <si>
    <t>Takaisinmaksuvuodet</t>
  </si>
  <si>
    <t>takaisinmaksuvuodet</t>
  </si>
  <si>
    <t>jos plussana; kannattava; jos ei; ei voida maksaa takaisin käyttöiän sisällä</t>
  </si>
  <si>
    <t>kerros</t>
  </si>
  <si>
    <t>Iv kone käyttöaika</t>
  </si>
  <si>
    <t>Valaistus &amp;kuluttajalitteet</t>
  </si>
  <si>
    <t>tilojen lämmitykseen käytetty sähköenergia</t>
  </si>
  <si>
    <t>LKV lämmitykseen käytetty sähköenergia</t>
  </si>
  <si>
    <t>listattu alle</t>
  </si>
  <si>
    <t xml:space="preserve"> </t>
  </si>
  <si>
    <t>normi arvo tähän 1-2 €/Wp</t>
  </si>
  <si>
    <t>Luokka 2) Asuinkerrostalo, jossa on asuinkerroksia vähintään kolmessa kerroksessa</t>
  </si>
  <si>
    <t>Luokka 3) Toimistorakennus, terveyskeskus</t>
  </si>
  <si>
    <t>Luokka 5) Majoitusliikerakennus, hotelli, asuntola, palvelutalo,vanhainkoti, hoitolaitos</t>
  </si>
  <si>
    <t>Luokka 6) Opetusrakennus ja päiväkoti</t>
  </si>
  <si>
    <t>Luokka 7) Liikuntahalli lukuun ottamatta uimahalliaja jäähallia</t>
  </si>
  <si>
    <t>Luokka 8) Sairaala</t>
  </si>
  <si>
    <r>
      <t>Luokka 1) Pienet asuinrakennukset:a) Erillinen pientalo ja ketjutalon osana oleva rakennus, joidenlämmitetty nettoala (A</t>
    </r>
    <r>
      <rPr>
        <vertAlign val="subscript"/>
        <sz val="11"/>
        <color rgb="FF444444"/>
        <rFont val="Calibri"/>
        <family val="2"/>
        <scheme val="minor"/>
      </rPr>
      <t>netto</t>
    </r>
    <r>
      <rPr>
        <sz val="11"/>
        <color rgb="FF444444"/>
        <rFont val="Calibri"/>
        <family val="2"/>
        <scheme val="minor"/>
      </rPr>
      <t>) on 50–150 m</t>
    </r>
    <r>
      <rPr>
        <vertAlign val="superscript"/>
        <sz val="11"/>
        <color rgb="FF444444"/>
        <rFont val="Calibri"/>
        <family val="2"/>
        <scheme val="minor"/>
      </rPr>
      <t>2</t>
    </r>
    <r>
      <rPr>
        <sz val="11"/>
        <color rgb="FF444444"/>
        <rFont val="Calibri"/>
        <family val="2"/>
        <scheme val="minor"/>
      </rPr>
      <t>b) Erillinen pientalo ja ketjutalon osana oleva rakennus, joidenlämmitetty nettoala (A</t>
    </r>
    <r>
      <rPr>
        <vertAlign val="subscript"/>
        <sz val="11"/>
        <color rgb="FF444444"/>
        <rFont val="Calibri"/>
        <family val="2"/>
        <scheme val="minor"/>
      </rPr>
      <t>netto</t>
    </r>
    <r>
      <rPr>
        <sz val="11"/>
        <color rgb="FF444444"/>
        <rFont val="Calibri"/>
        <family val="2"/>
        <scheme val="minor"/>
      </rPr>
      <t>) on enemmän kuin 150 m</t>
    </r>
    <r>
      <rPr>
        <vertAlign val="superscript"/>
        <sz val="11"/>
        <color rgb="FF444444"/>
        <rFont val="Calibri"/>
        <family val="2"/>
        <scheme val="minor"/>
      </rPr>
      <t>2</t>
    </r>
    <r>
      <rPr>
        <sz val="11"/>
        <color rgb="FF444444"/>
        <rFont val="Calibri"/>
        <family val="2"/>
        <scheme val="minor"/>
      </rPr>
      <t> kuitenkin enintään 600 m</t>
    </r>
    <r>
      <rPr>
        <vertAlign val="superscript"/>
        <sz val="11"/>
        <color rgb="FF444444"/>
        <rFont val="Calibri"/>
        <family val="2"/>
        <scheme val="minor"/>
      </rPr>
      <t>2</t>
    </r>
    <r>
      <rPr>
        <sz val="11"/>
        <color rgb="FF444444"/>
        <rFont val="Calibri"/>
        <family val="2"/>
        <scheme val="minor"/>
      </rPr>
      <t>c) Erillinen pientalo ja ketjutalon osana oleva rakennus, joidenlämmitetty nettoala (A</t>
    </r>
    <r>
      <rPr>
        <vertAlign val="subscript"/>
        <sz val="11"/>
        <color rgb="FF444444"/>
        <rFont val="Calibri"/>
        <family val="2"/>
        <scheme val="minor"/>
      </rPr>
      <t>netto</t>
    </r>
    <r>
      <rPr>
        <sz val="11"/>
        <color rgb="FF444444"/>
        <rFont val="Calibri"/>
        <family val="2"/>
        <scheme val="minor"/>
      </rPr>
      <t>) on enemmän kuin 600 m</t>
    </r>
    <r>
      <rPr>
        <vertAlign val="superscript"/>
        <sz val="11"/>
        <color rgb="FF444444"/>
        <rFont val="Calibri"/>
        <family val="2"/>
        <scheme val="minor"/>
      </rPr>
      <t>2</t>
    </r>
    <r>
      <rPr>
        <sz val="11"/>
        <color rgb="FF444444"/>
        <rFont val="Calibri"/>
        <family val="2"/>
        <scheme val="minor"/>
      </rPr>
      <t>d) Rivitalo ja asuinkerrostalo, jossa on asuinkerroksia enintään kahdessa kerroksessa</t>
    </r>
  </si>
  <si>
    <r>
      <t>200–0,6 A</t>
    </r>
    <r>
      <rPr>
        <vertAlign val="subscript"/>
        <sz val="11"/>
        <color rgb="FF444444"/>
        <rFont val="Calibri"/>
        <family val="2"/>
        <scheme val="minor"/>
      </rPr>
      <t>netto</t>
    </r>
    <r>
      <rPr>
        <sz val="11"/>
        <color rgb="FF444444"/>
        <rFont val="Calibri"/>
        <family val="2"/>
        <scheme val="minor"/>
      </rPr>
      <t> 116–0,04 A</t>
    </r>
    <r>
      <rPr>
        <vertAlign val="subscript"/>
        <sz val="11"/>
        <color rgb="FF444444"/>
        <rFont val="Calibri"/>
        <family val="2"/>
        <scheme val="minor"/>
      </rPr>
      <t>netto</t>
    </r>
    <r>
      <rPr>
        <sz val="11"/>
        <color rgb="FF444444"/>
        <rFont val="Calibri"/>
        <family val="2"/>
        <scheme val="minor"/>
      </rPr>
      <t> 92 105</t>
    </r>
  </si>
  <si>
    <r>
      <t>Luokka 4) Liikerakennus, tavaratalo, kauppakeskus,myymälärakennus lukuun ottamatta päivittäistavarakaupan alle2000 m</t>
    </r>
    <r>
      <rPr>
        <vertAlign val="superscript"/>
        <sz val="11"/>
        <color rgb="FF444444"/>
        <rFont val="Calibri"/>
        <family val="2"/>
        <scheme val="minor"/>
      </rPr>
      <t>2</t>
    </r>
    <r>
      <rPr>
        <sz val="11"/>
        <color rgb="FF444444"/>
        <rFont val="Calibri"/>
        <family val="2"/>
        <scheme val="minor"/>
      </rPr>
      <t> yksikköä, myymälähalli, teatteri, ooppera-,konsertti- ja kongressitalo, elokuvateatteri, kirjasto, arkisto,museo, taidegalleria, näyttelyhalli</t>
    </r>
  </si>
  <si>
    <r>
      <t>Luokka 9) Muu rakennus, varastorakennus, liikenteen rakennus,uimahalli, jäähalli, päivittäistavarakaupan alle2000 m</t>
    </r>
    <r>
      <rPr>
        <vertAlign val="superscript"/>
        <sz val="11"/>
        <color rgb="FF444444"/>
        <rFont val="Calibri"/>
        <family val="2"/>
        <scheme val="minor"/>
      </rPr>
      <t>2</t>
    </r>
    <r>
      <rPr>
        <sz val="11"/>
        <color rgb="FF444444"/>
        <rFont val="Calibri"/>
        <family val="2"/>
        <scheme val="minor"/>
      </rPr>
      <t> yksikkö, siirtokelpoinen rakennus</t>
    </r>
  </si>
  <si>
    <t>E-luvun raja-arvo</t>
  </si>
  <si>
    <t>ei raja-arvoa</t>
  </si>
  <si>
    <t>toimisto,terveyskeskus</t>
  </si>
  <si>
    <t>liikerakennnus</t>
  </si>
  <si>
    <t>majoitus</t>
  </si>
  <si>
    <t>opetus</t>
  </si>
  <si>
    <t>liikuntahalli</t>
  </si>
  <si>
    <t>sairaala</t>
  </si>
  <si>
    <t>Lämmönjakojärjestelmän vuosihyötysuhde</t>
  </si>
  <si>
    <t>Takaisinmaksuaika</t>
  </si>
  <si>
    <t>.&lt;--- Muuta vain tätä</t>
  </si>
  <si>
    <t>valittu 70 % tehosuhde</t>
  </si>
  <si>
    <t>Ei</t>
  </si>
  <si>
    <t>Valitse milloin kiinteistössä ollaan paikalla:</t>
  </si>
  <si>
    <t>.+häviöt</t>
  </si>
  <si>
    <t>0 % kun oletetaan, että halutaan kaikki omaan käyttöön</t>
  </si>
  <si>
    <t>Aurinkopaneelit valmiina</t>
  </si>
  <si>
    <t>valinta</t>
  </si>
  <si>
    <t>Uusi systeemi, hinta</t>
  </si>
  <si>
    <t>Nykyinen systeemi, hinta</t>
  </si>
  <si>
    <t>Uusi energian määrä</t>
  </si>
  <si>
    <t>virtaama</t>
  </si>
  <si>
    <t>valitse</t>
  </si>
  <si>
    <t>Kiinteistön perustiedot</t>
  </si>
  <si>
    <t>Kun excel arvioi valmiiks rakennuksen sivut:</t>
  </si>
  <si>
    <t>Jos haluaa käyttää omia arvoja, lisää ne niille tarkoitetuille kohdille</t>
  </si>
  <si>
    <t>valinta, kyllä/ei</t>
  </si>
  <si>
    <t>vapaasti valittava tai anna olla</t>
  </si>
  <si>
    <t>Tsisä</t>
  </si>
  <si>
    <t>omakoti</t>
  </si>
  <si>
    <t>METE2</t>
  </si>
  <si>
    <t>Välilehti "Tausta" sisältää laskentaan kuuluvat välivaiheet.</t>
  </si>
  <si>
    <t>Välilehti "Aurinkosähkö" sisältää aurinkosähkön arvioinnin tietyin ehdoin.</t>
  </si>
  <si>
    <t>Ona Vassallo</t>
  </si>
  <si>
    <t>HAMK Kestävät energiajärjestelmät -tutkimusryhmä</t>
  </si>
  <si>
    <t>Laskurin tekijä:</t>
  </si>
  <si>
    <t>Aloita käyttö välilehdeltä "Energia".</t>
  </si>
  <si>
    <t>Välilehti "rakennusosat" sisältää kuutiomallisen rakennuksen mitoituksen laskurin sisällä.</t>
  </si>
  <si>
    <t>Energian hinnan vuotuinen nousu</t>
  </si>
  <si>
    <t>Nykyisen systeemin energianhinta [€/kWh]</t>
  </si>
  <si>
    <t>uuden systeemin energian hinta [€/kWh]</t>
  </si>
  <si>
    <t>sähkön hinta</t>
  </si>
  <si>
    <t>vuosittainen hinnan nousu</t>
  </si>
  <si>
    <t>pyri alle 10 %, ellei halua tuottajaksi</t>
  </si>
  <si>
    <t>m3/s</t>
  </si>
  <si>
    <t>Energiainvestoinilaskuri_EIL_v1</t>
  </si>
  <si>
    <t>valinta (1-4)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</si>
</sst>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#,##0\ &quot;€&quot;;[Red]\-#,##0\ &quot;€&quot;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_-* #,##0.00\ _€_-;\-* #,##0.00\ _€_-;_-* &quot;-&quot;??\ _€_-;_-@_-"/>
    <numFmt numFmtId="167" formatCode="_-* #,##0\ _€_-;\-* #,##0\ _€_-;_-* &quot;-&quot;??\ _€_-;_-@_-"/>
    <numFmt numFmtId="168" formatCode="0.0\ %"/>
    <numFmt numFmtId="169" formatCode="0.0"/>
    <numFmt numFmtId="170" formatCode="_-* #,##0.000_-;\-* #,##0.000_-;_-* &quot;-&quot;??_-;_-@_-"/>
    <numFmt numFmtId="171" formatCode="#,##0.0\ &quot;€&quot;;[Red]\-#,##0.0\ &quot;€&quot;"/>
    <numFmt numFmtId="172" formatCode="0.000"/>
    <numFmt numFmtId="173" formatCode="0.0000"/>
    <numFmt numFmtId="174" formatCode="_-* #,##0.00000\ _€_-;\-* #,##0.000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Trebuchet MS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rgb="FF444444"/>
      <name val="Calibri"/>
      <family val="2"/>
      <scheme val="minor"/>
    </font>
    <font>
      <vertAlign val="subscript"/>
      <sz val="11"/>
      <color rgb="FF444444"/>
      <name val="Calibri"/>
      <family val="2"/>
      <scheme val="minor"/>
    </font>
    <font>
      <vertAlign val="superscript"/>
      <sz val="11"/>
      <color rgb="FF444444"/>
      <name val="Calibri"/>
      <family val="2"/>
      <scheme val="minor"/>
    </font>
    <font>
      <b/>
      <sz val="9"/>
      <color indexed="81"/>
      <name val="Tahoma"/>
      <charset val="1"/>
    </font>
    <font>
      <sz val="24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9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theme="9" tint="0.7999816888943144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9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theme="9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9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theme="9" tint="0.79998168889431442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theme="9" tint="0.79998168889431442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9" tint="0.39997558519241921"/>
      </top>
      <bottom style="thin">
        <color theme="9" tint="0.399975585192419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9"/>
      </left>
      <right/>
      <top style="thin">
        <color theme="4" tint="0.39997558519241921"/>
      </top>
      <bottom/>
      <diagonal/>
    </border>
    <border>
      <left style="thin">
        <color theme="9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medium">
        <color indexed="64"/>
      </left>
      <right style="thin">
        <color theme="9"/>
      </right>
      <top style="medium">
        <color indexed="64"/>
      </top>
      <bottom/>
      <diagonal/>
    </border>
    <border>
      <left style="thin">
        <color theme="9"/>
      </left>
      <right/>
      <top style="medium">
        <color indexed="64"/>
      </top>
      <bottom/>
      <diagonal/>
    </border>
    <border>
      <left style="thin">
        <color theme="9"/>
      </left>
      <right style="thin">
        <color theme="4" tint="0.39997558519241921"/>
      </right>
      <top style="medium">
        <color indexed="64"/>
      </top>
      <bottom/>
      <diagonal/>
    </border>
    <border>
      <left style="medium">
        <color indexed="64"/>
      </left>
      <right style="thin">
        <color theme="9"/>
      </right>
      <top/>
      <bottom/>
      <diagonal/>
    </border>
    <border>
      <left style="medium">
        <color indexed="64"/>
      </left>
      <right style="thin">
        <color theme="9"/>
      </right>
      <top/>
      <bottom style="medium">
        <color indexed="64"/>
      </bottom>
      <diagonal/>
    </border>
    <border>
      <left style="thin">
        <color theme="9" tint="0.39997558519241921"/>
      </left>
      <right style="thin">
        <color theme="9"/>
      </right>
      <top style="medium">
        <color indexed="64"/>
      </top>
      <bottom/>
      <diagonal/>
    </border>
    <border>
      <left style="thin">
        <color theme="9" tint="0.39997558519241921"/>
      </left>
      <right style="thin">
        <color theme="9"/>
      </right>
      <top/>
      <bottom/>
      <diagonal/>
    </border>
    <border>
      <left style="thin">
        <color theme="9" tint="0.39997558519241921"/>
      </left>
      <right style="thin">
        <color theme="9"/>
      </right>
      <top/>
      <bottom style="medium">
        <color indexed="64"/>
      </bottom>
      <diagonal/>
    </border>
    <border>
      <left style="thin">
        <color theme="9" tint="0.39997558519241921"/>
      </left>
      <right style="thin">
        <color theme="9"/>
      </right>
      <top/>
      <bottom style="thin">
        <color theme="9" tint="0.39997558519241921"/>
      </bottom>
      <diagonal/>
    </border>
    <border>
      <left style="thin">
        <color theme="9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5" fillId="0" borderId="50" applyNumberFormat="0" applyFill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17" fillId="0" borderId="0"/>
  </cellStyleXfs>
  <cellXfs count="44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2" borderId="0" xfId="0" applyFont="1" applyFill="1"/>
    <xf numFmtId="0" fontId="3" fillId="0" borderId="0" xfId="0" applyFont="1"/>
    <xf numFmtId="0" fontId="4" fillId="2" borderId="0" xfId="0" applyFont="1" applyFill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left"/>
    </xf>
    <xf numFmtId="0" fontId="0" fillId="0" borderId="9" xfId="0" applyBorder="1"/>
    <xf numFmtId="166" fontId="0" fillId="0" borderId="0" xfId="0" applyNumberFormat="1"/>
    <xf numFmtId="0" fontId="4" fillId="0" borderId="0" xfId="0" applyFont="1"/>
    <xf numFmtId="164" fontId="0" fillId="0" borderId="0" xfId="1" applyNumberFormat="1" applyFont="1" applyBorder="1"/>
    <xf numFmtId="0" fontId="7" fillId="3" borderId="13" xfId="0" applyFont="1" applyFill="1" applyBorder="1"/>
    <xf numFmtId="0" fontId="0" fillId="4" borderId="13" xfId="0" applyFill="1" applyBorder="1"/>
    <xf numFmtId="4" fontId="0" fillId="0" borderId="13" xfId="0" applyNumberFormat="1" applyBorder="1"/>
    <xf numFmtId="4" fontId="0" fillId="4" borderId="13" xfId="0" applyNumberFormat="1" applyFill="1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0" fillId="4" borderId="15" xfId="0" applyFill="1" applyBorder="1"/>
    <xf numFmtId="4" fontId="0" fillId="0" borderId="0" xfId="0" applyNumberFormat="1"/>
    <xf numFmtId="4" fontId="0" fillId="0" borderId="15" xfId="0" applyNumberFormat="1" applyBorder="1"/>
    <xf numFmtId="4" fontId="0" fillId="4" borderId="15" xfId="0" applyNumberFormat="1" applyFill="1" applyBorder="1"/>
    <xf numFmtId="4" fontId="0" fillId="0" borderId="7" xfId="0" applyNumberFormat="1" applyBorder="1"/>
    <xf numFmtId="4" fontId="0" fillId="0" borderId="8" xfId="0" applyNumberFormat="1" applyBorder="1"/>
    <xf numFmtId="164" fontId="0" fillId="0" borderId="0" xfId="0" applyNumberFormat="1"/>
    <xf numFmtId="43" fontId="0" fillId="0" borderId="0" xfId="1" applyFont="1" applyBorder="1"/>
    <xf numFmtId="0" fontId="0" fillId="0" borderId="17" xfId="0" applyBorder="1"/>
    <xf numFmtId="0" fontId="0" fillId="0" borderId="18" xfId="0" applyBorder="1"/>
    <xf numFmtId="0" fontId="3" fillId="2" borderId="0" xfId="0" applyFont="1" applyFill="1"/>
    <xf numFmtId="0" fontId="0" fillId="0" borderId="9" xfId="0" applyBorder="1" applyAlignment="1">
      <alignment wrapText="1"/>
    </xf>
    <xf numFmtId="0" fontId="4" fillId="0" borderId="9" xfId="0" applyFont="1" applyBorder="1"/>
    <xf numFmtId="0" fontId="0" fillId="0" borderId="19" xfId="0" applyBorder="1"/>
    <xf numFmtId="0" fontId="0" fillId="0" borderId="20" xfId="0" applyBorder="1"/>
    <xf numFmtId="0" fontId="0" fillId="5" borderId="9" xfId="0" applyFill="1" applyBorder="1"/>
    <xf numFmtId="0" fontId="4" fillId="5" borderId="19" xfId="0" applyFont="1" applyFill="1" applyBorder="1"/>
    <xf numFmtId="2" fontId="0" fillId="2" borderId="21" xfId="0" applyNumberFormat="1" applyFill="1" applyBorder="1"/>
    <xf numFmtId="2" fontId="0" fillId="2" borderId="22" xfId="0" applyNumberFormat="1" applyFill="1" applyBorder="1"/>
    <xf numFmtId="2" fontId="0" fillId="2" borderId="23" xfId="0" applyNumberFormat="1" applyFill="1" applyBorder="1"/>
    <xf numFmtId="2" fontId="0" fillId="2" borderId="24" xfId="0" applyNumberFormat="1" applyFill="1" applyBorder="1"/>
    <xf numFmtId="2" fontId="0" fillId="4" borderId="9" xfId="0" applyNumberFormat="1" applyFill="1" applyBorder="1"/>
    <xf numFmtId="2" fontId="0" fillId="4" borderId="25" xfId="0" applyNumberFormat="1" applyFill="1" applyBorder="1"/>
    <xf numFmtId="2" fontId="0" fillId="2" borderId="9" xfId="0" applyNumberFormat="1" applyFill="1" applyBorder="1"/>
    <xf numFmtId="2" fontId="0" fillId="2" borderId="25" xfId="0" applyNumberFormat="1" applyFill="1" applyBorder="1"/>
    <xf numFmtId="2" fontId="0" fillId="2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2" fontId="0" fillId="6" borderId="21" xfId="0" applyNumberFormat="1" applyFill="1" applyBorder="1"/>
    <xf numFmtId="2" fontId="0" fillId="6" borderId="22" xfId="0" applyNumberFormat="1" applyFill="1" applyBorder="1"/>
    <xf numFmtId="2" fontId="0" fillId="6" borderId="23" xfId="0" applyNumberFormat="1" applyFill="1" applyBorder="1"/>
    <xf numFmtId="2" fontId="0" fillId="6" borderId="24" xfId="0" applyNumberFormat="1" applyFill="1" applyBorder="1"/>
    <xf numFmtId="2" fontId="0" fillId="7" borderId="9" xfId="0" applyNumberFormat="1" applyFill="1" applyBorder="1"/>
    <xf numFmtId="2" fontId="0" fillId="7" borderId="25" xfId="0" applyNumberFormat="1" applyFill="1" applyBorder="1"/>
    <xf numFmtId="2" fontId="0" fillId="6" borderId="9" xfId="0" applyNumberFormat="1" applyFill="1" applyBorder="1"/>
    <xf numFmtId="2" fontId="0" fillId="6" borderId="25" xfId="0" applyNumberFormat="1" applyFill="1" applyBorder="1"/>
    <xf numFmtId="2" fontId="0" fillId="6" borderId="26" xfId="0" applyNumberFormat="1" applyFill="1" applyBorder="1"/>
    <xf numFmtId="2" fontId="0" fillId="7" borderId="27" xfId="0" applyNumberFormat="1" applyFill="1" applyBorder="1"/>
    <xf numFmtId="2" fontId="0" fillId="7" borderId="28" xfId="0" applyNumberFormat="1" applyFill="1" applyBorder="1"/>
    <xf numFmtId="2" fontId="0" fillId="8" borderId="21" xfId="0" applyNumberFormat="1" applyFill="1" applyBorder="1"/>
    <xf numFmtId="2" fontId="0" fillId="8" borderId="22" xfId="0" applyNumberFormat="1" applyFill="1" applyBorder="1"/>
    <xf numFmtId="2" fontId="0" fillId="8" borderId="23" xfId="0" applyNumberFormat="1" applyFill="1" applyBorder="1"/>
    <xf numFmtId="2" fontId="0" fillId="8" borderId="24" xfId="0" applyNumberFormat="1" applyFill="1" applyBorder="1"/>
    <xf numFmtId="2" fontId="0" fillId="9" borderId="9" xfId="0" applyNumberFormat="1" applyFill="1" applyBorder="1"/>
    <xf numFmtId="2" fontId="0" fillId="9" borderId="25" xfId="0" applyNumberFormat="1" applyFill="1" applyBorder="1"/>
    <xf numFmtId="2" fontId="0" fillId="8" borderId="9" xfId="0" applyNumberFormat="1" applyFill="1" applyBorder="1"/>
    <xf numFmtId="2" fontId="0" fillId="8" borderId="25" xfId="0" applyNumberFormat="1" applyFill="1" applyBorder="1"/>
    <xf numFmtId="2" fontId="0" fillId="8" borderId="26" xfId="0" applyNumberFormat="1" applyFill="1" applyBorder="1"/>
    <xf numFmtId="2" fontId="0" fillId="9" borderId="27" xfId="0" applyNumberFormat="1" applyFill="1" applyBorder="1"/>
    <xf numFmtId="2" fontId="0" fillId="9" borderId="28" xfId="0" applyNumberFormat="1" applyFill="1" applyBorder="1"/>
    <xf numFmtId="2" fontId="0" fillId="10" borderId="21" xfId="0" applyNumberFormat="1" applyFill="1" applyBorder="1"/>
    <xf numFmtId="2" fontId="0" fillId="10" borderId="22" xfId="0" applyNumberFormat="1" applyFill="1" applyBorder="1"/>
    <xf numFmtId="2" fontId="0" fillId="10" borderId="23" xfId="0" applyNumberFormat="1" applyFill="1" applyBorder="1"/>
    <xf numFmtId="2" fontId="0" fillId="10" borderId="24" xfId="0" applyNumberFormat="1" applyFill="1" applyBorder="1"/>
    <xf numFmtId="2" fontId="0" fillId="11" borderId="9" xfId="0" applyNumberFormat="1" applyFill="1" applyBorder="1"/>
    <xf numFmtId="2" fontId="0" fillId="11" borderId="25" xfId="0" applyNumberFormat="1" applyFill="1" applyBorder="1"/>
    <xf numFmtId="2" fontId="0" fillId="10" borderId="9" xfId="0" applyNumberFormat="1" applyFill="1" applyBorder="1"/>
    <xf numFmtId="2" fontId="0" fillId="10" borderId="25" xfId="0" applyNumberFormat="1" applyFill="1" applyBorder="1"/>
    <xf numFmtId="2" fontId="0" fillId="10" borderId="26" xfId="0" applyNumberFormat="1" applyFill="1" applyBorder="1"/>
    <xf numFmtId="2" fontId="0" fillId="11" borderId="27" xfId="0" applyNumberFormat="1" applyFill="1" applyBorder="1"/>
    <xf numFmtId="2" fontId="0" fillId="11" borderId="28" xfId="0" applyNumberFormat="1" applyFill="1" applyBorder="1"/>
    <xf numFmtId="2" fontId="0" fillId="12" borderId="21" xfId="0" applyNumberFormat="1" applyFill="1" applyBorder="1"/>
    <xf numFmtId="2" fontId="0" fillId="12" borderId="22" xfId="0" applyNumberFormat="1" applyFill="1" applyBorder="1"/>
    <xf numFmtId="2" fontId="0" fillId="12" borderId="23" xfId="0" applyNumberFormat="1" applyFill="1" applyBorder="1"/>
    <xf numFmtId="2" fontId="0" fillId="12" borderId="24" xfId="0" applyNumberFormat="1" applyFill="1" applyBorder="1"/>
    <xf numFmtId="2" fontId="0" fillId="13" borderId="9" xfId="0" applyNumberFormat="1" applyFill="1" applyBorder="1"/>
    <xf numFmtId="2" fontId="0" fillId="13" borderId="25" xfId="0" applyNumberFormat="1" applyFill="1" applyBorder="1"/>
    <xf numFmtId="2" fontId="0" fillId="12" borderId="9" xfId="0" applyNumberFormat="1" applyFill="1" applyBorder="1"/>
    <xf numFmtId="2" fontId="0" fillId="12" borderId="25" xfId="0" applyNumberFormat="1" applyFill="1" applyBorder="1"/>
    <xf numFmtId="2" fontId="0" fillId="12" borderId="26" xfId="0" applyNumberFormat="1" applyFill="1" applyBorder="1"/>
    <xf numFmtId="2" fontId="0" fillId="13" borderId="27" xfId="0" applyNumberFormat="1" applyFill="1" applyBorder="1"/>
    <xf numFmtId="2" fontId="0" fillId="13" borderId="28" xfId="0" applyNumberFormat="1" applyFill="1" applyBorder="1"/>
    <xf numFmtId="2" fontId="0" fillId="14" borderId="21" xfId="0" applyNumberFormat="1" applyFill="1" applyBorder="1"/>
    <xf numFmtId="2" fontId="0" fillId="14" borderId="22" xfId="0" applyNumberFormat="1" applyFill="1" applyBorder="1"/>
    <xf numFmtId="2" fontId="0" fillId="14" borderId="23" xfId="0" applyNumberFormat="1" applyFill="1" applyBorder="1"/>
    <xf numFmtId="2" fontId="0" fillId="14" borderId="24" xfId="0" applyNumberFormat="1" applyFill="1" applyBorder="1"/>
    <xf numFmtId="2" fontId="0" fillId="15" borderId="9" xfId="0" applyNumberFormat="1" applyFill="1" applyBorder="1"/>
    <xf numFmtId="2" fontId="0" fillId="15" borderId="25" xfId="0" applyNumberFormat="1" applyFill="1" applyBorder="1"/>
    <xf numFmtId="2" fontId="0" fillId="14" borderId="9" xfId="0" applyNumberFormat="1" applyFill="1" applyBorder="1"/>
    <xf numFmtId="2" fontId="0" fillId="14" borderId="25" xfId="0" applyNumberFormat="1" applyFill="1" applyBorder="1"/>
    <xf numFmtId="2" fontId="0" fillId="14" borderId="26" xfId="0" applyNumberFormat="1" applyFill="1" applyBorder="1"/>
    <xf numFmtId="2" fontId="0" fillId="15" borderId="27" xfId="0" applyNumberFormat="1" applyFill="1" applyBorder="1"/>
    <xf numFmtId="2" fontId="0" fillId="15" borderId="28" xfId="0" applyNumberFormat="1" applyFill="1" applyBorder="1"/>
    <xf numFmtId="2" fontId="0" fillId="16" borderId="21" xfId="0" applyNumberFormat="1" applyFill="1" applyBorder="1"/>
    <xf numFmtId="2" fontId="0" fillId="16" borderId="22" xfId="0" applyNumberFormat="1" applyFill="1" applyBorder="1"/>
    <xf numFmtId="2" fontId="0" fillId="16" borderId="23" xfId="0" applyNumberFormat="1" applyFill="1" applyBorder="1"/>
    <xf numFmtId="2" fontId="0" fillId="16" borderId="24" xfId="0" applyNumberFormat="1" applyFill="1" applyBorder="1"/>
    <xf numFmtId="2" fontId="0" fillId="17" borderId="9" xfId="0" applyNumberFormat="1" applyFill="1" applyBorder="1"/>
    <xf numFmtId="2" fontId="0" fillId="17" borderId="25" xfId="0" applyNumberFormat="1" applyFill="1" applyBorder="1"/>
    <xf numFmtId="2" fontId="0" fillId="16" borderId="9" xfId="0" applyNumberFormat="1" applyFill="1" applyBorder="1"/>
    <xf numFmtId="2" fontId="0" fillId="16" borderId="25" xfId="0" applyNumberFormat="1" applyFill="1" applyBorder="1"/>
    <xf numFmtId="2" fontId="0" fillId="16" borderId="26" xfId="0" applyNumberFormat="1" applyFill="1" applyBorder="1"/>
    <xf numFmtId="2" fontId="0" fillId="17" borderId="27" xfId="0" applyNumberFormat="1" applyFill="1" applyBorder="1"/>
    <xf numFmtId="2" fontId="0" fillId="17" borderId="28" xfId="0" applyNumberFormat="1" applyFill="1" applyBorder="1"/>
    <xf numFmtId="2" fontId="0" fillId="18" borderId="21" xfId="0" applyNumberFormat="1" applyFill="1" applyBorder="1"/>
    <xf numFmtId="2" fontId="0" fillId="18" borderId="22" xfId="0" applyNumberFormat="1" applyFill="1" applyBorder="1"/>
    <xf numFmtId="2" fontId="0" fillId="18" borderId="23" xfId="0" applyNumberFormat="1" applyFill="1" applyBorder="1"/>
    <xf numFmtId="2" fontId="0" fillId="18" borderId="24" xfId="0" applyNumberFormat="1" applyFill="1" applyBorder="1"/>
    <xf numFmtId="2" fontId="0" fillId="19" borderId="9" xfId="0" applyNumberFormat="1" applyFill="1" applyBorder="1"/>
    <xf numFmtId="2" fontId="0" fillId="19" borderId="25" xfId="0" applyNumberFormat="1" applyFill="1" applyBorder="1"/>
    <xf numFmtId="2" fontId="0" fillId="18" borderId="9" xfId="0" applyNumberFormat="1" applyFill="1" applyBorder="1"/>
    <xf numFmtId="2" fontId="0" fillId="18" borderId="25" xfId="0" applyNumberFormat="1" applyFill="1" applyBorder="1"/>
    <xf numFmtId="2" fontId="0" fillId="18" borderId="26" xfId="0" applyNumberFormat="1" applyFill="1" applyBorder="1"/>
    <xf numFmtId="2" fontId="0" fillId="19" borderId="27" xfId="0" applyNumberFormat="1" applyFill="1" applyBorder="1"/>
    <xf numFmtId="2" fontId="0" fillId="19" borderId="28" xfId="0" applyNumberFormat="1" applyFill="1" applyBorder="1"/>
    <xf numFmtId="0" fontId="0" fillId="5" borderId="30" xfId="0" applyFill="1" applyBorder="1"/>
    <xf numFmtId="0" fontId="0" fillId="5" borderId="31" xfId="0" applyFill="1" applyBorder="1"/>
    <xf numFmtId="0" fontId="0" fillId="5" borderId="32" xfId="0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4" fillId="5" borderId="33" xfId="0" applyFont="1" applyFill="1" applyBorder="1"/>
    <xf numFmtId="0" fontId="4" fillId="5" borderId="34" xfId="0" applyFont="1" applyFill="1" applyBorder="1"/>
    <xf numFmtId="0" fontId="4" fillId="5" borderId="35" xfId="0" applyFont="1" applyFill="1" applyBorder="1"/>
    <xf numFmtId="0" fontId="0" fillId="4" borderId="37" xfId="0" applyFill="1" applyBorder="1"/>
    <xf numFmtId="0" fontId="0" fillId="4" borderId="38" xfId="0" applyFill="1" applyBorder="1"/>
    <xf numFmtId="0" fontId="0" fillId="5" borderId="34" xfId="0" applyFill="1" applyBorder="1"/>
    <xf numFmtId="0" fontId="0" fillId="5" borderId="35" xfId="0" applyFill="1" applyBorder="1"/>
    <xf numFmtId="0" fontId="0" fillId="4" borderId="34" xfId="0" applyFill="1" applyBorder="1"/>
    <xf numFmtId="0" fontId="0" fillId="4" borderId="35" xfId="0" applyFill="1" applyBorder="1"/>
    <xf numFmtId="0" fontId="0" fillId="5" borderId="45" xfId="0" applyFill="1" applyBorder="1"/>
    <xf numFmtId="0" fontId="0" fillId="5" borderId="46" xfId="0" applyFill="1" applyBorder="1"/>
    <xf numFmtId="0" fontId="10" fillId="0" borderId="0" xfId="0" applyFont="1"/>
    <xf numFmtId="0" fontId="11" fillId="0" borderId="0" xfId="0" applyFont="1"/>
    <xf numFmtId="167" fontId="11" fillId="0" borderId="0" xfId="0" applyNumberFormat="1" applyFont="1"/>
    <xf numFmtId="164" fontId="11" fillId="0" borderId="0" xfId="1" applyNumberFormat="1" applyFont="1"/>
    <xf numFmtId="164" fontId="11" fillId="0" borderId="0" xfId="0" applyNumberFormat="1" applyFont="1"/>
    <xf numFmtId="166" fontId="11" fillId="0" borderId="0" xfId="0" applyNumberFormat="1" applyFont="1"/>
    <xf numFmtId="9" fontId="0" fillId="0" borderId="0" xfId="2" applyFont="1"/>
    <xf numFmtId="0" fontId="0" fillId="0" borderId="0" xfId="0" applyAlignment="1">
      <alignment horizontal="center" vertical="center"/>
    </xf>
    <xf numFmtId="167" fontId="0" fillId="0" borderId="0" xfId="0" applyNumberFormat="1"/>
    <xf numFmtId="0" fontId="4" fillId="2" borderId="11" xfId="0" applyFont="1" applyFill="1" applyBorder="1" applyAlignment="1">
      <alignment horizontal="center"/>
    </xf>
    <xf numFmtId="9" fontId="0" fillId="0" borderId="0" xfId="0" applyNumberFormat="1"/>
    <xf numFmtId="43" fontId="0" fillId="0" borderId="0" xfId="1" applyFont="1"/>
    <xf numFmtId="0" fontId="0" fillId="0" borderId="0" xfId="0" applyAlignment="1">
      <alignment horizontal="right"/>
    </xf>
    <xf numFmtId="0" fontId="0" fillId="0" borderId="16" xfId="0" applyBorder="1"/>
    <xf numFmtId="164" fontId="0" fillId="0" borderId="18" xfId="1" applyNumberFormat="1" applyFont="1" applyBorder="1"/>
    <xf numFmtId="0" fontId="9" fillId="0" borderId="4" xfId="0" applyFont="1" applyBorder="1"/>
    <xf numFmtId="166" fontId="0" fillId="0" borderId="7" xfId="0" applyNumberFormat="1" applyBorder="1"/>
    <xf numFmtId="0" fontId="0" fillId="8" borderId="9" xfId="0" applyFill="1" applyBorder="1"/>
    <xf numFmtId="0" fontId="0" fillId="8" borderId="0" xfId="0" applyFill="1"/>
    <xf numFmtId="0" fontId="3" fillId="6" borderId="9" xfId="0" applyFont="1" applyFill="1" applyBorder="1"/>
    <xf numFmtId="0" fontId="3" fillId="6" borderId="9" xfId="0" applyFont="1" applyFill="1" applyBorder="1" applyAlignment="1">
      <alignment horizontal="right"/>
    </xf>
    <xf numFmtId="43" fontId="3" fillId="6" borderId="9" xfId="1" applyFont="1" applyFill="1" applyBorder="1" applyAlignment="1">
      <alignment horizontal="right"/>
    </xf>
    <xf numFmtId="0" fontId="0" fillId="2" borderId="0" xfId="0" applyFill="1"/>
    <xf numFmtId="0" fontId="8" fillId="12" borderId="9" xfId="0" applyFont="1" applyFill="1" applyBorder="1"/>
    <xf numFmtId="0" fontId="0" fillId="12" borderId="9" xfId="0" applyFill="1" applyBorder="1"/>
    <xf numFmtId="0" fontId="13" fillId="12" borderId="9" xfId="0" applyFont="1" applyFill="1" applyBorder="1"/>
    <xf numFmtId="164" fontId="14" fillId="12" borderId="9" xfId="1" applyNumberFormat="1" applyFont="1" applyFill="1" applyBorder="1"/>
    <xf numFmtId="0" fontId="4" fillId="12" borderId="9" xfId="0" applyFont="1" applyFill="1" applyBorder="1"/>
    <xf numFmtId="0" fontId="12" fillId="12" borderId="9" xfId="0" applyFont="1" applyFill="1" applyBorder="1"/>
    <xf numFmtId="164" fontId="0" fillId="12" borderId="9" xfId="0" applyNumberFormat="1" applyFill="1" applyBorder="1"/>
    <xf numFmtId="0" fontId="0" fillId="8" borderId="19" xfId="0" applyFill="1" applyBorder="1"/>
    <xf numFmtId="0" fontId="0" fillId="8" borderId="21" xfId="0" applyFill="1" applyBorder="1"/>
    <xf numFmtId="0" fontId="0" fillId="8" borderId="22" xfId="0" applyFill="1" applyBorder="1"/>
    <xf numFmtId="164" fontId="0" fillId="8" borderId="22" xfId="1" applyNumberFormat="1" applyFont="1" applyFill="1" applyBorder="1"/>
    <xf numFmtId="0" fontId="0" fillId="8" borderId="24" xfId="0" applyFill="1" applyBorder="1"/>
    <xf numFmtId="164" fontId="0" fillId="8" borderId="9" xfId="1" applyNumberFormat="1" applyFont="1" applyFill="1" applyBorder="1"/>
    <xf numFmtId="0" fontId="0" fillId="8" borderId="26" xfId="0" applyFill="1" applyBorder="1"/>
    <xf numFmtId="0" fontId="0" fillId="8" borderId="27" xfId="0" applyFill="1" applyBorder="1"/>
    <xf numFmtId="164" fontId="0" fillId="8" borderId="27" xfId="1" applyNumberFormat="1" applyFont="1" applyFill="1" applyBorder="1"/>
    <xf numFmtId="0" fontId="0" fillId="8" borderId="49" xfId="0" applyFill="1" applyBorder="1"/>
    <xf numFmtId="0" fontId="0" fillId="8" borderId="20" xfId="0" applyFill="1" applyBorder="1"/>
    <xf numFmtId="164" fontId="0" fillId="8" borderId="20" xfId="1" applyNumberFormat="1" applyFont="1" applyFill="1" applyBorder="1"/>
    <xf numFmtId="0" fontId="4" fillId="8" borderId="26" xfId="0" applyFont="1" applyFill="1" applyBorder="1"/>
    <xf numFmtId="0" fontId="4" fillId="8" borderId="27" xfId="0" applyFont="1" applyFill="1" applyBorder="1"/>
    <xf numFmtId="164" fontId="4" fillId="8" borderId="27" xfId="1" applyNumberFormat="1" applyFont="1" applyFill="1" applyBorder="1"/>
    <xf numFmtId="0" fontId="17" fillId="0" borderId="0" xfId="6"/>
    <xf numFmtId="168" fontId="0" fillId="0" borderId="0" xfId="2" applyNumberFormat="1" applyFont="1"/>
    <xf numFmtId="0" fontId="16" fillId="0" borderId="0" xfId="0" applyFont="1" applyAlignment="1">
      <alignment horizontal="center"/>
    </xf>
    <xf numFmtId="0" fontId="16" fillId="0" borderId="0" xfId="0" applyFont="1"/>
    <xf numFmtId="9" fontId="4" fillId="0" borderId="0" xfId="0" applyNumberFormat="1" applyFont="1"/>
    <xf numFmtId="0" fontId="5" fillId="22" borderId="24" xfId="5" applyBorder="1" applyAlignment="1">
      <alignment horizontal="center" vertical="center" wrapText="1"/>
    </xf>
    <xf numFmtId="0" fontId="5" fillId="22" borderId="9" xfId="5" applyBorder="1" applyAlignment="1">
      <alignment vertical="center" wrapText="1"/>
    </xf>
    <xf numFmtId="0" fontId="5" fillId="22" borderId="58" xfId="5" applyBorder="1" applyAlignment="1">
      <alignment vertical="center" wrapText="1"/>
    </xf>
    <xf numFmtId="0" fontId="5" fillId="22" borderId="9" xfId="5" applyBorder="1" applyAlignment="1">
      <alignment horizontal="center" vertical="center" wrapText="1"/>
    </xf>
    <xf numFmtId="0" fontId="5" fillId="22" borderId="25" xfId="5" applyBorder="1" applyAlignment="1">
      <alignment horizontal="center" vertical="center" wrapText="1"/>
    </xf>
    <xf numFmtId="0" fontId="5" fillId="22" borderId="57" xfId="5" applyBorder="1" applyAlignment="1">
      <alignment horizontal="center" vertical="center" wrapText="1"/>
    </xf>
    <xf numFmtId="0" fontId="5" fillId="22" borderId="58" xfId="5" applyBorder="1" applyAlignment="1">
      <alignment horizontal="center" vertical="center" wrapText="1"/>
    </xf>
    <xf numFmtId="0" fontId="19" fillId="21" borderId="24" xfId="4" applyFont="1" applyBorder="1" applyAlignment="1">
      <alignment horizontal="center" wrapText="1"/>
    </xf>
    <xf numFmtId="0" fontId="19" fillId="21" borderId="9" xfId="4" applyFont="1" applyBorder="1" applyAlignment="1">
      <alignment wrapText="1"/>
    </xf>
    <xf numFmtId="0" fontId="19" fillId="21" borderId="58" xfId="4" applyFont="1" applyBorder="1" applyAlignment="1">
      <alignment wrapText="1"/>
    </xf>
    <xf numFmtId="164" fontId="19" fillId="21" borderId="9" xfId="1" applyNumberFormat="1" applyFont="1" applyFill="1" applyBorder="1" applyAlignment="1">
      <alignment horizontal="center" wrapText="1"/>
    </xf>
    <xf numFmtId="164" fontId="19" fillId="21" borderId="25" xfId="1" applyNumberFormat="1" applyFont="1" applyFill="1" applyBorder="1" applyAlignment="1">
      <alignment horizontal="center" wrapText="1"/>
    </xf>
    <xf numFmtId="164" fontId="19" fillId="21" borderId="57" xfId="1" applyNumberFormat="1" applyFont="1" applyFill="1" applyBorder="1" applyAlignment="1">
      <alignment horizontal="center" wrapText="1"/>
    </xf>
    <xf numFmtId="164" fontId="19" fillId="21" borderId="58" xfId="1" applyNumberFormat="1" applyFont="1" applyFill="1" applyBorder="1" applyAlignment="1">
      <alignment horizontal="center" wrapText="1"/>
    </xf>
    <xf numFmtId="164" fontId="19" fillId="21" borderId="24" xfId="1" applyNumberFormat="1" applyFont="1" applyFill="1" applyBorder="1" applyAlignment="1">
      <alignment horizontal="center" wrapText="1"/>
    </xf>
    <xf numFmtId="0" fontId="19" fillId="21" borderId="9" xfId="4" applyFont="1" applyBorder="1" applyAlignment="1">
      <alignment horizontal="center" wrapText="1"/>
    </xf>
    <xf numFmtId="0" fontId="19" fillId="21" borderId="25" xfId="4" applyFont="1" applyBorder="1" applyAlignment="1">
      <alignment horizontal="center" wrapText="1"/>
    </xf>
    <xf numFmtId="0" fontId="19" fillId="21" borderId="24" xfId="4" applyFont="1" applyBorder="1" applyAlignment="1">
      <alignment horizontal="center"/>
    </xf>
    <xf numFmtId="164" fontId="19" fillId="21" borderId="9" xfId="1" applyNumberFormat="1" applyFont="1" applyFill="1" applyBorder="1" applyAlignment="1">
      <alignment wrapText="1"/>
    </xf>
    <xf numFmtId="164" fontId="19" fillId="21" borderId="58" xfId="1" applyNumberFormat="1" applyFont="1" applyFill="1" applyBorder="1" applyAlignment="1"/>
    <xf numFmtId="164" fontId="19" fillId="21" borderId="9" xfId="1" applyNumberFormat="1" applyFont="1" applyFill="1" applyBorder="1" applyAlignment="1">
      <alignment horizontal="center"/>
    </xf>
    <xf numFmtId="164" fontId="19" fillId="21" borderId="25" xfId="1" applyNumberFormat="1" applyFont="1" applyFill="1" applyBorder="1" applyAlignment="1">
      <alignment horizontal="center"/>
    </xf>
    <xf numFmtId="170" fontId="19" fillId="21" borderId="57" xfId="1" applyNumberFormat="1" applyFont="1" applyFill="1" applyBorder="1" applyAlignment="1">
      <alignment horizontal="center"/>
    </xf>
    <xf numFmtId="164" fontId="19" fillId="21" borderId="58" xfId="1" applyNumberFormat="1" applyFont="1" applyFill="1" applyBorder="1" applyAlignment="1">
      <alignment horizontal="center"/>
    </xf>
    <xf numFmtId="164" fontId="19" fillId="21" borderId="24" xfId="1" applyNumberFormat="1" applyFont="1" applyFill="1" applyBorder="1" applyAlignment="1">
      <alignment horizontal="center"/>
    </xf>
    <xf numFmtId="6" fontId="19" fillId="21" borderId="9" xfId="4" applyNumberFormat="1" applyFont="1" applyBorder="1" applyAlignment="1">
      <alignment horizontal="center"/>
    </xf>
    <xf numFmtId="0" fontId="19" fillId="21" borderId="25" xfId="4" applyFont="1" applyBorder="1" applyAlignment="1">
      <alignment horizontal="center"/>
    </xf>
    <xf numFmtId="43" fontId="19" fillId="21" borderId="57" xfId="1" applyFont="1" applyFill="1" applyBorder="1" applyAlignment="1">
      <alignment horizontal="center"/>
    </xf>
    <xf numFmtId="0" fontId="20" fillId="23" borderId="24" xfId="4" applyFont="1" applyFill="1" applyBorder="1" applyAlignment="1">
      <alignment horizontal="center"/>
    </xf>
    <xf numFmtId="164" fontId="20" fillId="23" borderId="59" xfId="1" applyNumberFormat="1" applyFont="1" applyFill="1" applyBorder="1" applyAlignment="1"/>
    <xf numFmtId="0" fontId="20" fillId="23" borderId="58" xfId="4" applyFont="1" applyFill="1" applyBorder="1" applyAlignment="1"/>
    <xf numFmtId="0" fontId="20" fillId="23" borderId="26" xfId="4" applyFont="1" applyFill="1" applyBorder="1" applyAlignment="1">
      <alignment horizontal="center"/>
    </xf>
    <xf numFmtId="0" fontId="20" fillId="23" borderId="27" xfId="4" applyFont="1" applyFill="1" applyBorder="1" applyAlignment="1">
      <alignment horizontal="center"/>
    </xf>
    <xf numFmtId="164" fontId="20" fillId="23" borderId="27" xfId="4" applyNumberFormat="1" applyFont="1" applyFill="1" applyBorder="1" applyAlignment="1">
      <alignment horizontal="center"/>
    </xf>
    <xf numFmtId="169" fontId="20" fillId="23" borderId="9" xfId="4" applyNumberFormat="1" applyFont="1" applyFill="1" applyBorder="1" applyAlignment="1">
      <alignment horizontal="center"/>
    </xf>
    <xf numFmtId="164" fontId="20" fillId="23" borderId="28" xfId="1" applyNumberFormat="1" applyFont="1" applyFill="1" applyBorder="1" applyAlignment="1">
      <alignment horizontal="center"/>
    </xf>
    <xf numFmtId="0" fontId="20" fillId="23" borderId="57" xfId="4" applyFont="1" applyFill="1" applyBorder="1" applyAlignment="1">
      <alignment horizontal="center"/>
    </xf>
    <xf numFmtId="0" fontId="20" fillId="23" borderId="9" xfId="4" applyFont="1" applyFill="1" applyBorder="1" applyAlignment="1">
      <alignment horizontal="center"/>
    </xf>
    <xf numFmtId="0" fontId="20" fillId="23" borderId="58" xfId="4" applyFont="1" applyFill="1" applyBorder="1" applyAlignment="1">
      <alignment horizontal="center"/>
    </xf>
    <xf numFmtId="169" fontId="20" fillId="23" borderId="27" xfId="4" applyNumberFormat="1" applyFont="1" applyFill="1" applyBorder="1" applyAlignment="1">
      <alignment horizontal="center"/>
    </xf>
    <xf numFmtId="171" fontId="20" fillId="23" borderId="19" xfId="4" applyNumberFormat="1" applyFont="1" applyFill="1" applyBorder="1" applyAlignment="1">
      <alignment horizontal="center"/>
    </xf>
    <xf numFmtId="0" fontId="20" fillId="23" borderId="28" xfId="4" applyFont="1" applyFill="1" applyBorder="1" applyAlignment="1">
      <alignment horizontal="center"/>
    </xf>
    <xf numFmtId="9" fontId="0" fillId="8" borderId="0" xfId="0" applyNumberFormat="1" applyFill="1"/>
    <xf numFmtId="169" fontId="0" fillId="8" borderId="0" xfId="0" applyNumberFormat="1" applyFill="1"/>
    <xf numFmtId="1" fontId="4" fillId="2" borderId="9" xfId="0" applyNumberFormat="1" applyFont="1" applyFill="1" applyBorder="1"/>
    <xf numFmtId="1" fontId="4" fillId="2" borderId="9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168" fontId="2" fillId="8" borderId="0" xfId="2" applyNumberFormat="1" applyFont="1" applyFill="1"/>
    <xf numFmtId="0" fontId="2" fillId="8" borderId="0" xfId="0" applyFont="1" applyFill="1"/>
    <xf numFmtId="0" fontId="0" fillId="14" borderId="0" xfId="0" applyFill="1"/>
    <xf numFmtId="0" fontId="0" fillId="14" borderId="9" xfId="0" applyFill="1" applyBorder="1"/>
    <xf numFmtId="0" fontId="16" fillId="14" borderId="0" xfId="0" applyFont="1" applyFill="1"/>
    <xf numFmtId="9" fontId="0" fillId="14" borderId="9" xfId="0" applyNumberFormat="1" applyFill="1" applyBorder="1"/>
    <xf numFmtId="1" fontId="0" fillId="14" borderId="9" xfId="0" applyNumberFormat="1" applyFill="1" applyBorder="1"/>
    <xf numFmtId="168" fontId="0" fillId="14" borderId="9" xfId="2" applyNumberFormat="1" applyFont="1" applyFill="1" applyBorder="1"/>
    <xf numFmtId="0" fontId="0" fillId="12" borderId="0" xfId="0" applyFill="1"/>
    <xf numFmtId="174" fontId="0" fillId="0" borderId="0" xfId="0" applyNumberFormat="1"/>
    <xf numFmtId="0" fontId="0" fillId="24" borderId="0" xfId="0" applyFill="1"/>
    <xf numFmtId="0" fontId="0" fillId="2" borderId="9" xfId="0" applyFill="1" applyBorder="1"/>
    <xf numFmtId="166" fontId="0" fillId="2" borderId="9" xfId="0" applyNumberFormat="1" applyFill="1" applyBorder="1"/>
    <xf numFmtId="43" fontId="0" fillId="2" borderId="9" xfId="1" applyFont="1" applyFill="1" applyBorder="1"/>
    <xf numFmtId="0" fontId="4" fillId="2" borderId="9" xfId="0" applyFont="1" applyFill="1" applyBorder="1"/>
    <xf numFmtId="173" fontId="0" fillId="0" borderId="0" xfId="0" applyNumberFormat="1"/>
    <xf numFmtId="1" fontId="0" fillId="12" borderId="9" xfId="0" applyNumberFormat="1" applyFill="1" applyBorder="1"/>
    <xf numFmtId="172" fontId="0" fillId="12" borderId="9" xfId="0" applyNumberFormat="1" applyFill="1" applyBorder="1"/>
    <xf numFmtId="173" fontId="0" fillId="12" borderId="9" xfId="0" applyNumberFormat="1" applyFill="1" applyBorder="1"/>
    <xf numFmtId="6" fontId="0" fillId="12" borderId="9" xfId="0" applyNumberFormat="1" applyFill="1" applyBorder="1"/>
    <xf numFmtId="9" fontId="0" fillId="12" borderId="9" xfId="2" applyFont="1" applyFill="1" applyBorder="1"/>
    <xf numFmtId="43" fontId="0" fillId="12" borderId="9" xfId="1" applyFont="1" applyFill="1" applyBorder="1"/>
    <xf numFmtId="6" fontId="4" fillId="12" borderId="9" xfId="0" applyNumberFormat="1" applyFont="1" applyFill="1" applyBorder="1"/>
    <xf numFmtId="9" fontId="4" fillId="12" borderId="9" xfId="0" applyNumberFormat="1" applyFont="1" applyFill="1" applyBorder="1"/>
    <xf numFmtId="164" fontId="0" fillId="12" borderId="9" xfId="1" applyNumberFormat="1" applyFont="1" applyFill="1" applyBorder="1"/>
    <xf numFmtId="164" fontId="3" fillId="25" borderId="0" xfId="0" applyNumberFormat="1" applyFont="1" applyFill="1"/>
    <xf numFmtId="0" fontId="0" fillId="0" borderId="0" xfId="0" applyFill="1"/>
    <xf numFmtId="2" fontId="0" fillId="0" borderId="0" xfId="0" applyNumberFormat="1" applyFill="1"/>
    <xf numFmtId="0" fontId="0" fillId="0" borderId="51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/>
    <xf numFmtId="0" fontId="4" fillId="0" borderId="0" xfId="0" applyFont="1" applyFill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4" fillId="0" borderId="5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4" fillId="0" borderId="7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166" fontId="0" fillId="14" borderId="9" xfId="0" applyNumberFormat="1" applyFill="1" applyBorder="1"/>
    <xf numFmtId="0" fontId="2" fillId="0" borderId="0" xfId="0" applyFont="1" applyAlignment="1">
      <alignment vertical="center"/>
    </xf>
    <xf numFmtId="0" fontId="4" fillId="8" borderId="16" xfId="0" applyFont="1" applyFill="1" applyBorder="1"/>
    <xf numFmtId="0" fontId="4" fillId="8" borderId="18" xfId="0" applyFont="1" applyFill="1" applyBorder="1"/>
    <xf numFmtId="0" fontId="4" fillId="2" borderId="16" xfId="0" applyFont="1" applyFill="1" applyBorder="1" applyAlignment="1">
      <alignment horizontal="center"/>
    </xf>
    <xf numFmtId="0" fontId="0" fillId="26" borderId="9" xfId="0" applyFont="1" applyFill="1" applyBorder="1"/>
    <xf numFmtId="0" fontId="21" fillId="26" borderId="9" xfId="0" applyFont="1" applyFill="1" applyBorder="1" applyAlignment="1">
      <alignment horizontal="left" vertical="top" wrapText="1"/>
    </xf>
    <xf numFmtId="164" fontId="14" fillId="8" borderId="22" xfId="1" applyNumberFormat="1" applyFont="1" applyFill="1" applyBorder="1"/>
    <xf numFmtId="164" fontId="14" fillId="8" borderId="9" xfId="1" applyNumberFormat="1" applyFont="1" applyFill="1" applyBorder="1"/>
    <xf numFmtId="0" fontId="11" fillId="0" borderId="0" xfId="0" applyFont="1" applyFill="1"/>
    <xf numFmtId="0" fontId="8" fillId="0" borderId="17" xfId="0" applyFont="1" applyFill="1" applyBorder="1" applyAlignment="1">
      <alignment vertical="center" wrapText="1"/>
    </xf>
    <xf numFmtId="0" fontId="0" fillId="0" borderId="4" xfId="0" applyFill="1" applyBorder="1"/>
    <xf numFmtId="0" fontId="0" fillId="0" borderId="5" xfId="0" applyFill="1" applyBorder="1"/>
    <xf numFmtId="164" fontId="0" fillId="0" borderId="0" xfId="1" applyNumberFormat="1" applyFont="1" applyFill="1" applyBorder="1"/>
    <xf numFmtId="164" fontId="0" fillId="0" borderId="0" xfId="0" applyNumberFormat="1" applyFill="1"/>
    <xf numFmtId="43" fontId="0" fillId="0" borderId="0" xfId="1" applyFont="1" applyFill="1" applyBorder="1"/>
    <xf numFmtId="166" fontId="0" fillId="0" borderId="0" xfId="0" applyNumberFormat="1" applyFill="1"/>
    <xf numFmtId="43" fontId="0" fillId="0" borderId="0" xfId="0" applyNumberFormat="1" applyFill="1"/>
    <xf numFmtId="0" fontId="0" fillId="0" borderId="6" xfId="0" applyFill="1" applyBorder="1"/>
    <xf numFmtId="0" fontId="0" fillId="0" borderId="7" xfId="0" applyFill="1" applyBorder="1"/>
    <xf numFmtId="164" fontId="0" fillId="0" borderId="7" xfId="0" applyNumberFormat="1" applyFill="1" applyBorder="1"/>
    <xf numFmtId="164" fontId="4" fillId="0" borderId="7" xfId="0" applyNumberFormat="1" applyFont="1" applyFill="1" applyBorder="1"/>
    <xf numFmtId="0" fontId="0" fillId="0" borderId="8" xfId="0" applyFill="1" applyBorder="1"/>
    <xf numFmtId="0" fontId="0" fillId="0" borderId="18" xfId="0" applyFill="1" applyBorder="1"/>
    <xf numFmtId="0" fontId="0" fillId="0" borderId="17" xfId="0" applyFill="1" applyBorder="1"/>
    <xf numFmtId="165" fontId="0" fillId="0" borderId="0" xfId="1" applyNumberFormat="1" applyFont="1" applyFill="1" applyBorder="1"/>
    <xf numFmtId="165" fontId="0" fillId="0" borderId="5" xfId="1" applyNumberFormat="1" applyFont="1" applyFill="1" applyBorder="1"/>
    <xf numFmtId="165" fontId="0" fillId="0" borderId="7" xfId="1" applyNumberFormat="1" applyFont="1" applyFill="1" applyBorder="1"/>
    <xf numFmtId="165" fontId="0" fillId="0" borderId="8" xfId="1" applyNumberFormat="1" applyFont="1" applyFill="1" applyBorder="1"/>
    <xf numFmtId="0" fontId="0" fillId="0" borderId="14" xfId="0" applyFill="1" applyBorder="1"/>
    <xf numFmtId="0" fontId="0" fillId="0" borderId="9" xfId="0" applyFill="1" applyBorder="1"/>
    <xf numFmtId="0" fontId="0" fillId="0" borderId="11" xfId="0" applyFill="1" applyBorder="1"/>
    <xf numFmtId="164" fontId="0" fillId="0" borderId="9" xfId="1" applyNumberFormat="1" applyFont="1" applyFill="1" applyBorder="1"/>
    <xf numFmtId="164" fontId="0" fillId="0" borderId="4" xfId="1" applyNumberFormat="1" applyFont="1" applyFill="1" applyBorder="1"/>
    <xf numFmtId="164" fontId="0" fillId="0" borderId="11" xfId="0" applyNumberFormat="1" applyFill="1" applyBorder="1"/>
    <xf numFmtId="164" fontId="4" fillId="0" borderId="9" xfId="1" applyNumberFormat="1" applyFont="1" applyFill="1" applyBorder="1"/>
    <xf numFmtId="164" fontId="0" fillId="0" borderId="6" xfId="0" applyNumberFormat="1" applyFill="1" applyBorder="1"/>
    <xf numFmtId="164" fontId="4" fillId="0" borderId="6" xfId="0" applyNumberFormat="1" applyFont="1" applyFill="1" applyBorder="1"/>
    <xf numFmtId="164" fontId="4" fillId="0" borderId="12" xfId="0" applyNumberFormat="1" applyFont="1" applyFill="1" applyBorder="1"/>
    <xf numFmtId="0" fontId="4" fillId="2" borderId="1" xfId="0" applyFont="1" applyFill="1" applyBorder="1"/>
    <xf numFmtId="0" fontId="0" fillId="2" borderId="17" xfId="0" applyFill="1" applyBorder="1"/>
    <xf numFmtId="0" fontId="4" fillId="2" borderId="16" xfId="0" applyFont="1" applyFill="1" applyBorder="1"/>
    <xf numFmtId="0" fontId="0" fillId="2" borderId="18" xfId="0" applyFill="1" applyBorder="1"/>
    <xf numFmtId="0" fontId="4" fillId="2" borderId="14" xfId="0" applyFont="1" applyFill="1" applyBorder="1"/>
    <xf numFmtId="0" fontId="0" fillId="0" borderId="2" xfId="0" applyFill="1" applyBorder="1"/>
    <xf numFmtId="2" fontId="0" fillId="0" borderId="9" xfId="0" applyNumberFormat="1" applyFill="1" applyBorder="1"/>
    <xf numFmtId="2" fontId="0" fillId="0" borderId="7" xfId="0" applyNumberFormat="1" applyFill="1" applyBorder="1"/>
    <xf numFmtId="164" fontId="0" fillId="0" borderId="9" xfId="0" applyNumberFormat="1" applyBorder="1"/>
    <xf numFmtId="0" fontId="0" fillId="0" borderId="0" xfId="0" applyFill="1" applyBorder="1"/>
    <xf numFmtId="0" fontId="14" fillId="8" borderId="61" xfId="0" applyFont="1" applyFill="1" applyBorder="1"/>
    <xf numFmtId="0" fontId="14" fillId="8" borderId="58" xfId="0" applyFont="1" applyFill="1" applyBorder="1"/>
    <xf numFmtId="0" fontId="0" fillId="8" borderId="59" xfId="0" applyFill="1" applyBorder="1"/>
    <xf numFmtId="0" fontId="0" fillId="8" borderId="62" xfId="0" applyFill="1" applyBorder="1"/>
    <xf numFmtId="0" fontId="0" fillId="8" borderId="58" xfId="0" applyFill="1" applyBorder="1"/>
    <xf numFmtId="0" fontId="0" fillId="8" borderId="61" xfId="0" applyFill="1" applyBorder="1"/>
    <xf numFmtId="0" fontId="4" fillId="8" borderId="59" xfId="0" applyFont="1" applyFill="1" applyBorder="1"/>
    <xf numFmtId="166" fontId="0" fillId="8" borderId="20" xfId="0" applyNumberFormat="1" applyFill="1" applyBorder="1"/>
    <xf numFmtId="166" fontId="0" fillId="8" borderId="9" xfId="0" applyNumberFormat="1" applyFill="1" applyBorder="1"/>
    <xf numFmtId="166" fontId="0" fillId="8" borderId="27" xfId="0" applyNumberFormat="1" applyFill="1" applyBorder="1"/>
    <xf numFmtId="164" fontId="0" fillId="8" borderId="20" xfId="0" applyNumberFormat="1" applyFill="1" applyBorder="1"/>
    <xf numFmtId="43" fontId="0" fillId="2" borderId="0" xfId="1" applyFont="1" applyFill="1"/>
    <xf numFmtId="0" fontId="16" fillId="2" borderId="0" xfId="0" applyFont="1" applyFill="1"/>
    <xf numFmtId="0" fontId="16" fillId="0" borderId="51" xfId="0" applyFont="1" applyFill="1" applyBorder="1" applyAlignment="1">
      <alignment vertical="center" wrapText="1"/>
    </xf>
    <xf numFmtId="164" fontId="16" fillId="0" borderId="51" xfId="0" applyNumberFormat="1" applyFont="1" applyFill="1" applyBorder="1" applyAlignment="1">
      <alignment vertical="center" wrapText="1"/>
    </xf>
    <xf numFmtId="43" fontId="0" fillId="14" borderId="9" xfId="1" applyFont="1" applyFill="1" applyBorder="1"/>
    <xf numFmtId="0" fontId="0" fillId="2" borderId="0" xfId="0" applyFill="1" applyBorder="1"/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25" fillId="0" borderId="0" xfId="0" applyFont="1"/>
    <xf numFmtId="0" fontId="0" fillId="0" borderId="0" xfId="0" applyFont="1"/>
    <xf numFmtId="0" fontId="4" fillId="12" borderId="9" xfId="0" applyFont="1" applyFill="1" applyBorder="1" applyAlignment="1">
      <alignment wrapText="1"/>
    </xf>
    <xf numFmtId="0" fontId="4" fillId="12" borderId="9" xfId="0" applyFont="1" applyFill="1" applyBorder="1" applyAlignment="1">
      <alignment horizontal="center" vertical="center" wrapText="1"/>
    </xf>
    <xf numFmtId="0" fontId="4" fillId="12" borderId="58" xfId="0" applyFont="1" applyFill="1" applyBorder="1" applyAlignment="1">
      <alignment wrapText="1"/>
    </xf>
    <xf numFmtId="0" fontId="4" fillId="12" borderId="57" xfId="0" applyFont="1" applyFill="1" applyBorder="1" applyAlignment="1">
      <alignment wrapText="1"/>
    </xf>
    <xf numFmtId="0" fontId="4" fillId="12" borderId="19" xfId="0" applyFont="1" applyFill="1" applyBorder="1"/>
    <xf numFmtId="164" fontId="0" fillId="12" borderId="20" xfId="1" applyNumberFormat="1" applyFont="1" applyFill="1" applyBorder="1"/>
    <xf numFmtId="0" fontId="4" fillId="12" borderId="14" xfId="0" applyFont="1" applyFill="1" applyBorder="1" applyAlignment="1">
      <alignment wrapText="1"/>
    </xf>
    <xf numFmtId="0" fontId="0" fillId="0" borderId="0" xfId="0" applyFill="1" applyAlignment="1">
      <alignment horizontal="center"/>
    </xf>
    <xf numFmtId="167" fontId="0" fillId="0" borderId="0" xfId="0" applyNumberFormat="1" applyFill="1" applyAlignment="1">
      <alignment horizontal="center"/>
    </xf>
    <xf numFmtId="0" fontId="0" fillId="14" borderId="0" xfId="0" applyFill="1" applyBorder="1"/>
    <xf numFmtId="0" fontId="0" fillId="14" borderId="0" xfId="0" applyFill="1" applyBorder="1" applyAlignment="1">
      <alignment horizontal="center" wrapText="1"/>
    </xf>
    <xf numFmtId="0" fontId="0" fillId="27" borderId="9" xfId="0" applyFill="1" applyBorder="1" applyAlignment="1">
      <alignment horizontal="center" wrapText="1"/>
    </xf>
    <xf numFmtId="164" fontId="0" fillId="27" borderId="9" xfId="1" applyNumberFormat="1" applyFont="1" applyFill="1" applyBorder="1" applyAlignment="1">
      <alignment horizontal="center"/>
    </xf>
    <xf numFmtId="0" fontId="0" fillId="2" borderId="9" xfId="0" applyFill="1" applyBorder="1" applyAlignment="1">
      <alignment wrapText="1"/>
    </xf>
    <xf numFmtId="0" fontId="0" fillId="2" borderId="9" xfId="0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0" fillId="2" borderId="9" xfId="0" applyFill="1" applyBorder="1" applyAlignment="1">
      <alignment horizontal="center" vertical="center" wrapText="1"/>
    </xf>
    <xf numFmtId="164" fontId="0" fillId="2" borderId="9" xfId="1" applyNumberFormat="1" applyFont="1" applyFill="1" applyBorder="1" applyAlignment="1">
      <alignment horizontal="center"/>
    </xf>
    <xf numFmtId="164" fontId="4" fillId="2" borderId="9" xfId="1" applyNumberFormat="1" applyFont="1" applyFill="1" applyBorder="1" applyAlignment="1">
      <alignment horizontal="center"/>
    </xf>
    <xf numFmtId="9" fontId="0" fillId="2" borderId="9" xfId="0" applyNumberFormat="1" applyFill="1" applyBorder="1" applyAlignment="1">
      <alignment horizontal="center"/>
    </xf>
    <xf numFmtId="1" fontId="0" fillId="2" borderId="9" xfId="0" applyNumberFormat="1" applyFill="1" applyBorder="1" applyAlignment="1">
      <alignment horizontal="center" vertical="center"/>
    </xf>
    <xf numFmtId="10" fontId="0" fillId="2" borderId="9" xfId="2" applyNumberFormat="1" applyFont="1" applyFill="1" applyBorder="1" applyAlignment="1">
      <alignment horizontal="center"/>
    </xf>
    <xf numFmtId="9" fontId="0" fillId="2" borderId="9" xfId="2" applyFont="1" applyFill="1" applyBorder="1" applyAlignment="1">
      <alignment horizontal="center"/>
    </xf>
    <xf numFmtId="164" fontId="0" fillId="2" borderId="9" xfId="1" applyNumberFormat="1" applyFont="1" applyFill="1" applyBorder="1"/>
    <xf numFmtId="164" fontId="4" fillId="2" borderId="9" xfId="1" applyNumberFormat="1" applyFont="1" applyFill="1" applyBorder="1"/>
    <xf numFmtId="0" fontId="16" fillId="2" borderId="9" xfId="0" applyFont="1" applyFill="1" applyBorder="1" applyAlignment="1">
      <alignment horizontal="center"/>
    </xf>
    <xf numFmtId="9" fontId="4" fillId="2" borderId="9" xfId="2" applyFont="1" applyFill="1" applyBorder="1"/>
    <xf numFmtId="0" fontId="16" fillId="0" borderId="0" xfId="0" applyFont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0" fillId="4" borderId="41" xfId="0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0" fillId="4" borderId="43" xfId="0" applyFill="1" applyBorder="1" applyAlignment="1">
      <alignment horizontal="center" vertical="center"/>
    </xf>
    <xf numFmtId="0" fontId="4" fillId="8" borderId="47" xfId="0" applyFont="1" applyFill="1" applyBorder="1" applyAlignment="1">
      <alignment horizontal="center"/>
    </xf>
    <xf numFmtId="0" fontId="4" fillId="8" borderId="52" xfId="0" applyFont="1" applyFill="1" applyBorder="1" applyAlignment="1">
      <alignment horizontal="center"/>
    </xf>
    <xf numFmtId="0" fontId="4" fillId="8" borderId="48" xfId="0" applyFont="1" applyFill="1" applyBorder="1" applyAlignment="1">
      <alignment horizontal="center"/>
    </xf>
    <xf numFmtId="0" fontId="0" fillId="2" borderId="0" xfId="0" applyFill="1" applyAlignment="1">
      <alignment horizontal="center" wrapText="1"/>
    </xf>
    <xf numFmtId="0" fontId="4" fillId="8" borderId="60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2" fontId="19" fillId="21" borderId="55" xfId="4" applyNumberFormat="1" applyFont="1" applyBorder="1" applyAlignment="1">
      <alignment horizontal="center"/>
    </xf>
    <xf numFmtId="2" fontId="19" fillId="21" borderId="57" xfId="4" applyNumberFormat="1" applyFont="1" applyBorder="1" applyAlignment="1">
      <alignment horizontal="center"/>
    </xf>
    <xf numFmtId="169" fontId="19" fillId="21" borderId="55" xfId="4" applyNumberFormat="1" applyFont="1" applyBorder="1" applyAlignment="1">
      <alignment horizontal="center"/>
    </xf>
    <xf numFmtId="169" fontId="19" fillId="21" borderId="57" xfId="4" applyNumberFormat="1" applyFont="1" applyBorder="1" applyAlignment="1">
      <alignment horizontal="center"/>
    </xf>
    <xf numFmtId="0" fontId="20" fillId="23" borderId="57" xfId="4" applyFont="1" applyFill="1" applyBorder="1" applyAlignment="1">
      <alignment horizontal="center"/>
    </xf>
    <xf numFmtId="0" fontId="20" fillId="23" borderId="9" xfId="4" applyFont="1" applyFill="1" applyBorder="1" applyAlignment="1">
      <alignment horizontal="center"/>
    </xf>
    <xf numFmtId="0" fontId="15" fillId="20" borderId="57" xfId="3" applyFill="1" applyBorder="1" applyAlignment="1">
      <alignment horizontal="center" vertical="center"/>
    </xf>
    <xf numFmtId="0" fontId="15" fillId="20" borderId="9" xfId="3" applyFill="1" applyBorder="1" applyAlignment="1">
      <alignment horizontal="center" vertical="center"/>
    </xf>
    <xf numFmtId="0" fontId="15" fillId="20" borderId="58" xfId="3" applyFill="1" applyBorder="1" applyAlignment="1">
      <alignment horizontal="center" vertical="center"/>
    </xf>
    <xf numFmtId="0" fontId="15" fillId="20" borderId="21" xfId="3" applyFill="1" applyBorder="1" applyAlignment="1">
      <alignment horizontal="center" vertical="center"/>
    </xf>
    <xf numFmtId="0" fontId="15" fillId="20" borderId="22" xfId="3" applyFill="1" applyBorder="1" applyAlignment="1">
      <alignment horizontal="center" vertical="center"/>
    </xf>
    <xf numFmtId="0" fontId="15" fillId="20" borderId="23" xfId="3" applyFill="1" applyBorder="1" applyAlignment="1">
      <alignment horizontal="center" vertical="center"/>
    </xf>
    <xf numFmtId="0" fontId="5" fillId="22" borderId="57" xfId="5" applyBorder="1" applyAlignment="1">
      <alignment horizontal="center" vertical="center" wrapText="1"/>
    </xf>
    <xf numFmtId="0" fontId="5" fillId="22" borderId="9" xfId="5" applyBorder="1" applyAlignment="1">
      <alignment horizontal="center" vertical="center" wrapText="1"/>
    </xf>
    <xf numFmtId="0" fontId="19" fillId="21" borderId="57" xfId="4" applyFont="1" applyBorder="1" applyAlignment="1">
      <alignment horizontal="center" wrapText="1"/>
    </xf>
    <xf numFmtId="0" fontId="19" fillId="21" borderId="9" xfId="4" applyFont="1" applyBorder="1" applyAlignment="1">
      <alignment horizontal="center" wrapText="1"/>
    </xf>
    <xf numFmtId="2" fontId="19" fillId="21" borderId="9" xfId="4" applyNumberFormat="1" applyFont="1" applyBorder="1" applyAlignment="1">
      <alignment horizontal="center"/>
    </xf>
    <xf numFmtId="0" fontId="0" fillId="14" borderId="9" xfId="0" applyFill="1" applyBorder="1" applyAlignment="1">
      <alignment horizontal="left"/>
    </xf>
    <xf numFmtId="0" fontId="0" fillId="14" borderId="9" xfId="0" applyFill="1" applyBorder="1" applyAlignment="1">
      <alignment horizontal="center"/>
    </xf>
    <xf numFmtId="0" fontId="15" fillId="20" borderId="53" xfId="3" applyFill="1" applyBorder="1" applyAlignment="1">
      <alignment horizontal="center" vertical="center"/>
    </xf>
    <xf numFmtId="0" fontId="15" fillId="20" borderId="54" xfId="3" applyFill="1" applyBorder="1" applyAlignment="1">
      <alignment horizontal="center" vertical="center"/>
    </xf>
    <xf numFmtId="0" fontId="15" fillId="20" borderId="55" xfId="3" applyFill="1" applyBorder="1" applyAlignment="1">
      <alignment horizontal="center" vertical="center"/>
    </xf>
    <xf numFmtId="0" fontId="15" fillId="20" borderId="56" xfId="3" applyFill="1" applyBorder="1" applyAlignment="1">
      <alignment horizontal="center" vertical="center"/>
    </xf>
    <xf numFmtId="0" fontId="12" fillId="14" borderId="9" xfId="0" applyFont="1" applyFill="1" applyBorder="1" applyAlignment="1">
      <alignment horizontal="right"/>
    </xf>
    <xf numFmtId="0" fontId="4" fillId="8" borderId="0" xfId="0" applyFont="1" applyFill="1" applyAlignment="1">
      <alignment horizontal="center"/>
    </xf>
    <xf numFmtId="0" fontId="4" fillId="14" borderId="0" xfId="0" applyFont="1" applyFill="1" applyAlignment="1">
      <alignment horizontal="center"/>
    </xf>
    <xf numFmtId="0" fontId="0" fillId="14" borderId="58" xfId="0" applyFill="1" applyBorder="1" applyAlignment="1">
      <alignment horizontal="center" wrapText="1"/>
    </xf>
    <xf numFmtId="0" fontId="0" fillId="14" borderId="56" xfId="0" applyFill="1" applyBorder="1" applyAlignment="1">
      <alignment horizontal="center" wrapText="1"/>
    </xf>
    <xf numFmtId="0" fontId="0" fillId="14" borderId="57" xfId="0" applyFill="1" applyBorder="1" applyAlignment="1">
      <alignment horizontal="center" wrapText="1"/>
    </xf>
    <xf numFmtId="0" fontId="0" fillId="14" borderId="58" xfId="0" applyFill="1" applyBorder="1" applyAlignment="1">
      <alignment horizontal="center"/>
    </xf>
    <xf numFmtId="0" fontId="0" fillId="14" borderId="56" xfId="0" applyFill="1" applyBorder="1" applyAlignment="1">
      <alignment horizontal="center"/>
    </xf>
    <xf numFmtId="0" fontId="0" fillId="14" borderId="57" xfId="0" applyFill="1" applyBorder="1" applyAlignment="1">
      <alignment horizontal="center"/>
    </xf>
  </cellXfs>
  <cellStyles count="7">
    <cellStyle name="40% - Accent1" xfId="4" builtinId="31"/>
    <cellStyle name="60% - Accent1" xfId="5" builtinId="32"/>
    <cellStyle name="Comma" xfId="1" builtinId="3"/>
    <cellStyle name="Heading 2" xfId="3" builtinId="17"/>
    <cellStyle name="Normaali 2" xfId="6" xr:uid="{85A57919-0742-4DED-99F9-4B76DA86C75F}"/>
    <cellStyle name="Normal" xfId="0" builtinId="0"/>
    <cellStyle name="Percent" xfId="2" builtinId="5"/>
  </cellStyles>
  <dxfs count="20">
    <dxf>
      <font>
        <b/>
      </font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303992</xdr:colOff>
      <xdr:row>4</xdr:row>
      <xdr:rowOff>15240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603492-39A3-E2D7-CB27-7D4856622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351992" cy="1133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182880</xdr:colOff>
      <xdr:row>2</xdr:row>
      <xdr:rowOff>152400</xdr:rowOff>
    </xdr:from>
    <xdr:to>
      <xdr:col>3</xdr:col>
      <xdr:colOff>419100</xdr:colOff>
      <xdr:row>7</xdr:row>
      <xdr:rowOff>160020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57C8C32-56DC-C355-C035-32D1C3B3584A}"/>
            </a:ext>
          </a:extLst>
        </xdr:cNvPr>
        <xdr:cNvSpPr/>
      </xdr:nvSpPr>
      <xdr:spPr>
        <a:xfrm>
          <a:off x="792480" y="518160"/>
          <a:ext cx="1455420" cy="92202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i-FI" sz="1100"/>
        </a:p>
      </xdr:txBody>
    </xdr:sp>
    <xdr:clientData/>
  </xdr:twoCellAnchor>
  <xdr:twoCellAnchor>
    <xdr:from>
      <xdr:col>1</xdr:col>
      <xdr:colOff>365760</xdr:colOff>
      <xdr:row>11</xdr:row>
      <xdr:rowOff>83821</xdr:rowOff>
    </xdr:from>
    <xdr:to>
      <xdr:col>3</xdr:col>
      <xdr:colOff>495300</xdr:colOff>
      <xdr:row>11</xdr:row>
      <xdr:rowOff>129540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E817DFE2-A160-CBA9-B946-95F6E43A9186}"/>
            </a:ext>
          </a:extLst>
        </xdr:cNvPr>
        <xdr:cNvSpPr/>
      </xdr:nvSpPr>
      <xdr:spPr>
        <a:xfrm>
          <a:off x="975360" y="2095501"/>
          <a:ext cx="1348740" cy="45719"/>
        </a:xfrm>
        <a:prstGeom prst="rect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i-FI" sz="1100"/>
        </a:p>
      </xdr:txBody>
    </xdr:sp>
    <xdr:clientData/>
  </xdr:twoCellAnchor>
  <xdr:twoCellAnchor>
    <xdr:from>
      <xdr:col>1</xdr:col>
      <xdr:colOff>297180</xdr:colOff>
      <xdr:row>14</xdr:row>
      <xdr:rowOff>121920</xdr:rowOff>
    </xdr:from>
    <xdr:to>
      <xdr:col>3</xdr:col>
      <xdr:colOff>525780</xdr:colOff>
      <xdr:row>19</xdr:row>
      <xdr:rowOff>38100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4161E51A-EFCE-DF85-A3F9-F52DEB653023}"/>
            </a:ext>
          </a:extLst>
        </xdr:cNvPr>
        <xdr:cNvSpPr/>
      </xdr:nvSpPr>
      <xdr:spPr>
        <a:xfrm>
          <a:off x="906780" y="2682240"/>
          <a:ext cx="1447800" cy="830580"/>
        </a:xfrm>
        <a:prstGeom prst="rect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i-FI" sz="1100"/>
        </a:p>
      </xdr:txBody>
    </xdr:sp>
    <xdr:clientData/>
  </xdr:twoCellAnchor>
  <xdr:twoCellAnchor>
    <xdr:from>
      <xdr:col>4</xdr:col>
      <xdr:colOff>99060</xdr:colOff>
      <xdr:row>14</xdr:row>
      <xdr:rowOff>137160</xdr:rowOff>
    </xdr:from>
    <xdr:to>
      <xdr:col>6</xdr:col>
      <xdr:colOff>327660</xdr:colOff>
      <xdr:row>19</xdr:row>
      <xdr:rowOff>53340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9BF77818-6FE0-4674-B706-C058DC64CD25}"/>
            </a:ext>
          </a:extLst>
        </xdr:cNvPr>
        <xdr:cNvSpPr/>
      </xdr:nvSpPr>
      <xdr:spPr>
        <a:xfrm>
          <a:off x="2537460" y="2697480"/>
          <a:ext cx="1447800" cy="830580"/>
        </a:xfrm>
        <a:prstGeom prst="rect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i-FI" sz="1100"/>
        </a:p>
      </xdr:txBody>
    </xdr:sp>
    <xdr:clientData/>
  </xdr:twoCellAnchor>
  <xdr:twoCellAnchor>
    <xdr:from>
      <xdr:col>6</xdr:col>
      <xdr:colOff>510540</xdr:colOff>
      <xdr:row>14</xdr:row>
      <xdr:rowOff>129540</xdr:rowOff>
    </xdr:from>
    <xdr:to>
      <xdr:col>9</xdr:col>
      <xdr:colOff>129540</xdr:colOff>
      <xdr:row>19</xdr:row>
      <xdr:rowOff>45720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57BADA24-065B-4362-8367-BBEA8F51348B}"/>
            </a:ext>
          </a:extLst>
        </xdr:cNvPr>
        <xdr:cNvSpPr/>
      </xdr:nvSpPr>
      <xdr:spPr>
        <a:xfrm>
          <a:off x="4168140" y="2689860"/>
          <a:ext cx="1447800" cy="830580"/>
        </a:xfrm>
        <a:prstGeom prst="rect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i-FI" sz="1100"/>
        </a:p>
      </xdr:txBody>
    </xdr:sp>
    <xdr:clientData/>
  </xdr:twoCellAnchor>
  <xdr:twoCellAnchor>
    <xdr:from>
      <xdr:col>9</xdr:col>
      <xdr:colOff>251460</xdr:colOff>
      <xdr:row>14</xdr:row>
      <xdr:rowOff>114300</xdr:rowOff>
    </xdr:from>
    <xdr:to>
      <xdr:col>11</xdr:col>
      <xdr:colOff>480060</xdr:colOff>
      <xdr:row>19</xdr:row>
      <xdr:rowOff>30480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9D839674-6A33-464D-A8CA-F0E17826FD5A}"/>
            </a:ext>
          </a:extLst>
        </xdr:cNvPr>
        <xdr:cNvSpPr/>
      </xdr:nvSpPr>
      <xdr:spPr>
        <a:xfrm>
          <a:off x="5737860" y="2674620"/>
          <a:ext cx="1447800" cy="830580"/>
        </a:xfrm>
        <a:prstGeom prst="rect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i-FI" sz="1100"/>
        </a:p>
      </xdr:txBody>
    </xdr:sp>
    <xdr:clientData/>
  </xdr:twoCellAnchor>
  <xdr:twoCellAnchor>
    <xdr:from>
      <xdr:col>2</xdr:col>
      <xdr:colOff>167640</xdr:colOff>
      <xdr:row>8</xdr:row>
      <xdr:rowOff>30480</xdr:rowOff>
    </xdr:from>
    <xdr:to>
      <xdr:col>2</xdr:col>
      <xdr:colOff>175260</xdr:colOff>
      <xdr:row>11</xdr:row>
      <xdr:rowOff>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65D42E51-9888-04DB-3BBF-417B17C7F3E7}"/>
            </a:ext>
          </a:extLst>
        </xdr:cNvPr>
        <xdr:cNvCxnSpPr/>
      </xdr:nvCxnSpPr>
      <xdr:spPr>
        <a:xfrm>
          <a:off x="1386840" y="1493520"/>
          <a:ext cx="7620" cy="5181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121920</xdr:colOff>
      <xdr:row>11</xdr:row>
      <xdr:rowOff>83820</xdr:rowOff>
    </xdr:from>
    <xdr:to>
      <xdr:col>2</xdr:col>
      <xdr:colOff>129540</xdr:colOff>
      <xdr:row>14</xdr:row>
      <xdr:rowOff>53340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D4E0141C-EF11-45F3-A5C8-BA4F3BDF372A}"/>
            </a:ext>
          </a:extLst>
        </xdr:cNvPr>
        <xdr:cNvCxnSpPr/>
      </xdr:nvCxnSpPr>
      <xdr:spPr>
        <a:xfrm>
          <a:off x="1341120" y="2095500"/>
          <a:ext cx="7620" cy="5181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502921</xdr:colOff>
      <xdr:row>3</xdr:row>
      <xdr:rowOff>83820</xdr:rowOff>
    </xdr:from>
    <xdr:to>
      <xdr:col>3</xdr:col>
      <xdr:colOff>548640</xdr:colOff>
      <xdr:row>7</xdr:row>
      <xdr:rowOff>160020</xdr:rowOff>
    </xdr:to>
    <xdr:sp macro="" textlink="">
      <xdr:nvSpPr>
        <xdr:cNvPr id="13" name="Right Brace 12">
          <a:extLst>
            <a:ext uri="{FF2B5EF4-FFF2-40B4-BE49-F238E27FC236}">
              <a16:creationId xmlns:a16="http://schemas.microsoft.com/office/drawing/2014/main" id="{1D21ED9D-705C-330F-63DF-3A56B5C11A5E}"/>
            </a:ext>
          </a:extLst>
        </xdr:cNvPr>
        <xdr:cNvSpPr/>
      </xdr:nvSpPr>
      <xdr:spPr>
        <a:xfrm>
          <a:off x="2331721" y="632460"/>
          <a:ext cx="45719" cy="80772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i-FI" sz="1100"/>
        </a:p>
      </xdr:txBody>
    </xdr:sp>
    <xdr:clientData/>
  </xdr:twoCellAnchor>
  <xdr:twoCellAnchor>
    <xdr:from>
      <xdr:col>1</xdr:col>
      <xdr:colOff>220980</xdr:colOff>
      <xdr:row>7</xdr:row>
      <xdr:rowOff>152402</xdr:rowOff>
    </xdr:from>
    <xdr:to>
      <xdr:col>3</xdr:col>
      <xdr:colOff>281939</xdr:colOff>
      <xdr:row>8</xdr:row>
      <xdr:rowOff>114304</xdr:rowOff>
    </xdr:to>
    <xdr:sp macro="" textlink="">
      <xdr:nvSpPr>
        <xdr:cNvPr id="14" name="Right Brace 13">
          <a:extLst>
            <a:ext uri="{FF2B5EF4-FFF2-40B4-BE49-F238E27FC236}">
              <a16:creationId xmlns:a16="http://schemas.microsoft.com/office/drawing/2014/main" id="{6FEC2AE3-224D-41A3-A588-3C8B6D2BD564}"/>
            </a:ext>
          </a:extLst>
        </xdr:cNvPr>
        <xdr:cNvSpPr/>
      </xdr:nvSpPr>
      <xdr:spPr>
        <a:xfrm rot="5400000">
          <a:off x="1398269" y="864873"/>
          <a:ext cx="144782" cy="1280159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i-FI" sz="1100"/>
        </a:p>
      </xdr:txBody>
    </xdr:sp>
    <xdr:clientData/>
  </xdr:twoCellAnchor>
  <xdr:twoCellAnchor>
    <xdr:from>
      <xdr:col>5</xdr:col>
      <xdr:colOff>514353</xdr:colOff>
      <xdr:row>8</xdr:row>
      <xdr:rowOff>91445</xdr:rowOff>
    </xdr:from>
    <xdr:to>
      <xdr:col>5</xdr:col>
      <xdr:colOff>560072</xdr:colOff>
      <xdr:row>12</xdr:row>
      <xdr:rowOff>26673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B8FDC843-6DB1-4406-882E-D6F03992DD8B}"/>
            </a:ext>
          </a:extLst>
        </xdr:cNvPr>
        <xdr:cNvSpPr/>
      </xdr:nvSpPr>
      <xdr:spPr>
        <a:xfrm rot="5400000" flipV="1">
          <a:off x="3251839" y="1864999"/>
          <a:ext cx="666748" cy="45719"/>
        </a:xfrm>
        <a:prstGeom prst="rect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i-FI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ameenamk-my.sharepoint.com/personal/onachristina230_hamk_fi/Documents/METE2/laskurit/simppelilaskuri.xlsx" TargetMode="External"/><Relationship Id="rId1" Type="http://schemas.openxmlformats.org/officeDocument/2006/relationships/externalLinkPath" Target="/personal/onachristina230_hamk_fi/Documents/METE2/laskurit/simppelilaskur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iinteistön tiedot"/>
      <sheetName val="mete2valinnat"/>
      <sheetName val="tuntikulutus"/>
      <sheetName val="Järjestelmät"/>
      <sheetName val="Energiat"/>
      <sheetName val="Tulos"/>
      <sheetName val="Aurinkosähkö"/>
      <sheetName val="ASdata2022"/>
      <sheetName val="ILP"/>
      <sheetName val="ILP2"/>
      <sheetName val="ILPv3"/>
      <sheetName val="PILP"/>
      <sheetName val="IVLP"/>
      <sheetName val="MLP"/>
      <sheetName val="MLP_MK"/>
      <sheetName val="G_normivuosi"/>
      <sheetName val="pumppu_vakiot"/>
      <sheetName val="HDD"/>
    </sheetNames>
    <sheetDataSet>
      <sheetData sheetId="0"/>
      <sheetData sheetId="1"/>
      <sheetData sheetId="2">
        <row r="29">
          <cell r="F29">
            <v>0.02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F4">
            <v>13.1</v>
          </cell>
        </row>
        <row r="5">
          <cell r="F5">
            <v>44.3</v>
          </cell>
        </row>
        <row r="6">
          <cell r="F6">
            <v>106.7</v>
          </cell>
        </row>
        <row r="7">
          <cell r="F7">
            <v>154.9</v>
          </cell>
        </row>
        <row r="8">
          <cell r="F8">
            <v>183</v>
          </cell>
        </row>
        <row r="9">
          <cell r="F9">
            <v>167.6</v>
          </cell>
        </row>
        <row r="10">
          <cell r="F10">
            <v>189.8</v>
          </cell>
        </row>
        <row r="11">
          <cell r="F11">
            <v>152.1</v>
          </cell>
        </row>
        <row r="12">
          <cell r="F12">
            <v>126.9</v>
          </cell>
        </row>
        <row r="13">
          <cell r="F13">
            <v>44.3</v>
          </cell>
        </row>
        <row r="14">
          <cell r="F14">
            <v>17</v>
          </cell>
        </row>
        <row r="15">
          <cell r="F15">
            <v>11.2</v>
          </cell>
        </row>
      </sheetData>
      <sheetData sheetId="16"/>
      <sheetData sheetId="17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1AF9967E-2DBD-4DE6-838D-B7AB5823D199}" autoFormatId="16" applyNumberFormats="0" applyBorderFormats="0" applyFontFormats="0" applyPatternFormats="0" applyAlignmentFormats="0" applyWidthHeightFormats="0">
  <queryTableRefresh nextId="10">
    <queryTableFields count="9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3" xr16:uid="{B907D57D-2EB9-44C6-A481-C4D83D742795}" autoFormatId="16" applyNumberFormats="0" applyBorderFormats="0" applyFontFormats="0" applyPatternFormats="0" applyAlignmentFormats="0" applyWidthHeightFormats="0">
  <queryTableRefresh nextId="10">
    <queryTableFields count="9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connectionId="1" xr16:uid="{7C530985-84C3-49F6-9C30-90DAF127C2D8}" autoFormatId="16" applyNumberFormats="0" applyBorderFormats="0" applyFontFormats="0" applyPatternFormats="0" applyAlignmentFormats="0" applyWidthHeightFormats="0">
  <queryTableRefresh nextId="10">
    <queryTableFields count="9">
      <queryTableField id="1" name="Kuukausi" tableColumnId="1"/>
      <queryTableField id="2" name="P" tableColumnId="2"/>
      <queryTableField id="3" name="Ko" tableColumnId="3"/>
      <queryTableField id="4" name="I" tableColumnId="4"/>
      <queryTableField id="5" name="Ka" tableColumnId="5"/>
      <queryTableField id="6" name="E" tableColumnId="6"/>
      <queryTableField id="7" name="Lo" tableColumnId="7"/>
      <queryTableField id="8" name="L" tableColumnId="8"/>
      <queryTableField id="9" name="Lu" tableColumnId="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DAE9EF-BA67-400A-88A6-F81763562E17}" name="Table028__Page_357" displayName="Table028__Page_357" ref="B240:J257" tableType="queryTable" totalsRowShown="0">
  <autoFilter ref="B240:J257" xr:uid="{34DAE9EF-BA67-400A-88A6-F81763562E17}"/>
  <tableColumns count="9">
    <tableColumn id="1" xr3:uid="{DD80AB15-7168-48E7-823D-665980ABBDBF}" uniqueName="1" name="Column1" queryTableFieldId="1" dataDxfId="19"/>
    <tableColumn id="2" xr3:uid="{D3B1B8B6-5562-45F1-A36A-06D780158078}" uniqueName="2" name="Column2" queryTableFieldId="2" dataDxfId="18"/>
    <tableColumn id="3" xr3:uid="{B7581F17-67B4-4A75-B116-0135E90DDEED}" uniqueName="3" name="Column3" queryTableFieldId="3" dataDxfId="17"/>
    <tableColumn id="4" xr3:uid="{DDB970E2-BD13-4214-AA93-8E199A1FBACD}" uniqueName="4" name="Column4" queryTableFieldId="4" dataDxfId="16"/>
    <tableColumn id="5" xr3:uid="{9DFC61BE-0859-4D39-A28E-88D15B57ABCA}" uniqueName="5" name="Column5" queryTableFieldId="5" dataDxfId="15"/>
    <tableColumn id="6" xr3:uid="{3F46E2D4-0FF7-43F8-8502-4FF781A3605E}" uniqueName="6" name="Column6" queryTableFieldId="6" dataDxfId="14"/>
    <tableColumn id="7" xr3:uid="{CD3ECFB8-9FE6-411E-8DA3-796FDE0A7762}" uniqueName="7" name="Column7" queryTableFieldId="7" dataDxfId="13"/>
    <tableColumn id="8" xr3:uid="{8FDF3A45-05FB-4570-ADA5-D5A79EE4ABD6}" uniqueName="8" name="Column8" queryTableFieldId="8" dataDxfId="12"/>
    <tableColumn id="9" xr3:uid="{A5879F0B-D593-4847-BE64-57FCDD536F21}" uniqueName="9" name="Column9" queryTableFieldId="9" dataDxfId="11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37E97B4-3E1E-4B58-8EF3-6D6FB87C6E1D}" name="Table030__Page_368" displayName="Table030__Page_368" ref="B259:J276" tableType="queryTable" totalsRowShown="0">
  <autoFilter ref="B259:J276" xr:uid="{237E97B4-3E1E-4B58-8EF3-6D6FB87C6E1D}"/>
  <tableColumns count="9">
    <tableColumn id="1" xr3:uid="{C202913A-1A03-4118-B3AA-598D5887D696}" uniqueName="1" name="Column1" queryTableFieldId="1" dataDxfId="10"/>
    <tableColumn id="2" xr3:uid="{56109BDB-7824-4553-99AC-153A25620331}" uniqueName="2" name="Column2" queryTableFieldId="2" dataDxfId="9"/>
    <tableColumn id="3" xr3:uid="{886EC658-CADF-48CF-BDF8-BD6EE23AE853}" uniqueName="3" name="Column3" queryTableFieldId="3" dataDxfId="8"/>
    <tableColumn id="4" xr3:uid="{584003AD-AAD9-4752-A87D-0FD768BEED48}" uniqueName="4" name="Column4" queryTableFieldId="4" dataDxfId="7"/>
    <tableColumn id="5" xr3:uid="{7B26FD59-1402-4365-AEE3-E5B7176E0915}" uniqueName="5" name="Column5" queryTableFieldId="5" dataDxfId="6"/>
    <tableColumn id="6" xr3:uid="{75C6F74D-5F13-4BBE-9CCD-1BB99D0447E5}" uniqueName="6" name="Column6" queryTableFieldId="6" dataDxfId="5"/>
    <tableColumn id="7" xr3:uid="{887A5F82-5B61-4979-A6F7-C65DA92D9F47}" uniqueName="7" name="Column7" queryTableFieldId="7" dataDxfId="4"/>
    <tableColumn id="8" xr3:uid="{BDCF68DB-7E43-4FCF-9400-F1A4E4718A90}" uniqueName="8" name="Column8" queryTableFieldId="8" dataDxfId="3"/>
    <tableColumn id="9" xr3:uid="{3881DCCA-82DF-48AB-AE5E-45FC10F7E4BD}" uniqueName="9" name="Column9" queryTableFieldId="9" dataDxfId="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8D13927-A259-4F12-AB06-E242999AF26B}" name="Table001__Page_1" displayName="Table001__Page_1" ref="B277:J290" tableType="queryTable" totalsRowShown="0">
  <autoFilter ref="B277:J290" xr:uid="{98D13927-A259-4F12-AB06-E242999AF26B}"/>
  <tableColumns count="9">
    <tableColumn id="1" xr3:uid="{D4FE5069-5BDB-4074-8C91-303B5DFE2D2D}" uniqueName="1" name="Kuukausi" queryTableFieldId="1" dataDxfId="1"/>
    <tableColumn id="2" xr3:uid="{8508EA9E-B13A-4DB9-8C94-9E95AA5A19E5}" uniqueName="2" name="P" queryTableFieldId="2"/>
    <tableColumn id="3" xr3:uid="{FFC3607C-9EFD-4C97-B717-6687366355D9}" uniqueName="3" name="Ko" queryTableFieldId="3"/>
    <tableColumn id="4" xr3:uid="{3F797100-7D96-4397-B703-C5F3DF54BDDE}" uniqueName="4" name="I" queryTableFieldId="4"/>
    <tableColumn id="5" xr3:uid="{6A45D3C6-CACF-4EDF-B2D1-099996339AA1}" uniqueName="5" name="Ka" queryTableFieldId="5"/>
    <tableColumn id="6" xr3:uid="{725D740E-55B3-4BB7-B144-41C83505AF1A}" uniqueName="6" name="E" queryTableFieldId="6" dataDxfId="0"/>
    <tableColumn id="7" xr3:uid="{49668CC7-010B-4836-A8C0-82D5A8E5E8DE}" uniqueName="7" name="Lo" queryTableFieldId="7"/>
    <tableColumn id="8" xr3:uid="{85E28116-0544-4B78-9A42-4AE02F6501AE}" uniqueName="8" name="L" queryTableFieldId="8"/>
    <tableColumn id="9" xr3:uid="{8A7FD2D4-86CB-4D46-8D33-9C867DDABEEC}" uniqueName="9" name="Lu" queryTableFieldId="9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3D6AB-74BB-40AC-A804-0E595596CEAD}">
  <dimension ref="F2:S24"/>
  <sheetViews>
    <sheetView showGridLines="0" tabSelected="1" workbookViewId="0">
      <selection activeCell="H14" sqref="H14"/>
    </sheetView>
  </sheetViews>
  <sheetFormatPr defaultRowHeight="14.4" x14ac:dyDescent="0.3"/>
  <sheetData>
    <row r="2" spans="6:19" ht="31.2" x14ac:dyDescent="0.6">
      <c r="F2" s="150"/>
      <c r="G2" s="356" t="s">
        <v>687</v>
      </c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</row>
    <row r="3" spans="6:19" ht="21" x14ac:dyDescent="0.4">
      <c r="F3" s="150"/>
      <c r="G3" s="357" t="s">
        <v>672</v>
      </c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</row>
    <row r="4" spans="6:19" ht="21" x14ac:dyDescent="0.4"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</row>
    <row r="5" spans="6:19" ht="21" x14ac:dyDescent="0.4"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</row>
    <row r="6" spans="6:19" ht="21" x14ac:dyDescent="0.4"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</row>
    <row r="7" spans="6:19" ht="21" x14ac:dyDescent="0.4">
      <c r="F7" s="150"/>
      <c r="G7" s="150" t="s">
        <v>678</v>
      </c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</row>
    <row r="8" spans="6:19" ht="21" x14ac:dyDescent="0.4">
      <c r="F8" s="150"/>
      <c r="G8" s="150" t="s">
        <v>673</v>
      </c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</row>
    <row r="9" spans="6:19" ht="21" x14ac:dyDescent="0.4">
      <c r="F9" s="150"/>
      <c r="G9" s="150" t="s">
        <v>674</v>
      </c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</row>
    <row r="10" spans="6:19" ht="21" x14ac:dyDescent="0.4">
      <c r="F10" s="150"/>
      <c r="G10" s="150" t="s">
        <v>679</v>
      </c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</row>
    <row r="11" spans="6:19" ht="21" x14ac:dyDescent="0.4"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</row>
    <row r="12" spans="6:19" ht="21" x14ac:dyDescent="0.4"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</row>
    <row r="13" spans="6:19" ht="21" x14ac:dyDescent="0.4"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</row>
    <row r="14" spans="6:19" ht="21" x14ac:dyDescent="0.4">
      <c r="F14" s="150"/>
      <c r="G14" s="357" t="s">
        <v>677</v>
      </c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</row>
    <row r="15" spans="6:19" ht="21" x14ac:dyDescent="0.4">
      <c r="F15" s="150"/>
      <c r="G15" s="357" t="s">
        <v>675</v>
      </c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</row>
    <row r="16" spans="6:19" ht="21" x14ac:dyDescent="0.4">
      <c r="F16" s="150"/>
      <c r="G16" s="357" t="s">
        <v>676</v>
      </c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</row>
    <row r="17" spans="6:19" ht="21" x14ac:dyDescent="0.4">
      <c r="F17" s="150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</row>
    <row r="18" spans="6:19" ht="21" x14ac:dyDescent="0.4">
      <c r="F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</row>
    <row r="19" spans="6:19" ht="21" x14ac:dyDescent="0.4">
      <c r="F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</row>
    <row r="20" spans="6:19" ht="21" x14ac:dyDescent="0.4"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</row>
    <row r="21" spans="6:19" ht="21" x14ac:dyDescent="0.4"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0"/>
      <c r="S21" s="150"/>
    </row>
    <row r="22" spans="6:19" ht="21" x14ac:dyDescent="0.4"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</row>
    <row r="23" spans="6:19" ht="21" x14ac:dyDescent="0.4"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</row>
    <row r="24" spans="6:19" ht="21" x14ac:dyDescent="0.4"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7158A-9F84-4904-A8EE-8F1CFEB80FB6}">
  <sheetPr codeName="Sheet2"/>
  <dimension ref="A1:U453"/>
  <sheetViews>
    <sheetView topLeftCell="A192" zoomScale="80" zoomScaleNormal="80" workbookViewId="0">
      <selection activeCell="F195" sqref="F195"/>
    </sheetView>
  </sheetViews>
  <sheetFormatPr defaultRowHeight="14.4" x14ac:dyDescent="0.3"/>
  <cols>
    <col min="2" max="2" width="32.33203125" bestFit="1" customWidth="1"/>
    <col min="3" max="3" width="21.6640625" bestFit="1" customWidth="1"/>
    <col min="4" max="4" width="44.33203125" bestFit="1" customWidth="1"/>
    <col min="5" max="5" width="21.33203125" bestFit="1" customWidth="1"/>
    <col min="6" max="6" width="44.33203125" bestFit="1" customWidth="1"/>
    <col min="7" max="7" width="56.6640625" bestFit="1" customWidth="1"/>
    <col min="8" max="8" width="10.6640625" bestFit="1" customWidth="1"/>
    <col min="9" max="9" width="19.33203125" bestFit="1" customWidth="1"/>
    <col min="10" max="10" width="16.33203125" bestFit="1" customWidth="1"/>
    <col min="11" max="11" width="68.44140625" bestFit="1" customWidth="1"/>
    <col min="12" max="12" width="20.33203125" bestFit="1" customWidth="1"/>
    <col min="13" max="13" width="21.5546875" bestFit="1" customWidth="1"/>
    <col min="14" max="14" width="21.33203125" bestFit="1" customWidth="1"/>
    <col min="15" max="15" width="27.6640625" bestFit="1" customWidth="1"/>
    <col min="16" max="16" width="21.33203125" bestFit="1" customWidth="1"/>
  </cols>
  <sheetData>
    <row r="1" spans="2:17" ht="15" thickBot="1" x14ac:dyDescent="0.35"/>
    <row r="2" spans="2:17" x14ac:dyDescent="0.3">
      <c r="B2" s="1" t="s">
        <v>14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  <c r="N2" s="2">
        <v>13</v>
      </c>
      <c r="O2" s="2">
        <v>14</v>
      </c>
      <c r="P2" s="3">
        <v>15</v>
      </c>
    </row>
    <row r="3" spans="2:17" x14ac:dyDescent="0.3">
      <c r="B3" s="4"/>
      <c r="D3" t="s">
        <v>15</v>
      </c>
      <c r="K3" t="s">
        <v>16</v>
      </c>
      <c r="L3" t="s">
        <v>17</v>
      </c>
      <c r="P3" s="5"/>
    </row>
    <row r="4" spans="2:17" x14ac:dyDescent="0.3">
      <c r="B4" s="4"/>
      <c r="C4" t="s">
        <v>18</v>
      </c>
      <c r="D4" t="s">
        <v>19</v>
      </c>
      <c r="E4" t="s">
        <v>20</v>
      </c>
      <c r="F4" t="s">
        <v>21</v>
      </c>
      <c r="G4" t="s">
        <v>22</v>
      </c>
      <c r="H4" t="s">
        <v>23</v>
      </c>
      <c r="I4" t="s">
        <v>24</v>
      </c>
      <c r="J4" t="s">
        <v>25</v>
      </c>
      <c r="K4" t="s">
        <v>26</v>
      </c>
      <c r="L4" t="s">
        <v>27</v>
      </c>
      <c r="M4" t="s">
        <v>28</v>
      </c>
      <c r="N4" t="s">
        <v>29</v>
      </c>
      <c r="O4" t="s">
        <v>30</v>
      </c>
      <c r="P4" s="5" t="s">
        <v>31</v>
      </c>
      <c r="Q4" t="s">
        <v>32</v>
      </c>
    </row>
    <row r="5" spans="2:17" x14ac:dyDescent="0.3">
      <c r="B5" s="4">
        <v>1950</v>
      </c>
      <c r="C5">
        <v>6</v>
      </c>
      <c r="D5">
        <v>0.81</v>
      </c>
      <c r="E5">
        <v>0.47</v>
      </c>
      <c r="F5">
        <v>0.47</v>
      </c>
      <c r="G5">
        <v>0.35</v>
      </c>
      <c r="H5">
        <v>0.47</v>
      </c>
      <c r="I5">
        <v>2.2000000000000002</v>
      </c>
      <c r="J5">
        <v>2.8</v>
      </c>
      <c r="K5">
        <v>0</v>
      </c>
      <c r="L5">
        <v>0</v>
      </c>
      <c r="M5">
        <v>1.5</v>
      </c>
      <c r="N5">
        <v>2.5</v>
      </c>
      <c r="O5">
        <v>6000</v>
      </c>
      <c r="P5" s="5" t="s">
        <v>27</v>
      </c>
      <c r="Q5">
        <v>40</v>
      </c>
    </row>
    <row r="6" spans="2:17" x14ac:dyDescent="0.3">
      <c r="B6" s="4">
        <v>1951</v>
      </c>
      <c r="C6">
        <v>6</v>
      </c>
      <c r="D6">
        <v>0.81</v>
      </c>
      <c r="E6">
        <v>0.47</v>
      </c>
      <c r="F6">
        <v>0.47</v>
      </c>
      <c r="G6">
        <v>0.35</v>
      </c>
      <c r="H6">
        <v>0.47</v>
      </c>
      <c r="I6">
        <v>2.2000000000000002</v>
      </c>
      <c r="J6">
        <v>2.8</v>
      </c>
      <c r="K6">
        <v>0</v>
      </c>
      <c r="L6">
        <v>0</v>
      </c>
      <c r="M6">
        <v>1.5</v>
      </c>
      <c r="N6">
        <v>2.5</v>
      </c>
      <c r="O6">
        <v>6000</v>
      </c>
      <c r="P6" s="5" t="s">
        <v>27</v>
      </c>
      <c r="Q6">
        <v>40</v>
      </c>
    </row>
    <row r="7" spans="2:17" x14ac:dyDescent="0.3">
      <c r="B7" s="4">
        <v>1952</v>
      </c>
      <c r="C7">
        <v>6</v>
      </c>
      <c r="D7">
        <v>0.81</v>
      </c>
      <c r="E7">
        <v>0.47</v>
      </c>
      <c r="F7">
        <v>0.47</v>
      </c>
      <c r="G7">
        <v>0.35</v>
      </c>
      <c r="H7">
        <v>0.47</v>
      </c>
      <c r="I7">
        <v>2.2000000000000002</v>
      </c>
      <c r="J7">
        <v>2.8</v>
      </c>
      <c r="K7">
        <v>0</v>
      </c>
      <c r="L7">
        <v>0</v>
      </c>
      <c r="M7">
        <v>1.5</v>
      </c>
      <c r="N7">
        <v>2.5</v>
      </c>
      <c r="O7">
        <v>6000</v>
      </c>
      <c r="P7" s="5" t="s">
        <v>27</v>
      </c>
      <c r="Q7">
        <v>40</v>
      </c>
    </row>
    <row r="8" spans="2:17" x14ac:dyDescent="0.3">
      <c r="B8" s="4">
        <v>1953</v>
      </c>
      <c r="C8">
        <v>6</v>
      </c>
      <c r="D8">
        <v>0.81</v>
      </c>
      <c r="E8">
        <v>0.47</v>
      </c>
      <c r="F8">
        <v>0.47</v>
      </c>
      <c r="G8">
        <v>0.35</v>
      </c>
      <c r="H8">
        <v>0.47</v>
      </c>
      <c r="I8">
        <v>2.2000000000000002</v>
      </c>
      <c r="J8">
        <v>2.8</v>
      </c>
      <c r="K8">
        <v>0</v>
      </c>
      <c r="L8">
        <v>0</v>
      </c>
      <c r="M8">
        <v>1.5</v>
      </c>
      <c r="N8">
        <v>2.5</v>
      </c>
      <c r="O8">
        <v>6000</v>
      </c>
      <c r="P8" s="5" t="s">
        <v>27</v>
      </c>
      <c r="Q8">
        <v>40</v>
      </c>
    </row>
    <row r="9" spans="2:17" x14ac:dyDescent="0.3">
      <c r="B9" s="4">
        <v>1954</v>
      </c>
      <c r="C9">
        <v>6</v>
      </c>
      <c r="D9">
        <v>0.81</v>
      </c>
      <c r="E9">
        <v>0.47</v>
      </c>
      <c r="F9">
        <v>0.47</v>
      </c>
      <c r="G9">
        <v>0.35</v>
      </c>
      <c r="H9">
        <v>0.47</v>
      </c>
      <c r="I9">
        <v>2.2000000000000002</v>
      </c>
      <c r="J9">
        <v>2.8</v>
      </c>
      <c r="K9">
        <v>0</v>
      </c>
      <c r="L9">
        <v>0</v>
      </c>
      <c r="M9">
        <v>1.5</v>
      </c>
      <c r="N9">
        <v>2.5</v>
      </c>
      <c r="O9">
        <v>6000</v>
      </c>
      <c r="P9" s="5" t="s">
        <v>27</v>
      </c>
      <c r="Q9">
        <v>40</v>
      </c>
    </row>
    <row r="10" spans="2:17" x14ac:dyDescent="0.3">
      <c r="B10" s="4">
        <v>1955</v>
      </c>
      <c r="C10">
        <v>6</v>
      </c>
      <c r="D10">
        <v>0.81</v>
      </c>
      <c r="E10">
        <v>0.47</v>
      </c>
      <c r="F10">
        <v>0.47</v>
      </c>
      <c r="G10">
        <v>0.35</v>
      </c>
      <c r="H10">
        <v>0.47</v>
      </c>
      <c r="I10">
        <v>2.2000000000000002</v>
      </c>
      <c r="J10">
        <v>2.8</v>
      </c>
      <c r="K10">
        <v>0</v>
      </c>
      <c r="L10">
        <v>0</v>
      </c>
      <c r="M10">
        <v>1.5</v>
      </c>
      <c r="N10">
        <v>2.5</v>
      </c>
      <c r="O10">
        <v>6000</v>
      </c>
      <c r="P10" s="5" t="s">
        <v>27</v>
      </c>
      <c r="Q10">
        <v>40</v>
      </c>
    </row>
    <row r="11" spans="2:17" x14ac:dyDescent="0.3">
      <c r="B11" s="4">
        <v>1956</v>
      </c>
      <c r="C11">
        <v>6</v>
      </c>
      <c r="D11">
        <v>0.81</v>
      </c>
      <c r="E11">
        <v>0.47</v>
      </c>
      <c r="F11">
        <v>0.47</v>
      </c>
      <c r="G11">
        <v>0.35</v>
      </c>
      <c r="H11">
        <v>0.47</v>
      </c>
      <c r="I11">
        <v>2.2000000000000002</v>
      </c>
      <c r="J11">
        <v>2.8</v>
      </c>
      <c r="K11">
        <v>0</v>
      </c>
      <c r="L11">
        <v>0</v>
      </c>
      <c r="M11">
        <v>1.5</v>
      </c>
      <c r="N11">
        <v>2.5</v>
      </c>
      <c r="O11">
        <v>6000</v>
      </c>
      <c r="P11" s="5" t="s">
        <v>27</v>
      </c>
      <c r="Q11">
        <v>40</v>
      </c>
    </row>
    <row r="12" spans="2:17" x14ac:dyDescent="0.3">
      <c r="B12" s="4">
        <v>1957</v>
      </c>
      <c r="C12">
        <v>6</v>
      </c>
      <c r="D12">
        <v>0.81</v>
      </c>
      <c r="E12">
        <v>0.47</v>
      </c>
      <c r="F12">
        <v>0.47</v>
      </c>
      <c r="G12">
        <v>0.35</v>
      </c>
      <c r="H12">
        <v>0.47</v>
      </c>
      <c r="I12">
        <v>2.2000000000000002</v>
      </c>
      <c r="J12">
        <v>2.8</v>
      </c>
      <c r="K12">
        <v>0</v>
      </c>
      <c r="L12">
        <v>0</v>
      </c>
      <c r="M12">
        <v>1.5</v>
      </c>
      <c r="N12">
        <v>2.5</v>
      </c>
      <c r="O12">
        <v>6000</v>
      </c>
      <c r="P12" s="5" t="s">
        <v>27</v>
      </c>
      <c r="Q12">
        <v>40</v>
      </c>
    </row>
    <row r="13" spans="2:17" x14ac:dyDescent="0.3">
      <c r="B13" s="4">
        <v>1958</v>
      </c>
      <c r="C13">
        <v>6</v>
      </c>
      <c r="D13">
        <v>0.81</v>
      </c>
      <c r="E13">
        <v>0.47</v>
      </c>
      <c r="F13">
        <v>0.47</v>
      </c>
      <c r="G13">
        <v>0.35</v>
      </c>
      <c r="H13">
        <v>0.47</v>
      </c>
      <c r="I13">
        <v>2.2000000000000002</v>
      </c>
      <c r="J13">
        <v>2.8</v>
      </c>
      <c r="K13">
        <v>0</v>
      </c>
      <c r="L13">
        <v>0</v>
      </c>
      <c r="M13">
        <v>1.5</v>
      </c>
      <c r="N13">
        <v>2.5</v>
      </c>
      <c r="O13">
        <v>6000</v>
      </c>
      <c r="P13" s="5" t="s">
        <v>27</v>
      </c>
      <c r="Q13">
        <v>40</v>
      </c>
    </row>
    <row r="14" spans="2:17" x14ac:dyDescent="0.3">
      <c r="B14" s="4">
        <v>1959</v>
      </c>
      <c r="C14">
        <v>6</v>
      </c>
      <c r="D14">
        <v>0.81</v>
      </c>
      <c r="E14">
        <v>0.47</v>
      </c>
      <c r="F14">
        <v>0.47</v>
      </c>
      <c r="G14">
        <v>0.35</v>
      </c>
      <c r="H14">
        <v>0.47</v>
      </c>
      <c r="I14">
        <v>2.2000000000000002</v>
      </c>
      <c r="J14">
        <v>2.8</v>
      </c>
      <c r="K14">
        <v>0</v>
      </c>
      <c r="L14">
        <v>0</v>
      </c>
      <c r="M14">
        <v>1.5</v>
      </c>
      <c r="N14">
        <v>2.5</v>
      </c>
      <c r="O14">
        <v>6000</v>
      </c>
      <c r="P14" s="5" t="s">
        <v>27</v>
      </c>
      <c r="Q14">
        <v>40</v>
      </c>
    </row>
    <row r="15" spans="2:17" x14ac:dyDescent="0.3">
      <c r="B15" s="4">
        <v>1960</v>
      </c>
      <c r="C15">
        <v>6</v>
      </c>
      <c r="D15">
        <v>0.81</v>
      </c>
      <c r="E15">
        <v>0.47</v>
      </c>
      <c r="F15">
        <v>0.47</v>
      </c>
      <c r="G15">
        <v>0.35</v>
      </c>
      <c r="H15">
        <v>0.47</v>
      </c>
      <c r="I15">
        <v>2.2000000000000002</v>
      </c>
      <c r="J15">
        <v>2.8</v>
      </c>
      <c r="K15">
        <v>0</v>
      </c>
      <c r="L15">
        <v>0</v>
      </c>
      <c r="M15">
        <v>1.5</v>
      </c>
      <c r="N15">
        <v>2.5</v>
      </c>
      <c r="O15">
        <v>6000</v>
      </c>
      <c r="P15" s="5" t="s">
        <v>27</v>
      </c>
      <c r="Q15">
        <v>40</v>
      </c>
    </row>
    <row r="16" spans="2:17" x14ac:dyDescent="0.3">
      <c r="B16" s="4">
        <v>1961</v>
      </c>
      <c r="C16">
        <v>6</v>
      </c>
      <c r="D16">
        <v>0.81</v>
      </c>
      <c r="E16">
        <v>0.47</v>
      </c>
      <c r="F16">
        <v>0.47</v>
      </c>
      <c r="G16">
        <v>0.35</v>
      </c>
      <c r="H16">
        <v>0.47</v>
      </c>
      <c r="I16">
        <v>2.2000000000000002</v>
      </c>
      <c r="J16">
        <v>2.8</v>
      </c>
      <c r="K16">
        <v>0</v>
      </c>
      <c r="L16">
        <v>0</v>
      </c>
      <c r="M16">
        <v>1.5</v>
      </c>
      <c r="N16">
        <v>2.5</v>
      </c>
      <c r="O16">
        <v>6000</v>
      </c>
      <c r="P16" s="5" t="s">
        <v>27</v>
      </c>
      <c r="Q16">
        <v>40</v>
      </c>
    </row>
    <row r="17" spans="2:17" x14ac:dyDescent="0.3">
      <c r="B17" s="4">
        <v>1962</v>
      </c>
      <c r="C17">
        <v>6</v>
      </c>
      <c r="D17">
        <v>0.81</v>
      </c>
      <c r="E17">
        <v>0.47</v>
      </c>
      <c r="F17">
        <v>0.47</v>
      </c>
      <c r="G17">
        <v>0.35</v>
      </c>
      <c r="H17">
        <v>0.47</v>
      </c>
      <c r="I17">
        <v>2.2000000000000002</v>
      </c>
      <c r="J17">
        <v>2.8</v>
      </c>
      <c r="K17">
        <v>0</v>
      </c>
      <c r="L17">
        <v>0</v>
      </c>
      <c r="M17">
        <v>1.5</v>
      </c>
      <c r="N17">
        <v>2.5</v>
      </c>
      <c r="O17">
        <v>6000</v>
      </c>
      <c r="P17" s="5" t="s">
        <v>27</v>
      </c>
      <c r="Q17">
        <v>40</v>
      </c>
    </row>
    <row r="18" spans="2:17" x14ac:dyDescent="0.3">
      <c r="B18" s="4">
        <v>1963</v>
      </c>
      <c r="C18">
        <v>6</v>
      </c>
      <c r="D18">
        <v>0.81</v>
      </c>
      <c r="E18">
        <v>0.47</v>
      </c>
      <c r="F18">
        <v>0.47</v>
      </c>
      <c r="G18">
        <v>0.35</v>
      </c>
      <c r="H18">
        <v>0.47</v>
      </c>
      <c r="I18">
        <v>2.2000000000000002</v>
      </c>
      <c r="J18">
        <v>2.8</v>
      </c>
      <c r="K18">
        <v>0</v>
      </c>
      <c r="L18">
        <v>0</v>
      </c>
      <c r="M18">
        <v>1.5</v>
      </c>
      <c r="N18">
        <v>2.5</v>
      </c>
      <c r="O18">
        <v>6000</v>
      </c>
      <c r="P18" s="5" t="s">
        <v>27</v>
      </c>
      <c r="Q18">
        <v>40</v>
      </c>
    </row>
    <row r="19" spans="2:17" x14ac:dyDescent="0.3">
      <c r="B19" s="4">
        <v>1964</v>
      </c>
      <c r="C19">
        <v>6</v>
      </c>
      <c r="D19">
        <v>0.81</v>
      </c>
      <c r="E19">
        <v>0.47</v>
      </c>
      <c r="F19">
        <v>0.47</v>
      </c>
      <c r="G19">
        <v>0.35</v>
      </c>
      <c r="H19">
        <v>0.47</v>
      </c>
      <c r="I19">
        <v>2.2000000000000002</v>
      </c>
      <c r="J19">
        <v>2.8</v>
      </c>
      <c r="K19">
        <v>0</v>
      </c>
      <c r="L19">
        <v>0</v>
      </c>
      <c r="M19">
        <v>1.5</v>
      </c>
      <c r="N19">
        <v>2.5</v>
      </c>
      <c r="O19">
        <v>6000</v>
      </c>
      <c r="P19" s="5" t="s">
        <v>27</v>
      </c>
      <c r="Q19">
        <v>40</v>
      </c>
    </row>
    <row r="20" spans="2:17" x14ac:dyDescent="0.3">
      <c r="B20" s="4">
        <v>1965</v>
      </c>
      <c r="C20">
        <v>6</v>
      </c>
      <c r="D20">
        <v>0.81</v>
      </c>
      <c r="E20">
        <v>0.47</v>
      </c>
      <c r="F20">
        <v>0.47</v>
      </c>
      <c r="G20">
        <v>0.35</v>
      </c>
      <c r="H20">
        <v>0.47</v>
      </c>
      <c r="I20">
        <v>2.2000000000000002</v>
      </c>
      <c r="J20">
        <v>2.8</v>
      </c>
      <c r="K20">
        <v>0</v>
      </c>
      <c r="L20">
        <v>0</v>
      </c>
      <c r="M20">
        <v>1.5</v>
      </c>
      <c r="N20">
        <v>2.5</v>
      </c>
      <c r="O20">
        <v>6000</v>
      </c>
      <c r="P20" s="5" t="s">
        <v>27</v>
      </c>
      <c r="Q20">
        <v>40</v>
      </c>
    </row>
    <row r="21" spans="2:17" x14ac:dyDescent="0.3">
      <c r="B21" s="4">
        <v>1966</v>
      </c>
      <c r="C21">
        <v>6</v>
      </c>
      <c r="D21">
        <v>0.81</v>
      </c>
      <c r="E21">
        <v>0.47</v>
      </c>
      <c r="F21">
        <v>0.47</v>
      </c>
      <c r="G21">
        <v>0.35</v>
      </c>
      <c r="H21">
        <v>0.47</v>
      </c>
      <c r="I21">
        <v>2.2000000000000002</v>
      </c>
      <c r="J21">
        <v>2.8</v>
      </c>
      <c r="K21">
        <v>0</v>
      </c>
      <c r="L21">
        <v>0</v>
      </c>
      <c r="M21">
        <v>1.5</v>
      </c>
      <c r="N21">
        <v>2.5</v>
      </c>
      <c r="O21">
        <v>6000</v>
      </c>
      <c r="P21" s="5" t="s">
        <v>27</v>
      </c>
      <c r="Q21">
        <v>40</v>
      </c>
    </row>
    <row r="22" spans="2:17" x14ac:dyDescent="0.3">
      <c r="B22" s="4">
        <v>1967</v>
      </c>
      <c r="C22">
        <v>6</v>
      </c>
      <c r="D22">
        <v>0.81</v>
      </c>
      <c r="E22">
        <v>0.47</v>
      </c>
      <c r="F22">
        <v>0.47</v>
      </c>
      <c r="G22">
        <v>0.35</v>
      </c>
      <c r="H22">
        <v>0.47</v>
      </c>
      <c r="I22">
        <v>2.2000000000000002</v>
      </c>
      <c r="J22">
        <v>2.8</v>
      </c>
      <c r="K22">
        <v>0</v>
      </c>
      <c r="L22">
        <v>0</v>
      </c>
      <c r="M22">
        <v>1.5</v>
      </c>
      <c r="N22">
        <v>2.5</v>
      </c>
      <c r="O22">
        <v>6000</v>
      </c>
      <c r="P22" s="5" t="s">
        <v>27</v>
      </c>
      <c r="Q22">
        <v>40</v>
      </c>
    </row>
    <row r="23" spans="2:17" x14ac:dyDescent="0.3">
      <c r="B23" s="4">
        <v>1968</v>
      </c>
      <c r="C23">
        <v>6</v>
      </c>
      <c r="D23">
        <v>0.81</v>
      </c>
      <c r="E23">
        <v>0.47</v>
      </c>
      <c r="F23">
        <v>0.47</v>
      </c>
      <c r="G23">
        <v>0.35</v>
      </c>
      <c r="H23">
        <v>0.47</v>
      </c>
      <c r="I23">
        <v>2.2000000000000002</v>
      </c>
      <c r="J23">
        <v>2.8</v>
      </c>
      <c r="K23">
        <v>0</v>
      </c>
      <c r="L23">
        <v>0</v>
      </c>
      <c r="M23">
        <v>1.5</v>
      </c>
      <c r="N23">
        <v>2.5</v>
      </c>
      <c r="O23">
        <v>6000</v>
      </c>
      <c r="P23" s="5" t="s">
        <v>27</v>
      </c>
      <c r="Q23">
        <v>40</v>
      </c>
    </row>
    <row r="24" spans="2:17" x14ac:dyDescent="0.3">
      <c r="B24" s="4">
        <v>1969</v>
      </c>
      <c r="C24">
        <v>6</v>
      </c>
      <c r="D24">
        <v>0.81</v>
      </c>
      <c r="E24">
        <v>0.47</v>
      </c>
      <c r="F24">
        <v>0.47</v>
      </c>
      <c r="G24">
        <v>0.35</v>
      </c>
      <c r="H24">
        <v>0.47</v>
      </c>
      <c r="I24">
        <v>2.2000000000000002</v>
      </c>
      <c r="J24">
        <v>2.8</v>
      </c>
      <c r="K24">
        <v>0</v>
      </c>
      <c r="L24">
        <v>0</v>
      </c>
      <c r="M24">
        <v>1.5</v>
      </c>
      <c r="N24">
        <v>2.5</v>
      </c>
      <c r="O24">
        <v>6000</v>
      </c>
      <c r="P24" s="5" t="s">
        <v>28</v>
      </c>
      <c r="Q24">
        <v>40</v>
      </c>
    </row>
    <row r="25" spans="2:17" x14ac:dyDescent="0.3">
      <c r="B25" s="4">
        <v>1970</v>
      </c>
      <c r="C25">
        <v>6</v>
      </c>
      <c r="D25">
        <v>0.81</v>
      </c>
      <c r="E25">
        <v>0.47</v>
      </c>
      <c r="F25">
        <v>0.47</v>
      </c>
      <c r="G25">
        <v>0.35</v>
      </c>
      <c r="H25">
        <v>0.47</v>
      </c>
      <c r="I25">
        <v>2.2000000000000002</v>
      </c>
      <c r="J25">
        <v>2.8</v>
      </c>
      <c r="K25">
        <v>0</v>
      </c>
      <c r="L25">
        <v>0</v>
      </c>
      <c r="M25">
        <v>1.5</v>
      </c>
      <c r="N25">
        <v>2.5</v>
      </c>
      <c r="O25">
        <v>6000</v>
      </c>
      <c r="P25" s="5" t="s">
        <v>28</v>
      </c>
      <c r="Q25">
        <v>40</v>
      </c>
    </row>
    <row r="26" spans="2:17" x14ac:dyDescent="0.3">
      <c r="B26" s="4">
        <v>1971</v>
      </c>
      <c r="C26">
        <v>6</v>
      </c>
      <c r="D26">
        <v>0.81</v>
      </c>
      <c r="E26">
        <v>0.47</v>
      </c>
      <c r="F26">
        <v>0.47</v>
      </c>
      <c r="G26">
        <v>0.35</v>
      </c>
      <c r="H26">
        <v>0.47</v>
      </c>
      <c r="I26">
        <v>2.2000000000000002</v>
      </c>
      <c r="J26">
        <v>2.8</v>
      </c>
      <c r="K26">
        <v>0</v>
      </c>
      <c r="L26">
        <v>0</v>
      </c>
      <c r="M26">
        <v>1.5</v>
      </c>
      <c r="N26">
        <v>2.5</v>
      </c>
      <c r="O26">
        <v>6000</v>
      </c>
      <c r="P26" s="5" t="s">
        <v>28</v>
      </c>
      <c r="Q26">
        <v>40</v>
      </c>
    </row>
    <row r="27" spans="2:17" x14ac:dyDescent="0.3">
      <c r="B27" s="4">
        <v>1972</v>
      </c>
      <c r="C27">
        <v>6</v>
      </c>
      <c r="D27">
        <v>0.81</v>
      </c>
      <c r="E27">
        <v>0.47</v>
      </c>
      <c r="F27">
        <v>0.47</v>
      </c>
      <c r="G27">
        <v>0.35</v>
      </c>
      <c r="H27">
        <v>0.47</v>
      </c>
      <c r="I27">
        <v>2.2000000000000002</v>
      </c>
      <c r="J27">
        <v>2.8</v>
      </c>
      <c r="K27">
        <v>0</v>
      </c>
      <c r="L27">
        <v>0</v>
      </c>
      <c r="M27">
        <v>1.5</v>
      </c>
      <c r="N27">
        <v>2.5</v>
      </c>
      <c r="O27">
        <v>6000</v>
      </c>
      <c r="P27" s="5" t="s">
        <v>28</v>
      </c>
      <c r="Q27">
        <v>40</v>
      </c>
    </row>
    <row r="28" spans="2:17" x14ac:dyDescent="0.3">
      <c r="B28" s="4">
        <v>1973</v>
      </c>
      <c r="C28">
        <v>6</v>
      </c>
      <c r="D28">
        <v>0.81</v>
      </c>
      <c r="E28">
        <v>0.47</v>
      </c>
      <c r="F28">
        <v>0.47</v>
      </c>
      <c r="G28">
        <v>0.35</v>
      </c>
      <c r="H28">
        <v>0.47</v>
      </c>
      <c r="I28">
        <v>2.2000000000000002</v>
      </c>
      <c r="J28">
        <v>2.8</v>
      </c>
      <c r="K28">
        <v>0</v>
      </c>
      <c r="L28">
        <v>0</v>
      </c>
      <c r="M28">
        <v>1.5</v>
      </c>
      <c r="N28">
        <v>2.5</v>
      </c>
      <c r="O28">
        <v>6000</v>
      </c>
      <c r="P28" s="5" t="s">
        <v>28</v>
      </c>
      <c r="Q28">
        <v>40</v>
      </c>
    </row>
    <row r="29" spans="2:17" x14ac:dyDescent="0.3">
      <c r="B29" s="4">
        <v>1974</v>
      </c>
      <c r="C29">
        <v>6</v>
      </c>
      <c r="D29">
        <v>0.81</v>
      </c>
      <c r="E29">
        <v>0.47</v>
      </c>
      <c r="F29">
        <v>0.47</v>
      </c>
      <c r="G29">
        <v>0.35</v>
      </c>
      <c r="H29">
        <v>0.47</v>
      </c>
      <c r="I29">
        <v>2.2000000000000002</v>
      </c>
      <c r="J29">
        <v>2.8</v>
      </c>
      <c r="K29">
        <v>0</v>
      </c>
      <c r="L29">
        <v>0</v>
      </c>
      <c r="M29">
        <v>1.5</v>
      </c>
      <c r="N29">
        <v>2.5</v>
      </c>
      <c r="O29">
        <v>6000</v>
      </c>
      <c r="P29" s="5" t="s">
        <v>28</v>
      </c>
      <c r="Q29">
        <v>40</v>
      </c>
    </row>
    <row r="30" spans="2:17" x14ac:dyDescent="0.3">
      <c r="B30" s="4">
        <v>1975</v>
      </c>
      <c r="C30">
        <v>6</v>
      </c>
      <c r="D30">
        <v>0.81</v>
      </c>
      <c r="E30">
        <v>0.47</v>
      </c>
      <c r="F30">
        <v>0.47</v>
      </c>
      <c r="G30">
        <v>0.35</v>
      </c>
      <c r="H30">
        <v>0.47</v>
      </c>
      <c r="I30">
        <v>2.2000000000000002</v>
      </c>
      <c r="J30">
        <v>2.8</v>
      </c>
      <c r="K30">
        <v>0</v>
      </c>
      <c r="L30">
        <v>0</v>
      </c>
      <c r="M30">
        <v>1.5</v>
      </c>
      <c r="N30">
        <v>2.5</v>
      </c>
      <c r="O30">
        <v>6000</v>
      </c>
      <c r="P30" s="5" t="s">
        <v>28</v>
      </c>
      <c r="Q30">
        <v>40</v>
      </c>
    </row>
    <row r="31" spans="2:17" x14ac:dyDescent="0.3">
      <c r="B31" s="4">
        <v>1976</v>
      </c>
      <c r="C31">
        <v>6</v>
      </c>
      <c r="D31">
        <v>0.7</v>
      </c>
      <c r="E31">
        <v>0.4</v>
      </c>
      <c r="F31">
        <v>0.4</v>
      </c>
      <c r="G31">
        <v>0.35</v>
      </c>
      <c r="H31">
        <v>0.35</v>
      </c>
      <c r="I31">
        <v>1.4</v>
      </c>
      <c r="J31">
        <v>2.1</v>
      </c>
      <c r="K31">
        <v>0</v>
      </c>
      <c r="L31">
        <v>0</v>
      </c>
      <c r="M31">
        <v>1.5</v>
      </c>
      <c r="N31">
        <v>2.5</v>
      </c>
      <c r="O31">
        <v>6000</v>
      </c>
      <c r="P31" s="5" t="s">
        <v>28</v>
      </c>
      <c r="Q31">
        <v>40</v>
      </c>
    </row>
    <row r="32" spans="2:17" x14ac:dyDescent="0.3">
      <c r="B32" s="4">
        <v>1977</v>
      </c>
      <c r="C32">
        <v>6</v>
      </c>
      <c r="D32">
        <v>0.7</v>
      </c>
      <c r="E32">
        <v>0.4</v>
      </c>
      <c r="F32">
        <v>0.4</v>
      </c>
      <c r="G32">
        <v>0.35</v>
      </c>
      <c r="H32">
        <v>0.35</v>
      </c>
      <c r="I32">
        <v>1.4</v>
      </c>
      <c r="J32">
        <v>2.1</v>
      </c>
      <c r="K32">
        <v>0</v>
      </c>
      <c r="L32">
        <v>0</v>
      </c>
      <c r="M32">
        <v>1.5</v>
      </c>
      <c r="N32">
        <v>2.5</v>
      </c>
      <c r="O32">
        <v>6000</v>
      </c>
      <c r="P32" s="5" t="s">
        <v>28</v>
      </c>
      <c r="Q32">
        <v>40</v>
      </c>
    </row>
    <row r="33" spans="2:17" x14ac:dyDescent="0.3">
      <c r="B33" s="4">
        <v>1978</v>
      </c>
      <c r="C33">
        <v>6</v>
      </c>
      <c r="D33">
        <v>0.35</v>
      </c>
      <c r="E33">
        <v>0.4</v>
      </c>
      <c r="F33">
        <v>0.4</v>
      </c>
      <c r="G33">
        <v>0.28999999999999998</v>
      </c>
      <c r="H33">
        <v>0.28999999999999998</v>
      </c>
      <c r="I33">
        <v>1.4</v>
      </c>
      <c r="J33">
        <v>2.1</v>
      </c>
      <c r="K33">
        <v>0</v>
      </c>
      <c r="L33">
        <v>0</v>
      </c>
      <c r="M33">
        <v>1.5</v>
      </c>
      <c r="N33">
        <v>2.5</v>
      </c>
      <c r="O33">
        <v>6000</v>
      </c>
      <c r="P33" s="5" t="s">
        <v>28</v>
      </c>
      <c r="Q33">
        <v>40</v>
      </c>
    </row>
    <row r="34" spans="2:17" x14ac:dyDescent="0.3">
      <c r="B34" s="4">
        <v>1979</v>
      </c>
      <c r="C34">
        <v>6</v>
      </c>
      <c r="D34">
        <v>0.35</v>
      </c>
      <c r="E34">
        <v>0.4</v>
      </c>
      <c r="F34">
        <v>0.4</v>
      </c>
      <c r="G34">
        <v>0.28999999999999998</v>
      </c>
      <c r="H34">
        <v>0.28999999999999998</v>
      </c>
      <c r="I34">
        <v>1.4</v>
      </c>
      <c r="J34">
        <v>2.1</v>
      </c>
      <c r="K34">
        <v>0</v>
      </c>
      <c r="L34">
        <v>0</v>
      </c>
      <c r="M34">
        <v>1.5</v>
      </c>
      <c r="N34">
        <v>2.5</v>
      </c>
      <c r="O34">
        <v>6000</v>
      </c>
      <c r="P34" s="5" t="s">
        <v>28</v>
      </c>
      <c r="Q34">
        <v>40</v>
      </c>
    </row>
    <row r="35" spans="2:17" x14ac:dyDescent="0.3">
      <c r="B35" s="4">
        <v>1980</v>
      </c>
      <c r="C35">
        <v>6</v>
      </c>
      <c r="D35">
        <v>0.35</v>
      </c>
      <c r="E35">
        <v>0.4</v>
      </c>
      <c r="F35">
        <v>0.4</v>
      </c>
      <c r="G35">
        <v>0.28999999999999998</v>
      </c>
      <c r="H35">
        <v>0.28999999999999998</v>
      </c>
      <c r="I35">
        <v>1.4</v>
      </c>
      <c r="J35">
        <v>2.1</v>
      </c>
      <c r="K35">
        <v>0</v>
      </c>
      <c r="L35">
        <v>0</v>
      </c>
      <c r="M35">
        <v>1.5</v>
      </c>
      <c r="N35">
        <v>2.5</v>
      </c>
      <c r="O35">
        <v>6000</v>
      </c>
      <c r="P35" s="5" t="s">
        <v>28</v>
      </c>
      <c r="Q35">
        <v>40</v>
      </c>
    </row>
    <row r="36" spans="2:17" x14ac:dyDescent="0.3">
      <c r="B36" s="4">
        <v>1981</v>
      </c>
      <c r="C36">
        <v>6</v>
      </c>
      <c r="D36">
        <v>0.35</v>
      </c>
      <c r="E36">
        <v>0.4</v>
      </c>
      <c r="F36">
        <v>0.4</v>
      </c>
      <c r="G36">
        <v>0.28999999999999998</v>
      </c>
      <c r="H36">
        <v>0.28999999999999998</v>
      </c>
      <c r="I36">
        <v>1.4</v>
      </c>
      <c r="J36">
        <v>2.1</v>
      </c>
      <c r="K36">
        <v>0</v>
      </c>
      <c r="L36">
        <v>0</v>
      </c>
      <c r="M36">
        <v>1.5</v>
      </c>
      <c r="N36">
        <v>2.5</v>
      </c>
      <c r="O36">
        <v>6000</v>
      </c>
      <c r="P36" s="5" t="s">
        <v>28</v>
      </c>
      <c r="Q36">
        <v>40</v>
      </c>
    </row>
    <row r="37" spans="2:17" x14ac:dyDescent="0.3">
      <c r="B37" s="4">
        <v>1982</v>
      </c>
      <c r="C37">
        <v>6</v>
      </c>
      <c r="D37">
        <v>0.35</v>
      </c>
      <c r="E37">
        <v>0.4</v>
      </c>
      <c r="F37">
        <v>0.4</v>
      </c>
      <c r="G37">
        <v>0.28999999999999998</v>
      </c>
      <c r="H37">
        <v>0.28999999999999998</v>
      </c>
      <c r="I37">
        <v>1.4</v>
      </c>
      <c r="J37">
        <v>2.1</v>
      </c>
      <c r="K37">
        <v>0</v>
      </c>
      <c r="L37">
        <v>0</v>
      </c>
      <c r="M37">
        <v>1.5</v>
      </c>
      <c r="N37">
        <v>2.5</v>
      </c>
      <c r="O37">
        <v>6000</v>
      </c>
      <c r="P37" s="5" t="s">
        <v>28</v>
      </c>
      <c r="Q37">
        <v>40</v>
      </c>
    </row>
    <row r="38" spans="2:17" x14ac:dyDescent="0.3">
      <c r="B38" s="4">
        <v>1983</v>
      </c>
      <c r="C38">
        <v>6</v>
      </c>
      <c r="D38">
        <v>0.35</v>
      </c>
      <c r="E38">
        <v>0.4</v>
      </c>
      <c r="F38">
        <v>0.4</v>
      </c>
      <c r="G38">
        <v>0.28999999999999998</v>
      </c>
      <c r="H38">
        <v>0.28999999999999998</v>
      </c>
      <c r="I38">
        <v>1.4</v>
      </c>
      <c r="J38">
        <v>2.1</v>
      </c>
      <c r="K38">
        <v>0</v>
      </c>
      <c r="L38">
        <v>0</v>
      </c>
      <c r="M38">
        <v>1.5</v>
      </c>
      <c r="N38">
        <v>2.5</v>
      </c>
      <c r="O38">
        <v>6000</v>
      </c>
      <c r="P38" s="5" t="s">
        <v>28</v>
      </c>
      <c r="Q38">
        <v>40</v>
      </c>
    </row>
    <row r="39" spans="2:17" x14ac:dyDescent="0.3">
      <c r="B39" s="4">
        <v>1984</v>
      </c>
      <c r="C39">
        <v>6</v>
      </c>
      <c r="D39">
        <v>0.35</v>
      </c>
      <c r="E39">
        <v>0.4</v>
      </c>
      <c r="F39">
        <v>0.4</v>
      </c>
      <c r="G39">
        <v>0.28999999999999998</v>
      </c>
      <c r="H39">
        <v>0.28999999999999998</v>
      </c>
      <c r="I39">
        <v>1.4</v>
      </c>
      <c r="J39">
        <v>2.1</v>
      </c>
      <c r="K39">
        <v>0</v>
      </c>
      <c r="L39">
        <v>0</v>
      </c>
      <c r="M39">
        <v>1.5</v>
      </c>
      <c r="N39">
        <v>2.5</v>
      </c>
      <c r="O39">
        <v>6000</v>
      </c>
      <c r="P39" s="5" t="s">
        <v>28</v>
      </c>
      <c r="Q39">
        <v>40</v>
      </c>
    </row>
    <row r="40" spans="2:17" x14ac:dyDescent="0.3">
      <c r="B40" s="4">
        <v>1985</v>
      </c>
      <c r="C40">
        <v>6</v>
      </c>
      <c r="D40">
        <v>0.28000000000000003</v>
      </c>
      <c r="E40">
        <v>0.36</v>
      </c>
      <c r="F40">
        <v>0.4</v>
      </c>
      <c r="G40">
        <v>0.22</v>
      </c>
      <c r="H40">
        <v>0.22</v>
      </c>
      <c r="I40">
        <v>1.4</v>
      </c>
      <c r="J40">
        <v>2.1</v>
      </c>
      <c r="K40">
        <v>0.3</v>
      </c>
      <c r="L40">
        <v>0</v>
      </c>
      <c r="M40">
        <v>1.5</v>
      </c>
      <c r="N40">
        <v>2.5</v>
      </c>
      <c r="O40">
        <v>5000</v>
      </c>
      <c r="P40" s="5" t="s">
        <v>28</v>
      </c>
      <c r="Q40">
        <v>100</v>
      </c>
    </row>
    <row r="41" spans="2:17" x14ac:dyDescent="0.3">
      <c r="B41" s="4">
        <v>1986</v>
      </c>
      <c r="C41">
        <v>6</v>
      </c>
      <c r="D41">
        <v>0.28000000000000003</v>
      </c>
      <c r="E41">
        <v>0.36</v>
      </c>
      <c r="F41">
        <v>0.4</v>
      </c>
      <c r="G41">
        <v>0.22</v>
      </c>
      <c r="H41">
        <v>0.22</v>
      </c>
      <c r="I41">
        <v>1.4</v>
      </c>
      <c r="J41">
        <v>2.1</v>
      </c>
      <c r="K41">
        <v>0.3</v>
      </c>
      <c r="L41">
        <v>0</v>
      </c>
      <c r="M41">
        <v>1.5</v>
      </c>
      <c r="N41">
        <v>2.5</v>
      </c>
      <c r="O41">
        <v>5000</v>
      </c>
      <c r="P41" s="5" t="s">
        <v>28</v>
      </c>
      <c r="Q41">
        <v>100</v>
      </c>
    </row>
    <row r="42" spans="2:17" x14ac:dyDescent="0.3">
      <c r="B42" s="4">
        <v>1987</v>
      </c>
      <c r="C42">
        <v>6</v>
      </c>
      <c r="D42">
        <v>0.28000000000000003</v>
      </c>
      <c r="E42">
        <v>0.36</v>
      </c>
      <c r="F42">
        <v>0.4</v>
      </c>
      <c r="G42">
        <v>0.22</v>
      </c>
      <c r="H42">
        <v>0.22</v>
      </c>
      <c r="I42">
        <v>1.4</v>
      </c>
      <c r="J42">
        <v>2.1</v>
      </c>
      <c r="K42">
        <v>0.3</v>
      </c>
      <c r="L42">
        <v>0</v>
      </c>
      <c r="M42">
        <v>1.5</v>
      </c>
      <c r="N42">
        <v>2.5</v>
      </c>
      <c r="O42">
        <v>5000</v>
      </c>
      <c r="P42" s="5" t="s">
        <v>28</v>
      </c>
      <c r="Q42">
        <v>100</v>
      </c>
    </row>
    <row r="43" spans="2:17" x14ac:dyDescent="0.3">
      <c r="B43" s="4">
        <v>1988</v>
      </c>
      <c r="C43">
        <v>6</v>
      </c>
      <c r="D43">
        <v>0.28000000000000003</v>
      </c>
      <c r="E43">
        <v>0.36</v>
      </c>
      <c r="F43">
        <v>0.4</v>
      </c>
      <c r="G43">
        <v>0.22</v>
      </c>
      <c r="H43">
        <v>0.22</v>
      </c>
      <c r="I43">
        <v>1.4</v>
      </c>
      <c r="J43">
        <v>2.1</v>
      </c>
      <c r="K43">
        <v>0.3</v>
      </c>
      <c r="L43">
        <v>0</v>
      </c>
      <c r="M43">
        <v>1.5</v>
      </c>
      <c r="N43">
        <v>2.5</v>
      </c>
      <c r="O43">
        <v>5000</v>
      </c>
      <c r="P43" s="5" t="s">
        <v>28</v>
      </c>
      <c r="Q43">
        <v>100</v>
      </c>
    </row>
    <row r="44" spans="2:17" x14ac:dyDescent="0.3">
      <c r="B44" s="4">
        <v>1989</v>
      </c>
      <c r="C44">
        <v>6</v>
      </c>
      <c r="D44">
        <v>0.28000000000000003</v>
      </c>
      <c r="E44">
        <v>0.36</v>
      </c>
      <c r="F44">
        <v>0.4</v>
      </c>
      <c r="G44">
        <v>0.22</v>
      </c>
      <c r="H44">
        <v>0.22</v>
      </c>
      <c r="I44">
        <v>1.4</v>
      </c>
      <c r="J44">
        <v>2.1</v>
      </c>
      <c r="K44">
        <v>0.3</v>
      </c>
      <c r="L44">
        <v>0</v>
      </c>
      <c r="M44">
        <v>1.5</v>
      </c>
      <c r="N44">
        <v>2.5</v>
      </c>
      <c r="O44">
        <v>5000</v>
      </c>
      <c r="P44" s="5" t="s">
        <v>28</v>
      </c>
      <c r="Q44">
        <v>100</v>
      </c>
    </row>
    <row r="45" spans="2:17" x14ac:dyDescent="0.3">
      <c r="B45" s="4">
        <v>1990</v>
      </c>
      <c r="C45">
        <v>6</v>
      </c>
      <c r="D45">
        <v>0.28000000000000003</v>
      </c>
      <c r="E45">
        <v>0.36</v>
      </c>
      <c r="F45">
        <v>0.4</v>
      </c>
      <c r="G45">
        <v>0.22</v>
      </c>
      <c r="H45">
        <v>0.22</v>
      </c>
      <c r="I45">
        <v>1.4</v>
      </c>
      <c r="J45">
        <v>2.1</v>
      </c>
      <c r="K45">
        <v>0.3</v>
      </c>
      <c r="L45">
        <v>0</v>
      </c>
      <c r="M45">
        <v>1.5</v>
      </c>
      <c r="N45">
        <v>2.5</v>
      </c>
      <c r="O45">
        <v>5000</v>
      </c>
      <c r="P45" s="5" t="s">
        <v>28</v>
      </c>
      <c r="Q45">
        <v>100</v>
      </c>
    </row>
    <row r="46" spans="2:17" x14ac:dyDescent="0.3">
      <c r="B46" s="4">
        <v>1991</v>
      </c>
      <c r="C46">
        <v>6</v>
      </c>
      <c r="D46">
        <v>0.28000000000000003</v>
      </c>
      <c r="E46">
        <v>0.36</v>
      </c>
      <c r="F46">
        <v>0.4</v>
      </c>
      <c r="G46">
        <v>0.22</v>
      </c>
      <c r="H46">
        <v>0.22</v>
      </c>
      <c r="I46">
        <v>1.4</v>
      </c>
      <c r="J46">
        <v>2.1</v>
      </c>
      <c r="K46">
        <v>0.3</v>
      </c>
      <c r="L46">
        <v>0</v>
      </c>
      <c r="M46">
        <v>1.5</v>
      </c>
      <c r="N46">
        <v>2.5</v>
      </c>
      <c r="O46">
        <v>5000</v>
      </c>
      <c r="P46" s="5" t="s">
        <v>28</v>
      </c>
      <c r="Q46">
        <v>100</v>
      </c>
    </row>
    <row r="47" spans="2:17" x14ac:dyDescent="0.3">
      <c r="B47" s="4">
        <v>1992</v>
      </c>
      <c r="C47">
        <v>6</v>
      </c>
      <c r="D47">
        <v>0.28000000000000003</v>
      </c>
      <c r="E47">
        <v>0.36</v>
      </c>
      <c r="F47">
        <v>0.4</v>
      </c>
      <c r="G47">
        <v>0.22</v>
      </c>
      <c r="H47">
        <v>0.22</v>
      </c>
      <c r="I47">
        <v>1.4</v>
      </c>
      <c r="J47">
        <v>2.1</v>
      </c>
      <c r="K47">
        <v>0.3</v>
      </c>
      <c r="L47">
        <v>0</v>
      </c>
      <c r="M47">
        <v>1.5</v>
      </c>
      <c r="N47">
        <v>2.5</v>
      </c>
      <c r="O47">
        <v>5000</v>
      </c>
      <c r="P47" s="5" t="s">
        <v>28</v>
      </c>
      <c r="Q47">
        <v>100</v>
      </c>
    </row>
    <row r="48" spans="2:17" x14ac:dyDescent="0.3">
      <c r="B48" s="4">
        <v>1993</v>
      </c>
      <c r="C48">
        <v>6</v>
      </c>
      <c r="D48">
        <v>0.28000000000000003</v>
      </c>
      <c r="E48">
        <v>0.36</v>
      </c>
      <c r="F48">
        <v>0.4</v>
      </c>
      <c r="G48">
        <v>0.22</v>
      </c>
      <c r="H48">
        <v>0.22</v>
      </c>
      <c r="I48">
        <v>1.4</v>
      </c>
      <c r="J48">
        <v>2.1</v>
      </c>
      <c r="K48">
        <v>0.3</v>
      </c>
      <c r="L48">
        <v>0</v>
      </c>
      <c r="M48">
        <v>1.5</v>
      </c>
      <c r="N48">
        <v>2.5</v>
      </c>
      <c r="O48">
        <v>5000</v>
      </c>
      <c r="P48" s="5" t="s">
        <v>28</v>
      </c>
      <c r="Q48">
        <v>100</v>
      </c>
    </row>
    <row r="49" spans="2:17" x14ac:dyDescent="0.3">
      <c r="B49" s="4">
        <v>1994</v>
      </c>
      <c r="C49">
        <v>6</v>
      </c>
      <c r="D49">
        <v>0.28000000000000003</v>
      </c>
      <c r="E49">
        <v>0.36</v>
      </c>
      <c r="F49">
        <v>0.4</v>
      </c>
      <c r="G49">
        <v>0.22</v>
      </c>
      <c r="H49">
        <v>0.22</v>
      </c>
      <c r="I49">
        <v>1.4</v>
      </c>
      <c r="J49">
        <v>2.1</v>
      </c>
      <c r="K49">
        <v>0.3</v>
      </c>
      <c r="L49">
        <v>0</v>
      </c>
      <c r="M49">
        <v>1.5</v>
      </c>
      <c r="N49">
        <v>2.5</v>
      </c>
      <c r="O49">
        <v>5000</v>
      </c>
      <c r="P49" s="5" t="s">
        <v>28</v>
      </c>
      <c r="Q49">
        <v>100</v>
      </c>
    </row>
    <row r="50" spans="2:17" x14ac:dyDescent="0.3">
      <c r="B50" s="4">
        <v>1995</v>
      </c>
      <c r="C50">
        <v>6</v>
      </c>
      <c r="D50">
        <v>0.28000000000000003</v>
      </c>
      <c r="E50">
        <v>0.36</v>
      </c>
      <c r="F50">
        <v>0.4</v>
      </c>
      <c r="G50">
        <v>0.22</v>
      </c>
      <c r="H50">
        <v>0.22</v>
      </c>
      <c r="I50">
        <v>1.4</v>
      </c>
      <c r="J50">
        <v>2.1</v>
      </c>
      <c r="K50">
        <v>0.3</v>
      </c>
      <c r="L50">
        <v>0</v>
      </c>
      <c r="M50">
        <v>1.5</v>
      </c>
      <c r="N50">
        <v>2.5</v>
      </c>
      <c r="O50">
        <v>5000</v>
      </c>
      <c r="P50" s="5" t="s">
        <v>28</v>
      </c>
      <c r="Q50">
        <v>100</v>
      </c>
    </row>
    <row r="51" spans="2:17" x14ac:dyDescent="0.3">
      <c r="B51" s="4">
        <v>1996</v>
      </c>
      <c r="C51">
        <v>6</v>
      </c>
      <c r="D51">
        <v>0.28000000000000003</v>
      </c>
      <c r="E51">
        <v>0.36</v>
      </c>
      <c r="F51">
        <v>0.4</v>
      </c>
      <c r="G51">
        <v>0.22</v>
      </c>
      <c r="H51">
        <v>0.22</v>
      </c>
      <c r="I51">
        <v>1.4</v>
      </c>
      <c r="J51">
        <v>2.1</v>
      </c>
      <c r="K51">
        <v>0.3</v>
      </c>
      <c r="L51">
        <v>0</v>
      </c>
      <c r="M51">
        <v>1.5</v>
      </c>
      <c r="N51">
        <v>2.5</v>
      </c>
      <c r="O51">
        <v>5000</v>
      </c>
      <c r="P51" s="5" t="s">
        <v>28</v>
      </c>
      <c r="Q51">
        <v>100</v>
      </c>
    </row>
    <row r="52" spans="2:17" x14ac:dyDescent="0.3">
      <c r="B52" s="4">
        <v>1997</v>
      </c>
      <c r="C52">
        <v>6</v>
      </c>
      <c r="D52">
        <v>0.28000000000000003</v>
      </c>
      <c r="E52">
        <v>0.36</v>
      </c>
      <c r="F52">
        <v>0.4</v>
      </c>
      <c r="G52">
        <v>0.22</v>
      </c>
      <c r="H52">
        <v>0.22</v>
      </c>
      <c r="I52">
        <v>1.4</v>
      </c>
      <c r="J52">
        <v>2.1</v>
      </c>
      <c r="K52">
        <v>0.3</v>
      </c>
      <c r="L52">
        <v>0</v>
      </c>
      <c r="M52">
        <v>1.5</v>
      </c>
      <c r="N52">
        <v>2.5</v>
      </c>
      <c r="O52">
        <v>5000</v>
      </c>
      <c r="P52" s="5" t="s">
        <v>28</v>
      </c>
      <c r="Q52">
        <v>100</v>
      </c>
    </row>
    <row r="53" spans="2:17" x14ac:dyDescent="0.3">
      <c r="B53" s="4">
        <v>1998</v>
      </c>
      <c r="C53">
        <v>6</v>
      </c>
      <c r="D53">
        <v>0.28000000000000003</v>
      </c>
      <c r="E53">
        <v>0.36</v>
      </c>
      <c r="F53">
        <v>0.4</v>
      </c>
      <c r="G53">
        <v>0.22</v>
      </c>
      <c r="H53">
        <v>0.22</v>
      </c>
      <c r="I53">
        <v>1.4</v>
      </c>
      <c r="J53">
        <v>2.1</v>
      </c>
      <c r="K53">
        <v>0.3</v>
      </c>
      <c r="L53">
        <v>0</v>
      </c>
      <c r="M53">
        <v>1.5</v>
      </c>
      <c r="N53">
        <v>2.5</v>
      </c>
      <c r="O53">
        <v>5000</v>
      </c>
      <c r="P53" s="5" t="s">
        <v>28</v>
      </c>
      <c r="Q53">
        <v>100</v>
      </c>
    </row>
    <row r="54" spans="2:17" x14ac:dyDescent="0.3">
      <c r="B54" s="4">
        <v>1999</v>
      </c>
      <c r="C54">
        <v>6</v>
      </c>
      <c r="D54">
        <v>0.28000000000000003</v>
      </c>
      <c r="E54">
        <v>0.36</v>
      </c>
      <c r="F54">
        <v>0.4</v>
      </c>
      <c r="G54">
        <v>0.22</v>
      </c>
      <c r="H54">
        <v>0.22</v>
      </c>
      <c r="I54">
        <v>1.4</v>
      </c>
      <c r="J54">
        <v>2.1</v>
      </c>
      <c r="K54">
        <v>0.3</v>
      </c>
      <c r="L54">
        <v>0</v>
      </c>
      <c r="M54">
        <v>1.5</v>
      </c>
      <c r="N54">
        <v>2.5</v>
      </c>
      <c r="O54">
        <v>5000</v>
      </c>
      <c r="P54" s="5" t="s">
        <v>28</v>
      </c>
      <c r="Q54">
        <v>100</v>
      </c>
    </row>
    <row r="55" spans="2:17" x14ac:dyDescent="0.3">
      <c r="B55" s="4">
        <v>2000</v>
      </c>
      <c r="C55">
        <v>6</v>
      </c>
      <c r="D55">
        <v>0.28000000000000003</v>
      </c>
      <c r="E55">
        <v>0.36</v>
      </c>
      <c r="F55">
        <v>0.4</v>
      </c>
      <c r="G55">
        <v>0.22</v>
      </c>
      <c r="H55">
        <v>0.22</v>
      </c>
      <c r="I55">
        <v>1.4</v>
      </c>
      <c r="J55">
        <v>2.1</v>
      </c>
      <c r="K55">
        <v>0.3</v>
      </c>
      <c r="L55">
        <v>0</v>
      </c>
      <c r="M55">
        <v>1.5</v>
      </c>
      <c r="N55">
        <v>2.5</v>
      </c>
      <c r="O55">
        <v>5000</v>
      </c>
      <c r="P55" s="5" t="s">
        <v>28</v>
      </c>
      <c r="Q55">
        <v>100</v>
      </c>
    </row>
    <row r="56" spans="2:17" x14ac:dyDescent="0.3">
      <c r="B56" s="4">
        <v>2001</v>
      </c>
      <c r="C56">
        <v>6</v>
      </c>
      <c r="D56">
        <v>0.28000000000000003</v>
      </c>
      <c r="E56">
        <v>0.36</v>
      </c>
      <c r="F56">
        <v>0.4</v>
      </c>
      <c r="G56">
        <v>0.22</v>
      </c>
      <c r="H56">
        <v>0.22</v>
      </c>
      <c r="I56">
        <v>1.4</v>
      </c>
      <c r="J56">
        <v>2.1</v>
      </c>
      <c r="K56">
        <v>0.3</v>
      </c>
      <c r="L56">
        <v>0</v>
      </c>
      <c r="M56">
        <v>1.5</v>
      </c>
      <c r="N56">
        <v>2.5</v>
      </c>
      <c r="O56">
        <v>5000</v>
      </c>
      <c r="P56" s="5" t="s">
        <v>28</v>
      </c>
      <c r="Q56">
        <v>100</v>
      </c>
    </row>
    <row r="57" spans="2:17" x14ac:dyDescent="0.3">
      <c r="B57" s="4">
        <v>2002</v>
      </c>
      <c r="C57">
        <v>6</v>
      </c>
      <c r="D57">
        <v>0.28000000000000003</v>
      </c>
      <c r="E57">
        <v>0.36</v>
      </c>
      <c r="F57">
        <v>0.4</v>
      </c>
      <c r="G57">
        <v>0.22</v>
      </c>
      <c r="H57">
        <v>0.22</v>
      </c>
      <c r="I57">
        <v>1.4</v>
      </c>
      <c r="J57">
        <v>2.1</v>
      </c>
      <c r="K57">
        <v>0.3</v>
      </c>
      <c r="L57">
        <v>0</v>
      </c>
      <c r="M57">
        <v>1.5</v>
      </c>
      <c r="N57">
        <v>2.5</v>
      </c>
      <c r="O57">
        <v>5000</v>
      </c>
      <c r="P57" s="5" t="s">
        <v>28</v>
      </c>
      <c r="Q57">
        <v>100</v>
      </c>
    </row>
    <row r="58" spans="2:17" x14ac:dyDescent="0.3">
      <c r="B58" s="4">
        <v>2003</v>
      </c>
      <c r="C58">
        <v>4</v>
      </c>
      <c r="D58">
        <v>0.25</v>
      </c>
      <c r="E58">
        <v>0.25</v>
      </c>
      <c r="F58">
        <v>0.2</v>
      </c>
      <c r="G58">
        <v>0.16</v>
      </c>
      <c r="H58">
        <v>0.16</v>
      </c>
      <c r="I58">
        <v>1.4</v>
      </c>
      <c r="J58">
        <v>2.1</v>
      </c>
      <c r="K58">
        <v>0.3</v>
      </c>
      <c r="L58">
        <v>0</v>
      </c>
      <c r="M58">
        <v>1.5</v>
      </c>
      <c r="N58">
        <v>2.5</v>
      </c>
      <c r="O58">
        <v>3000</v>
      </c>
      <c r="P58" s="5" t="s">
        <v>29</v>
      </c>
      <c r="Q58">
        <v>100</v>
      </c>
    </row>
    <row r="59" spans="2:17" x14ac:dyDescent="0.3">
      <c r="B59" s="4">
        <v>2004</v>
      </c>
      <c r="C59">
        <v>4</v>
      </c>
      <c r="D59">
        <v>0.25</v>
      </c>
      <c r="E59">
        <v>0.25</v>
      </c>
      <c r="F59">
        <v>0.2</v>
      </c>
      <c r="G59">
        <v>0.16</v>
      </c>
      <c r="H59">
        <v>0.16</v>
      </c>
      <c r="I59">
        <v>1.4</v>
      </c>
      <c r="J59">
        <v>2.1</v>
      </c>
      <c r="K59">
        <v>0.3</v>
      </c>
      <c r="L59">
        <v>0</v>
      </c>
      <c r="M59">
        <v>1.5</v>
      </c>
      <c r="N59">
        <v>2.5</v>
      </c>
      <c r="O59">
        <v>3000</v>
      </c>
      <c r="P59" s="5" t="s">
        <v>29</v>
      </c>
      <c r="Q59">
        <v>100</v>
      </c>
    </row>
    <row r="60" spans="2:17" x14ac:dyDescent="0.3">
      <c r="B60" s="4">
        <v>2005</v>
      </c>
      <c r="C60">
        <v>4</v>
      </c>
      <c r="D60">
        <v>0.25</v>
      </c>
      <c r="E60">
        <v>0.25</v>
      </c>
      <c r="F60">
        <v>0.2</v>
      </c>
      <c r="G60">
        <v>0.16</v>
      </c>
      <c r="H60">
        <v>0.16</v>
      </c>
      <c r="I60">
        <v>1.4</v>
      </c>
      <c r="J60">
        <v>2.1</v>
      </c>
      <c r="K60">
        <v>0.3</v>
      </c>
      <c r="L60">
        <v>0</v>
      </c>
      <c r="M60">
        <v>1.5</v>
      </c>
      <c r="N60">
        <v>2.5</v>
      </c>
      <c r="O60">
        <v>3000</v>
      </c>
      <c r="P60" s="5" t="s">
        <v>29</v>
      </c>
      <c r="Q60">
        <v>100</v>
      </c>
    </row>
    <row r="61" spans="2:17" x14ac:dyDescent="0.3">
      <c r="B61" s="4">
        <v>2006</v>
      </c>
      <c r="C61">
        <v>4</v>
      </c>
      <c r="D61">
        <v>0.25</v>
      </c>
      <c r="E61">
        <v>0.25</v>
      </c>
      <c r="F61">
        <v>0.2</v>
      </c>
      <c r="G61">
        <v>0.16</v>
      </c>
      <c r="H61">
        <v>0.16</v>
      </c>
      <c r="I61">
        <v>1.4</v>
      </c>
      <c r="J61">
        <v>2.1</v>
      </c>
      <c r="K61">
        <v>0.3</v>
      </c>
      <c r="L61">
        <v>0</v>
      </c>
      <c r="M61">
        <v>1.5</v>
      </c>
      <c r="N61">
        <v>2.5</v>
      </c>
      <c r="O61">
        <v>3000</v>
      </c>
      <c r="P61" s="5" t="s">
        <v>29</v>
      </c>
      <c r="Q61">
        <v>100</v>
      </c>
    </row>
    <row r="62" spans="2:17" x14ac:dyDescent="0.3">
      <c r="B62" s="4">
        <v>2007</v>
      </c>
      <c r="C62">
        <v>4</v>
      </c>
      <c r="D62">
        <v>0.25</v>
      </c>
      <c r="E62">
        <v>0.25</v>
      </c>
      <c r="F62">
        <v>0.2</v>
      </c>
      <c r="G62">
        <v>0.16</v>
      </c>
      <c r="H62">
        <v>0.16</v>
      </c>
      <c r="I62">
        <v>1.4</v>
      </c>
      <c r="J62">
        <v>2.1</v>
      </c>
      <c r="K62">
        <v>0.3</v>
      </c>
      <c r="L62">
        <v>0</v>
      </c>
      <c r="M62">
        <v>1.5</v>
      </c>
      <c r="N62">
        <v>2.5</v>
      </c>
      <c r="O62">
        <v>3000</v>
      </c>
      <c r="P62" s="5" t="s">
        <v>29</v>
      </c>
      <c r="Q62">
        <v>100</v>
      </c>
    </row>
    <row r="63" spans="2:17" x14ac:dyDescent="0.3">
      <c r="B63" s="4">
        <v>2008</v>
      </c>
      <c r="C63">
        <v>4</v>
      </c>
      <c r="D63">
        <v>0.24</v>
      </c>
      <c r="E63">
        <v>0.24</v>
      </c>
      <c r="F63">
        <v>0.2</v>
      </c>
      <c r="G63">
        <v>0.16</v>
      </c>
      <c r="H63">
        <v>0.15</v>
      </c>
      <c r="I63">
        <v>1.4</v>
      </c>
      <c r="J63">
        <v>2.1</v>
      </c>
      <c r="K63">
        <v>0.3</v>
      </c>
      <c r="L63">
        <v>0</v>
      </c>
      <c r="M63">
        <v>1.5</v>
      </c>
      <c r="N63">
        <v>2.5</v>
      </c>
      <c r="O63">
        <v>3000</v>
      </c>
      <c r="P63" s="5" t="s">
        <v>29</v>
      </c>
      <c r="Q63">
        <v>100</v>
      </c>
    </row>
    <row r="64" spans="2:17" x14ac:dyDescent="0.3">
      <c r="B64" s="4">
        <v>2009</v>
      </c>
      <c r="C64">
        <v>4</v>
      </c>
      <c r="D64">
        <v>0.24</v>
      </c>
      <c r="E64">
        <v>0.24</v>
      </c>
      <c r="F64">
        <v>0.2</v>
      </c>
      <c r="G64">
        <v>0.16</v>
      </c>
      <c r="H64">
        <v>0.15</v>
      </c>
      <c r="I64">
        <v>1.4</v>
      </c>
      <c r="J64">
        <v>2.1</v>
      </c>
      <c r="K64">
        <v>0.3</v>
      </c>
      <c r="L64">
        <v>0</v>
      </c>
      <c r="M64">
        <v>1.5</v>
      </c>
      <c r="N64">
        <v>2.5</v>
      </c>
      <c r="O64">
        <v>3000</v>
      </c>
      <c r="P64" s="5" t="s">
        <v>29</v>
      </c>
      <c r="Q64">
        <v>100</v>
      </c>
    </row>
    <row r="65" spans="2:21" x14ac:dyDescent="0.3">
      <c r="B65" s="4">
        <v>2010</v>
      </c>
      <c r="C65">
        <v>4</v>
      </c>
      <c r="D65">
        <v>0.17</v>
      </c>
      <c r="E65">
        <v>0.16</v>
      </c>
      <c r="F65">
        <v>0.17</v>
      </c>
      <c r="G65">
        <v>0.09</v>
      </c>
      <c r="H65">
        <v>0.09</v>
      </c>
      <c r="I65">
        <v>1</v>
      </c>
      <c r="J65">
        <v>1</v>
      </c>
      <c r="K65">
        <v>0.45</v>
      </c>
      <c r="L65">
        <v>0</v>
      </c>
      <c r="M65">
        <v>1.5</v>
      </c>
      <c r="N65">
        <v>2.5</v>
      </c>
      <c r="O65">
        <v>3000</v>
      </c>
      <c r="P65" s="5" t="s">
        <v>29</v>
      </c>
      <c r="Q65">
        <v>100</v>
      </c>
    </row>
    <row r="66" spans="2:21" x14ac:dyDescent="0.3">
      <c r="B66" s="4">
        <v>2011</v>
      </c>
      <c r="C66">
        <v>4</v>
      </c>
      <c r="D66">
        <v>0.17</v>
      </c>
      <c r="E66">
        <v>0.16</v>
      </c>
      <c r="F66">
        <v>0.17</v>
      </c>
      <c r="G66">
        <v>0.09</v>
      </c>
      <c r="H66">
        <v>0.09</v>
      </c>
      <c r="I66">
        <v>1</v>
      </c>
      <c r="J66">
        <v>1</v>
      </c>
      <c r="K66">
        <v>0.45</v>
      </c>
      <c r="L66">
        <v>0</v>
      </c>
      <c r="M66">
        <v>1.5</v>
      </c>
      <c r="N66">
        <v>2.5</v>
      </c>
      <c r="O66">
        <v>3000</v>
      </c>
      <c r="P66" s="5" t="s">
        <v>29</v>
      </c>
      <c r="Q66">
        <v>100</v>
      </c>
    </row>
    <row r="67" spans="2:21" x14ac:dyDescent="0.3">
      <c r="B67" s="4">
        <v>2012</v>
      </c>
      <c r="C67">
        <v>4</v>
      </c>
      <c r="D67">
        <v>0.17</v>
      </c>
      <c r="E67">
        <v>0.16</v>
      </c>
      <c r="F67">
        <v>0.17</v>
      </c>
      <c r="G67">
        <v>0.09</v>
      </c>
      <c r="H67">
        <v>0.09</v>
      </c>
      <c r="I67">
        <v>1</v>
      </c>
      <c r="J67">
        <v>1</v>
      </c>
      <c r="K67">
        <v>0.45</v>
      </c>
      <c r="L67">
        <v>0</v>
      </c>
      <c r="M67">
        <v>1</v>
      </c>
      <c r="N67">
        <v>2</v>
      </c>
      <c r="O67">
        <v>3000</v>
      </c>
      <c r="P67" s="5" t="s">
        <v>29</v>
      </c>
      <c r="Q67">
        <v>100</v>
      </c>
    </row>
    <row r="68" spans="2:21" x14ac:dyDescent="0.3">
      <c r="B68" s="4">
        <v>2013</v>
      </c>
      <c r="C68">
        <v>4</v>
      </c>
      <c r="D68">
        <v>0.17</v>
      </c>
      <c r="E68">
        <v>0.16</v>
      </c>
      <c r="F68">
        <v>0.17</v>
      </c>
      <c r="G68">
        <v>0.09</v>
      </c>
      <c r="H68">
        <v>0.09</v>
      </c>
      <c r="I68">
        <v>1</v>
      </c>
      <c r="J68">
        <v>1</v>
      </c>
      <c r="K68">
        <v>0.45</v>
      </c>
      <c r="L68">
        <v>0</v>
      </c>
      <c r="M68">
        <v>1</v>
      </c>
      <c r="N68">
        <v>2</v>
      </c>
      <c r="O68">
        <v>3000</v>
      </c>
      <c r="P68" s="5" t="s">
        <v>29</v>
      </c>
      <c r="Q68">
        <v>100</v>
      </c>
    </row>
    <row r="69" spans="2:21" x14ac:dyDescent="0.3">
      <c r="B69" s="4">
        <v>2014</v>
      </c>
      <c r="C69">
        <v>4</v>
      </c>
      <c r="D69">
        <v>0.17</v>
      </c>
      <c r="E69">
        <v>0.16</v>
      </c>
      <c r="F69">
        <v>0.17</v>
      </c>
      <c r="G69">
        <v>0.09</v>
      </c>
      <c r="H69">
        <v>0.09</v>
      </c>
      <c r="I69">
        <v>1</v>
      </c>
      <c r="J69">
        <v>1</v>
      </c>
      <c r="K69">
        <v>0.45</v>
      </c>
      <c r="L69">
        <v>0</v>
      </c>
      <c r="M69">
        <v>1</v>
      </c>
      <c r="N69">
        <v>2</v>
      </c>
      <c r="O69">
        <v>3000</v>
      </c>
      <c r="P69" s="5" t="s">
        <v>29</v>
      </c>
      <c r="Q69">
        <v>100</v>
      </c>
    </row>
    <row r="70" spans="2:21" x14ac:dyDescent="0.3">
      <c r="B70" s="4">
        <v>2015</v>
      </c>
      <c r="C70">
        <v>4</v>
      </c>
      <c r="D70">
        <v>0.17</v>
      </c>
      <c r="E70">
        <v>0.16</v>
      </c>
      <c r="F70">
        <v>0.17</v>
      </c>
      <c r="G70">
        <v>0.09</v>
      </c>
      <c r="H70">
        <v>0.09</v>
      </c>
      <c r="I70">
        <v>1</v>
      </c>
      <c r="J70">
        <v>1</v>
      </c>
      <c r="K70">
        <v>0.45</v>
      </c>
      <c r="L70">
        <v>0</v>
      </c>
      <c r="M70">
        <v>1</v>
      </c>
      <c r="N70">
        <v>2</v>
      </c>
      <c r="O70">
        <v>3000</v>
      </c>
      <c r="P70" s="5" t="s">
        <v>29</v>
      </c>
      <c r="Q70">
        <v>100</v>
      </c>
    </row>
    <row r="71" spans="2:21" x14ac:dyDescent="0.3">
      <c r="B71" s="4">
        <v>2016</v>
      </c>
      <c r="C71">
        <v>4</v>
      </c>
      <c r="D71">
        <v>0.17</v>
      </c>
      <c r="E71">
        <v>0.16</v>
      </c>
      <c r="F71">
        <v>0.17</v>
      </c>
      <c r="G71">
        <v>0.09</v>
      </c>
      <c r="H71">
        <v>0.09</v>
      </c>
      <c r="I71">
        <v>1</v>
      </c>
      <c r="J71">
        <v>1</v>
      </c>
      <c r="K71">
        <v>0.45</v>
      </c>
      <c r="L71">
        <v>0</v>
      </c>
      <c r="M71">
        <v>1</v>
      </c>
      <c r="N71">
        <v>2</v>
      </c>
      <c r="O71">
        <v>3000</v>
      </c>
      <c r="P71" s="5" t="s">
        <v>29</v>
      </c>
      <c r="Q71">
        <v>100</v>
      </c>
    </row>
    <row r="72" spans="2:21" x14ac:dyDescent="0.3">
      <c r="B72" s="4">
        <v>2017</v>
      </c>
      <c r="C72">
        <v>4</v>
      </c>
      <c r="D72">
        <v>0.17</v>
      </c>
      <c r="E72">
        <v>0.16</v>
      </c>
      <c r="F72">
        <v>0.17</v>
      </c>
      <c r="G72">
        <v>0.09</v>
      </c>
      <c r="H72">
        <v>0.09</v>
      </c>
      <c r="I72">
        <v>1</v>
      </c>
      <c r="J72">
        <v>1</v>
      </c>
      <c r="K72">
        <v>0.45</v>
      </c>
      <c r="L72">
        <v>0</v>
      </c>
      <c r="M72">
        <v>1</v>
      </c>
      <c r="N72">
        <v>2</v>
      </c>
      <c r="O72">
        <v>3000</v>
      </c>
      <c r="P72" s="5" t="s">
        <v>29</v>
      </c>
      <c r="Q72">
        <v>100</v>
      </c>
    </row>
    <row r="73" spans="2:21" ht="15" thickBot="1" x14ac:dyDescent="0.35">
      <c r="B73" s="6">
        <v>2018</v>
      </c>
      <c r="C73" s="7">
        <v>4</v>
      </c>
      <c r="D73" s="7">
        <v>0.17</v>
      </c>
      <c r="E73" s="7">
        <v>0.16</v>
      </c>
      <c r="F73" s="7">
        <v>0.17</v>
      </c>
      <c r="G73" s="7">
        <v>0.09</v>
      </c>
      <c r="H73" s="7">
        <v>0.09</v>
      </c>
      <c r="I73" s="7">
        <v>1</v>
      </c>
      <c r="J73" s="7">
        <v>1</v>
      </c>
      <c r="K73" s="7">
        <v>0.55000000000000004</v>
      </c>
      <c r="L73" s="7">
        <v>0</v>
      </c>
      <c r="M73" s="7">
        <v>0.9</v>
      </c>
      <c r="N73" s="7">
        <v>1.8</v>
      </c>
      <c r="O73" s="7">
        <v>3000</v>
      </c>
      <c r="P73" s="8" t="s">
        <v>29</v>
      </c>
      <c r="Q73">
        <v>100</v>
      </c>
    </row>
    <row r="75" spans="2:21" ht="15" thickBot="1" x14ac:dyDescent="0.35">
      <c r="C75">
        <v>2</v>
      </c>
      <c r="D75">
        <v>3</v>
      </c>
      <c r="E75">
        <v>4</v>
      </c>
      <c r="F75">
        <v>5</v>
      </c>
      <c r="G75">
        <v>6</v>
      </c>
      <c r="H75">
        <v>7</v>
      </c>
      <c r="I75">
        <v>8</v>
      </c>
      <c r="J75">
        <v>9</v>
      </c>
      <c r="K75">
        <v>10</v>
      </c>
      <c r="L75">
        <v>11</v>
      </c>
      <c r="M75">
        <v>12</v>
      </c>
      <c r="N75">
        <v>13</v>
      </c>
      <c r="O75">
        <v>14</v>
      </c>
      <c r="P75">
        <v>15</v>
      </c>
      <c r="Q75">
        <v>16</v>
      </c>
      <c r="R75">
        <v>17</v>
      </c>
      <c r="S75">
        <v>18</v>
      </c>
      <c r="T75">
        <v>19</v>
      </c>
      <c r="U75">
        <v>20</v>
      </c>
    </row>
    <row r="76" spans="2:21" x14ac:dyDescent="0.3">
      <c r="B76" s="1" t="s">
        <v>33</v>
      </c>
      <c r="C76" s="2"/>
      <c r="D76" s="2"/>
      <c r="E76" s="2"/>
      <c r="F76" s="2"/>
      <c r="G76" s="2"/>
      <c r="H76" s="2"/>
      <c r="I76" s="2" t="s">
        <v>34</v>
      </c>
      <c r="J76" s="2" t="s">
        <v>35</v>
      </c>
      <c r="K76" s="2"/>
      <c r="L76" s="2"/>
      <c r="M76" s="2"/>
      <c r="N76" s="2"/>
      <c r="O76" s="2"/>
      <c r="P76" s="2"/>
      <c r="Q76" s="2"/>
      <c r="R76" s="2"/>
      <c r="S76" s="2"/>
      <c r="T76" s="2"/>
      <c r="U76" s="3"/>
    </row>
    <row r="77" spans="2:21" x14ac:dyDescent="0.3">
      <c r="B77" s="4"/>
      <c r="C77" t="s">
        <v>36</v>
      </c>
      <c r="D77" t="s">
        <v>37</v>
      </c>
      <c r="E77" t="s">
        <v>38</v>
      </c>
      <c r="F77" t="s">
        <v>39</v>
      </c>
      <c r="G77" t="s">
        <v>40</v>
      </c>
      <c r="H77" t="s">
        <v>41</v>
      </c>
      <c r="I77" t="s">
        <v>42</v>
      </c>
      <c r="J77" t="s">
        <v>43</v>
      </c>
      <c r="K77" t="s">
        <v>44</v>
      </c>
      <c r="P77" t="s">
        <v>45</v>
      </c>
      <c r="Q77" t="s">
        <v>46</v>
      </c>
      <c r="U77" s="5"/>
    </row>
    <row r="78" spans="2:21" x14ac:dyDescent="0.3">
      <c r="B78" s="4"/>
      <c r="C78" t="s">
        <v>47</v>
      </c>
      <c r="D78" t="s">
        <v>48</v>
      </c>
      <c r="E78" t="s">
        <v>48</v>
      </c>
      <c r="G78" t="s">
        <v>49</v>
      </c>
      <c r="I78" t="s">
        <v>50</v>
      </c>
      <c r="J78" t="s">
        <v>51</v>
      </c>
      <c r="K78" t="s">
        <v>52</v>
      </c>
      <c r="L78" t="s">
        <v>53</v>
      </c>
      <c r="M78" t="s">
        <v>54</v>
      </c>
      <c r="N78" t="s">
        <v>55</v>
      </c>
      <c r="O78" t="s">
        <v>56</v>
      </c>
      <c r="Q78" t="s">
        <v>57</v>
      </c>
      <c r="R78" t="s">
        <v>58</v>
      </c>
      <c r="S78" t="s">
        <v>59</v>
      </c>
      <c r="T78" t="s">
        <v>60</v>
      </c>
      <c r="U78" s="5" t="s">
        <v>61</v>
      </c>
    </row>
    <row r="79" spans="2:21" x14ac:dyDescent="0.3">
      <c r="B79" s="4" t="s">
        <v>62</v>
      </c>
      <c r="C79">
        <v>0.4</v>
      </c>
      <c r="D79">
        <v>21</v>
      </c>
      <c r="E79">
        <v>27</v>
      </c>
      <c r="F79">
        <v>70</v>
      </c>
      <c r="G79">
        <v>35</v>
      </c>
      <c r="H79" t="s">
        <v>63</v>
      </c>
      <c r="I79">
        <v>24</v>
      </c>
      <c r="J79">
        <v>7</v>
      </c>
      <c r="K79">
        <v>0.6</v>
      </c>
      <c r="L79">
        <v>6</v>
      </c>
      <c r="M79">
        <v>3</v>
      </c>
      <c r="N79">
        <v>2</v>
      </c>
      <c r="O79">
        <v>0.1</v>
      </c>
      <c r="P79">
        <v>0.96</v>
      </c>
      <c r="Q79">
        <v>0.75</v>
      </c>
      <c r="R79">
        <v>0.85</v>
      </c>
      <c r="S79">
        <v>0.89</v>
      </c>
      <c r="T79">
        <v>0.92</v>
      </c>
      <c r="U79" s="5">
        <v>0.2</v>
      </c>
    </row>
    <row r="80" spans="2:21" x14ac:dyDescent="0.3">
      <c r="B80" s="4" t="s">
        <v>64</v>
      </c>
      <c r="C80">
        <v>0.5</v>
      </c>
      <c r="D80">
        <v>21</v>
      </c>
      <c r="E80">
        <v>27</v>
      </c>
      <c r="F80">
        <v>160</v>
      </c>
      <c r="G80">
        <v>35</v>
      </c>
      <c r="H80" t="s">
        <v>63</v>
      </c>
      <c r="I80">
        <v>24</v>
      </c>
      <c r="J80">
        <v>7</v>
      </c>
      <c r="K80">
        <v>0.6</v>
      </c>
      <c r="L80">
        <v>9</v>
      </c>
      <c r="M80">
        <v>4</v>
      </c>
      <c r="N80">
        <v>3</v>
      </c>
      <c r="O80">
        <v>0.1</v>
      </c>
      <c r="P80">
        <v>0.97</v>
      </c>
      <c r="Q80">
        <v>0.76</v>
      </c>
      <c r="R80">
        <v>0.86</v>
      </c>
      <c r="S80">
        <v>0.9</v>
      </c>
      <c r="T80">
        <v>0.94</v>
      </c>
      <c r="U80" s="5">
        <v>0.2</v>
      </c>
    </row>
    <row r="81" spans="2:21" x14ac:dyDescent="0.3">
      <c r="B81" s="4" t="s">
        <v>65</v>
      </c>
      <c r="C81">
        <v>2</v>
      </c>
      <c r="D81">
        <v>21</v>
      </c>
      <c r="E81">
        <v>25</v>
      </c>
      <c r="F81">
        <v>110</v>
      </c>
      <c r="G81">
        <v>6</v>
      </c>
      <c r="H81" t="s">
        <v>66</v>
      </c>
      <c r="I81">
        <v>11</v>
      </c>
      <c r="J81">
        <v>5</v>
      </c>
      <c r="K81">
        <v>0.65</v>
      </c>
      <c r="L81">
        <v>10</v>
      </c>
      <c r="M81">
        <v>12</v>
      </c>
      <c r="N81">
        <v>5</v>
      </c>
      <c r="P81">
        <v>0.88</v>
      </c>
      <c r="Q81">
        <v>0.69</v>
      </c>
      <c r="R81">
        <v>0.78</v>
      </c>
      <c r="S81">
        <v>0.82</v>
      </c>
      <c r="T81">
        <v>0.85</v>
      </c>
      <c r="U81" s="5">
        <v>0.06</v>
      </c>
    </row>
    <row r="82" spans="2:21" x14ac:dyDescent="0.3">
      <c r="B82" s="4" t="s">
        <v>67</v>
      </c>
      <c r="C82">
        <v>2</v>
      </c>
      <c r="D82">
        <v>18</v>
      </c>
      <c r="E82">
        <v>25</v>
      </c>
      <c r="F82">
        <v>110</v>
      </c>
      <c r="G82">
        <v>4</v>
      </c>
      <c r="H82" t="s">
        <v>68</v>
      </c>
      <c r="I82">
        <v>13</v>
      </c>
      <c r="J82">
        <v>6</v>
      </c>
      <c r="K82">
        <v>1</v>
      </c>
      <c r="L82">
        <v>19</v>
      </c>
      <c r="M82">
        <v>1</v>
      </c>
      <c r="N82">
        <v>2</v>
      </c>
      <c r="P82">
        <v>0.87</v>
      </c>
      <c r="Q82">
        <v>0.68</v>
      </c>
      <c r="R82">
        <v>0.77</v>
      </c>
      <c r="S82">
        <v>0.81</v>
      </c>
      <c r="T82">
        <v>0.84</v>
      </c>
      <c r="U82" s="5">
        <v>0.06</v>
      </c>
    </row>
    <row r="83" spans="2:21" x14ac:dyDescent="0.3">
      <c r="B83" s="4" t="s">
        <v>69</v>
      </c>
      <c r="C83">
        <v>2</v>
      </c>
      <c r="D83">
        <v>21</v>
      </c>
      <c r="E83">
        <v>25</v>
      </c>
      <c r="F83">
        <v>110</v>
      </c>
      <c r="G83">
        <v>40</v>
      </c>
      <c r="H83" t="s">
        <v>63</v>
      </c>
      <c r="I83">
        <v>24</v>
      </c>
      <c r="J83">
        <v>7</v>
      </c>
      <c r="K83">
        <v>0.3</v>
      </c>
      <c r="L83">
        <v>11</v>
      </c>
      <c r="M83">
        <v>4</v>
      </c>
      <c r="N83">
        <v>4</v>
      </c>
      <c r="P83">
        <v>0.97</v>
      </c>
      <c r="Q83">
        <v>0.76</v>
      </c>
      <c r="R83">
        <v>0.86</v>
      </c>
      <c r="S83">
        <v>0.9</v>
      </c>
      <c r="T83">
        <v>0.94</v>
      </c>
      <c r="U83" s="5">
        <v>0.25</v>
      </c>
    </row>
    <row r="84" spans="2:21" x14ac:dyDescent="0.3">
      <c r="B84" s="4" t="s">
        <v>70</v>
      </c>
      <c r="C84">
        <v>3</v>
      </c>
      <c r="D84">
        <v>21</v>
      </c>
      <c r="E84">
        <v>25</v>
      </c>
      <c r="F84">
        <v>110</v>
      </c>
      <c r="G84">
        <v>11</v>
      </c>
      <c r="H84" t="s">
        <v>71</v>
      </c>
      <c r="I84">
        <v>8</v>
      </c>
      <c r="J84">
        <v>5</v>
      </c>
      <c r="K84">
        <v>0.6</v>
      </c>
      <c r="L84">
        <v>14</v>
      </c>
      <c r="M84">
        <v>8</v>
      </c>
      <c r="N84">
        <v>14</v>
      </c>
      <c r="P84">
        <v>0.89</v>
      </c>
      <c r="Q84">
        <v>0.7</v>
      </c>
      <c r="R84">
        <v>0.79</v>
      </c>
      <c r="S84">
        <v>0.83</v>
      </c>
      <c r="T84">
        <v>0.86</v>
      </c>
      <c r="U84" s="5">
        <v>0.2</v>
      </c>
    </row>
    <row r="85" spans="2:21" x14ac:dyDescent="0.3">
      <c r="B85" s="4" t="s">
        <v>72</v>
      </c>
      <c r="C85">
        <v>2</v>
      </c>
      <c r="D85">
        <v>18</v>
      </c>
      <c r="E85">
        <v>25</v>
      </c>
      <c r="F85">
        <v>110</v>
      </c>
      <c r="G85">
        <v>20</v>
      </c>
      <c r="H85" t="s">
        <v>73</v>
      </c>
      <c r="I85">
        <v>14</v>
      </c>
      <c r="J85">
        <v>7</v>
      </c>
      <c r="K85">
        <v>0.5</v>
      </c>
      <c r="L85">
        <v>10</v>
      </c>
      <c r="M85">
        <v>0</v>
      </c>
      <c r="N85">
        <v>5</v>
      </c>
      <c r="P85">
        <v>0.98</v>
      </c>
      <c r="Q85">
        <v>0.77</v>
      </c>
      <c r="R85">
        <v>0.87</v>
      </c>
      <c r="S85">
        <v>0.91</v>
      </c>
      <c r="T85">
        <v>0.95</v>
      </c>
      <c r="U85" s="5">
        <v>0.06</v>
      </c>
    </row>
    <row r="86" spans="2:21" x14ac:dyDescent="0.3">
      <c r="B86" s="4" t="s">
        <v>74</v>
      </c>
      <c r="C86">
        <v>4</v>
      </c>
      <c r="D86">
        <v>22</v>
      </c>
      <c r="E86">
        <v>25</v>
      </c>
      <c r="F86">
        <v>110</v>
      </c>
      <c r="G86">
        <v>30</v>
      </c>
      <c r="H86" t="s">
        <v>63</v>
      </c>
      <c r="I86">
        <v>24</v>
      </c>
      <c r="J86">
        <v>7</v>
      </c>
      <c r="K86">
        <v>0.6</v>
      </c>
      <c r="L86">
        <v>7</v>
      </c>
      <c r="M86">
        <v>9</v>
      </c>
      <c r="N86">
        <v>8</v>
      </c>
      <c r="P86">
        <v>0.94</v>
      </c>
      <c r="Q86">
        <v>0.74</v>
      </c>
      <c r="R86">
        <v>0.84</v>
      </c>
      <c r="S86">
        <v>0.88</v>
      </c>
      <c r="T86">
        <v>0.91</v>
      </c>
      <c r="U86" s="5">
        <v>0.25</v>
      </c>
    </row>
    <row r="87" spans="2:21" ht="15" thickBot="1" x14ac:dyDescent="0.35">
      <c r="B87" s="6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8"/>
    </row>
    <row r="90" spans="2:21" ht="15" thickBot="1" x14ac:dyDescent="0.35">
      <c r="C90">
        <v>2</v>
      </c>
      <c r="D90">
        <v>3</v>
      </c>
      <c r="E90">
        <v>4</v>
      </c>
      <c r="F90">
        <v>5</v>
      </c>
      <c r="G90">
        <v>6</v>
      </c>
      <c r="I90" t="s">
        <v>625</v>
      </c>
      <c r="J90" t="s">
        <v>626</v>
      </c>
    </row>
    <row r="91" spans="2:21" x14ac:dyDescent="0.3">
      <c r="B91" s="1" t="s">
        <v>75</v>
      </c>
      <c r="C91" s="2"/>
      <c r="D91" s="2" t="s">
        <v>76</v>
      </c>
      <c r="E91" s="2" t="s">
        <v>76</v>
      </c>
      <c r="F91" s="2" t="s">
        <v>76</v>
      </c>
      <c r="G91" s="2" t="s">
        <v>76</v>
      </c>
      <c r="H91" s="3"/>
      <c r="I91">
        <v>0.7</v>
      </c>
      <c r="J91">
        <v>0.5</v>
      </c>
    </row>
    <row r="92" spans="2:21" x14ac:dyDescent="0.3">
      <c r="B92" s="4" t="s">
        <v>77</v>
      </c>
      <c r="C92" t="s">
        <v>78</v>
      </c>
      <c r="D92">
        <v>1</v>
      </c>
      <c r="E92">
        <v>2</v>
      </c>
      <c r="F92">
        <v>3</v>
      </c>
      <c r="G92">
        <v>4</v>
      </c>
      <c r="H92" s="5"/>
    </row>
    <row r="93" spans="2:21" ht="15" thickBot="1" x14ac:dyDescent="0.35">
      <c r="B93" s="4" t="s">
        <v>79</v>
      </c>
      <c r="C93">
        <v>744</v>
      </c>
      <c r="D93">
        <v>-3.97</v>
      </c>
      <c r="E93">
        <v>-3.97</v>
      </c>
      <c r="F93">
        <v>-8</v>
      </c>
      <c r="G93">
        <v>-13.06</v>
      </c>
      <c r="H93" s="5"/>
    </row>
    <row r="94" spans="2:21" x14ac:dyDescent="0.3">
      <c r="B94" s="4" t="s">
        <v>80</v>
      </c>
      <c r="C94">
        <v>672</v>
      </c>
      <c r="D94">
        <v>-4.5</v>
      </c>
      <c r="E94">
        <v>-4.5</v>
      </c>
      <c r="F94">
        <v>-7.1</v>
      </c>
      <c r="G94">
        <v>-12.62</v>
      </c>
      <c r="H94" s="5"/>
      <c r="I94" s="1" t="s">
        <v>81</v>
      </c>
      <c r="J94" s="3"/>
    </row>
    <row r="95" spans="2:21" x14ac:dyDescent="0.3">
      <c r="B95" s="4" t="s">
        <v>82</v>
      </c>
      <c r="C95">
        <v>744</v>
      </c>
      <c r="D95">
        <v>-2.58</v>
      </c>
      <c r="E95">
        <v>-2.58</v>
      </c>
      <c r="F95">
        <v>-3.53</v>
      </c>
      <c r="G95">
        <v>-6.88</v>
      </c>
      <c r="H95" s="5"/>
      <c r="I95" s="4">
        <v>1</v>
      </c>
      <c r="J95" s="5">
        <f>D106</f>
        <v>-26</v>
      </c>
    </row>
    <row r="96" spans="2:21" x14ac:dyDescent="0.3">
      <c r="B96" s="4" t="s">
        <v>83</v>
      </c>
      <c r="C96">
        <v>720</v>
      </c>
      <c r="D96">
        <v>4.5</v>
      </c>
      <c r="E96">
        <v>4.5</v>
      </c>
      <c r="F96">
        <v>2.42</v>
      </c>
      <c r="G96">
        <v>-1.56</v>
      </c>
      <c r="H96" s="5"/>
      <c r="I96" s="4">
        <v>2</v>
      </c>
      <c r="J96" s="5">
        <f>E106</f>
        <v>-29</v>
      </c>
    </row>
    <row r="97" spans="2:10" x14ac:dyDescent="0.3">
      <c r="B97" s="4" t="s">
        <v>84</v>
      </c>
      <c r="C97">
        <v>744</v>
      </c>
      <c r="D97">
        <v>10.76</v>
      </c>
      <c r="E97">
        <v>10.76</v>
      </c>
      <c r="F97">
        <v>8.84</v>
      </c>
      <c r="G97">
        <v>5.4</v>
      </c>
      <c r="H97" s="5"/>
      <c r="I97" s="4">
        <v>3</v>
      </c>
      <c r="J97" s="5">
        <f>F106</f>
        <v>-32</v>
      </c>
    </row>
    <row r="98" spans="2:10" ht="15" thickBot="1" x14ac:dyDescent="0.35">
      <c r="B98" s="4" t="s">
        <v>85</v>
      </c>
      <c r="C98">
        <v>720</v>
      </c>
      <c r="D98">
        <v>14.23</v>
      </c>
      <c r="E98">
        <v>14.23</v>
      </c>
      <c r="F98">
        <v>13.39</v>
      </c>
      <c r="G98">
        <v>13.03</v>
      </c>
      <c r="H98" s="5"/>
      <c r="I98" s="6">
        <v>4</v>
      </c>
      <c r="J98" s="8">
        <f>G106</f>
        <v>-38</v>
      </c>
    </row>
    <row r="99" spans="2:10" x14ac:dyDescent="0.3">
      <c r="B99" s="4" t="s">
        <v>86</v>
      </c>
      <c r="C99">
        <v>744</v>
      </c>
      <c r="D99">
        <v>17.3</v>
      </c>
      <c r="E99">
        <v>17.3</v>
      </c>
      <c r="F99">
        <v>15.76</v>
      </c>
      <c r="G99">
        <v>14.36</v>
      </c>
      <c r="H99" s="5"/>
    </row>
    <row r="100" spans="2:10" x14ac:dyDescent="0.3">
      <c r="B100" s="4" t="s">
        <v>87</v>
      </c>
      <c r="C100">
        <v>744</v>
      </c>
      <c r="D100">
        <v>16.05</v>
      </c>
      <c r="E100">
        <v>16.05</v>
      </c>
      <c r="F100">
        <v>13.76</v>
      </c>
      <c r="G100">
        <v>12.06</v>
      </c>
      <c r="H100" s="5"/>
    </row>
    <row r="101" spans="2:10" x14ac:dyDescent="0.3">
      <c r="B101" s="4" t="s">
        <v>88</v>
      </c>
      <c r="C101">
        <v>720</v>
      </c>
      <c r="D101">
        <v>10.53</v>
      </c>
      <c r="E101">
        <v>10.53</v>
      </c>
      <c r="F101">
        <v>9.18</v>
      </c>
      <c r="G101">
        <v>6.6</v>
      </c>
      <c r="H101" s="5"/>
    </row>
    <row r="102" spans="2:10" x14ac:dyDescent="0.3">
      <c r="B102" s="4" t="s">
        <v>89</v>
      </c>
      <c r="C102">
        <v>744</v>
      </c>
      <c r="D102">
        <v>6.2</v>
      </c>
      <c r="E102">
        <v>6.2</v>
      </c>
      <c r="F102">
        <v>4.07</v>
      </c>
      <c r="G102">
        <v>0.15</v>
      </c>
      <c r="H102" s="5"/>
    </row>
    <row r="103" spans="2:10" x14ac:dyDescent="0.3">
      <c r="B103" s="4" t="s">
        <v>90</v>
      </c>
      <c r="C103">
        <v>720</v>
      </c>
      <c r="D103">
        <v>0.5</v>
      </c>
      <c r="E103">
        <v>0.5</v>
      </c>
      <c r="F103">
        <v>-1.76</v>
      </c>
      <c r="G103">
        <v>-6.78</v>
      </c>
      <c r="H103" s="5"/>
    </row>
    <row r="104" spans="2:10" x14ac:dyDescent="0.3">
      <c r="B104" s="4" t="s">
        <v>91</v>
      </c>
      <c r="C104">
        <v>744</v>
      </c>
      <c r="D104">
        <v>-2.19</v>
      </c>
      <c r="E104">
        <v>-2.19</v>
      </c>
      <c r="F104">
        <v>-5.92</v>
      </c>
      <c r="G104">
        <v>-10.08</v>
      </c>
      <c r="H104" s="5"/>
    </row>
    <row r="105" spans="2:10" x14ac:dyDescent="0.3">
      <c r="B105" s="4" t="s">
        <v>92</v>
      </c>
      <c r="C105">
        <v>8760</v>
      </c>
      <c r="D105">
        <v>5.5691666666666668</v>
      </c>
      <c r="E105">
        <v>5.5691666666666668</v>
      </c>
      <c r="F105">
        <v>3.4258333333333333</v>
      </c>
      <c r="G105">
        <v>5.1666666666665716E-2</v>
      </c>
      <c r="H105" s="5"/>
    </row>
    <row r="106" spans="2:10" x14ac:dyDescent="0.3">
      <c r="B106" s="4" t="s">
        <v>81</v>
      </c>
      <c r="D106">
        <v>-26</v>
      </c>
      <c r="E106">
        <v>-29</v>
      </c>
      <c r="F106">
        <v>-32</v>
      </c>
      <c r="G106">
        <v>-38</v>
      </c>
      <c r="H106" s="5"/>
    </row>
    <row r="107" spans="2:10" ht="15" thickBot="1" x14ac:dyDescent="0.35">
      <c r="B107" s="6"/>
      <c r="C107" s="7"/>
      <c r="D107" s="7" t="s">
        <v>93</v>
      </c>
      <c r="E107" s="7"/>
      <c r="F107" s="7"/>
      <c r="G107" s="7"/>
      <c r="H107" s="8"/>
    </row>
    <row r="109" spans="2:10" ht="15" thickBot="1" x14ac:dyDescent="0.35"/>
    <row r="110" spans="2:10" x14ac:dyDescent="0.3">
      <c r="B110" s="1" t="s">
        <v>94</v>
      </c>
      <c r="C110" s="2"/>
      <c r="D110" s="2"/>
      <c r="E110" s="2"/>
      <c r="F110" s="2"/>
      <c r="G110" s="3"/>
    </row>
    <row r="111" spans="2:10" x14ac:dyDescent="0.3">
      <c r="B111" s="4" t="s">
        <v>95</v>
      </c>
      <c r="C111">
        <v>2</v>
      </c>
      <c r="D111">
        <v>3</v>
      </c>
      <c r="E111">
        <v>4</v>
      </c>
      <c r="F111">
        <v>5</v>
      </c>
      <c r="G111" s="5">
        <v>6</v>
      </c>
      <c r="H111">
        <v>7</v>
      </c>
    </row>
    <row r="112" spans="2:10" x14ac:dyDescent="0.3">
      <c r="B112" s="4" t="s">
        <v>96</v>
      </c>
      <c r="C112" t="s">
        <v>97</v>
      </c>
      <c r="D112" t="s">
        <v>98</v>
      </c>
      <c r="E112" t="s">
        <v>99</v>
      </c>
      <c r="F112" t="s">
        <v>100</v>
      </c>
      <c r="G112" s="5"/>
    </row>
    <row r="113" spans="1:10" x14ac:dyDescent="0.3">
      <c r="A113" t="s">
        <v>101</v>
      </c>
      <c r="B113" s="4" t="s">
        <v>102</v>
      </c>
      <c r="C113">
        <v>45</v>
      </c>
      <c r="D113">
        <v>35</v>
      </c>
      <c r="E113">
        <v>0.9</v>
      </c>
      <c r="F113">
        <v>2</v>
      </c>
      <c r="G113" s="5" t="s">
        <v>103</v>
      </c>
      <c r="H113" t="s">
        <v>101</v>
      </c>
      <c r="J113" t="s">
        <v>101</v>
      </c>
    </row>
    <row r="114" spans="1:10" x14ac:dyDescent="0.3">
      <c r="A114" t="s">
        <v>101</v>
      </c>
      <c r="B114" s="4" t="s">
        <v>104</v>
      </c>
      <c r="C114">
        <v>70</v>
      </c>
      <c r="D114">
        <v>40</v>
      </c>
      <c r="E114">
        <v>0.9</v>
      </c>
      <c r="F114">
        <v>2</v>
      </c>
      <c r="G114" s="5" t="s">
        <v>103</v>
      </c>
      <c r="H114" t="s">
        <v>101</v>
      </c>
      <c r="J114" t="s">
        <v>105</v>
      </c>
    </row>
    <row r="115" spans="1:10" x14ac:dyDescent="0.3">
      <c r="A115" t="s">
        <v>101</v>
      </c>
      <c r="B115" s="4" t="s">
        <v>106</v>
      </c>
      <c r="C115">
        <v>90</v>
      </c>
      <c r="D115">
        <v>70</v>
      </c>
      <c r="E115">
        <v>0.85</v>
      </c>
      <c r="F115">
        <v>2</v>
      </c>
      <c r="G115" s="5" t="s">
        <v>103</v>
      </c>
      <c r="H115" t="s">
        <v>101</v>
      </c>
      <c r="J115" t="s">
        <v>107</v>
      </c>
    </row>
    <row r="116" spans="1:10" x14ac:dyDescent="0.3">
      <c r="A116" t="s">
        <v>101</v>
      </c>
      <c r="B116" s="4" t="s">
        <v>108</v>
      </c>
      <c r="C116">
        <v>70</v>
      </c>
      <c r="D116">
        <v>40</v>
      </c>
      <c r="E116">
        <v>0.8</v>
      </c>
      <c r="F116">
        <v>2</v>
      </c>
      <c r="G116" s="5"/>
      <c r="H116" t="s">
        <v>101</v>
      </c>
      <c r="J116" t="s">
        <v>109</v>
      </c>
    </row>
    <row r="117" spans="1:10" x14ac:dyDescent="0.3">
      <c r="A117" t="s">
        <v>101</v>
      </c>
      <c r="B117" s="4" t="s">
        <v>110</v>
      </c>
      <c r="C117">
        <v>45</v>
      </c>
      <c r="D117">
        <v>35</v>
      </c>
      <c r="E117">
        <v>0.85</v>
      </c>
      <c r="F117">
        <v>2</v>
      </c>
      <c r="G117" s="5"/>
      <c r="H117" t="s">
        <v>101</v>
      </c>
      <c r="J117" t="s">
        <v>111</v>
      </c>
    </row>
    <row r="118" spans="1:10" x14ac:dyDescent="0.3">
      <c r="A118" t="s">
        <v>101</v>
      </c>
      <c r="B118" s="4" t="s">
        <v>112</v>
      </c>
      <c r="C118">
        <v>40</v>
      </c>
      <c r="D118">
        <v>30</v>
      </c>
      <c r="E118">
        <v>0.8</v>
      </c>
      <c r="F118">
        <v>2.5</v>
      </c>
      <c r="G118" s="5" t="s">
        <v>113</v>
      </c>
      <c r="H118" t="s">
        <v>101</v>
      </c>
    </row>
    <row r="119" spans="1:10" x14ac:dyDescent="0.3">
      <c r="A119" t="s">
        <v>105</v>
      </c>
      <c r="B119" s="4" t="s">
        <v>114</v>
      </c>
      <c r="C119">
        <v>0</v>
      </c>
      <c r="D119">
        <v>0</v>
      </c>
      <c r="E119">
        <v>0.9</v>
      </c>
      <c r="F119">
        <v>0.5</v>
      </c>
      <c r="G119" s="5" t="s">
        <v>115</v>
      </c>
      <c r="H119" t="s">
        <v>105</v>
      </c>
    </row>
    <row r="120" spans="1:10" x14ac:dyDescent="0.3">
      <c r="A120" t="s">
        <v>105</v>
      </c>
      <c r="B120" s="4" t="s">
        <v>116</v>
      </c>
      <c r="C120">
        <v>0</v>
      </c>
      <c r="D120">
        <v>0</v>
      </c>
      <c r="E120">
        <v>0.8</v>
      </c>
      <c r="F120">
        <v>0.5</v>
      </c>
      <c r="G120" s="5"/>
      <c r="H120" t="s">
        <v>105</v>
      </c>
    </row>
    <row r="121" spans="1:10" x14ac:dyDescent="0.3">
      <c r="A121" t="s">
        <v>107</v>
      </c>
      <c r="B121" s="4" t="s">
        <v>117</v>
      </c>
      <c r="C121">
        <v>0</v>
      </c>
      <c r="D121">
        <v>0</v>
      </c>
      <c r="E121">
        <v>0.9</v>
      </c>
      <c r="F121">
        <v>0.5</v>
      </c>
      <c r="G121" s="5" t="s">
        <v>118</v>
      </c>
      <c r="H121" t="s">
        <v>107</v>
      </c>
    </row>
    <row r="122" spans="1:10" x14ac:dyDescent="0.3">
      <c r="A122" t="s">
        <v>105</v>
      </c>
      <c r="B122" s="4" t="s">
        <v>119</v>
      </c>
      <c r="C122">
        <v>0</v>
      </c>
      <c r="D122">
        <v>0</v>
      </c>
      <c r="E122">
        <v>0.95</v>
      </c>
      <c r="F122">
        <v>0.5</v>
      </c>
      <c r="G122" s="5"/>
      <c r="H122" t="s">
        <v>105</v>
      </c>
    </row>
    <row r="123" spans="1:10" x14ac:dyDescent="0.3">
      <c r="A123" t="s">
        <v>105</v>
      </c>
      <c r="B123" s="4" t="s">
        <v>120</v>
      </c>
      <c r="C123">
        <v>0</v>
      </c>
      <c r="D123">
        <v>0</v>
      </c>
      <c r="E123">
        <v>0.9</v>
      </c>
      <c r="F123">
        <v>0.5</v>
      </c>
      <c r="G123" s="5" t="s">
        <v>121</v>
      </c>
      <c r="H123" t="s">
        <v>105</v>
      </c>
    </row>
    <row r="124" spans="1:10" ht="15" thickBot="1" x14ac:dyDescent="0.35">
      <c r="A124" t="s">
        <v>109</v>
      </c>
      <c r="B124" s="6" t="s">
        <v>122</v>
      </c>
      <c r="C124" s="7">
        <v>0</v>
      </c>
      <c r="D124" s="7">
        <v>0</v>
      </c>
      <c r="E124" s="7">
        <v>0.8</v>
      </c>
      <c r="F124" s="7">
        <v>0.5</v>
      </c>
      <c r="G124" s="8" t="s">
        <v>123</v>
      </c>
      <c r="H124" t="s">
        <v>109</v>
      </c>
    </row>
    <row r="126" spans="1:10" ht="15" thickBot="1" x14ac:dyDescent="0.35"/>
    <row r="127" spans="1:10" x14ac:dyDescent="0.3">
      <c r="B127" s="1" t="s">
        <v>124</v>
      </c>
      <c r="C127" s="2">
        <v>2</v>
      </c>
      <c r="D127" s="2">
        <v>3</v>
      </c>
      <c r="E127" s="2">
        <v>4</v>
      </c>
      <c r="F127" s="3">
        <v>5</v>
      </c>
    </row>
    <row r="128" spans="1:10" x14ac:dyDescent="0.3">
      <c r="B128" s="4"/>
      <c r="C128" t="s">
        <v>125</v>
      </c>
      <c r="E128" t="s">
        <v>126</v>
      </c>
      <c r="F128" s="5"/>
    </row>
    <row r="129" spans="2:7" x14ac:dyDescent="0.3">
      <c r="B129" s="4" t="s">
        <v>127</v>
      </c>
      <c r="C129" t="s">
        <v>99</v>
      </c>
      <c r="D129" t="s">
        <v>128</v>
      </c>
      <c r="E129" t="s">
        <v>99</v>
      </c>
      <c r="F129" s="5" t="s">
        <v>128</v>
      </c>
    </row>
    <row r="130" spans="2:7" x14ac:dyDescent="0.3">
      <c r="B130" s="4" t="s">
        <v>129</v>
      </c>
      <c r="C130">
        <v>0.81</v>
      </c>
      <c r="D130">
        <v>0.99</v>
      </c>
      <c r="E130">
        <v>0.9</v>
      </c>
      <c r="F130" s="5">
        <v>0.24</v>
      </c>
      <c r="G130" t="s">
        <v>130</v>
      </c>
    </row>
    <row r="131" spans="2:7" x14ac:dyDescent="0.3">
      <c r="B131" s="4" t="s">
        <v>131</v>
      </c>
      <c r="C131">
        <v>0.81</v>
      </c>
      <c r="D131">
        <v>0.59</v>
      </c>
      <c r="E131">
        <v>0.9</v>
      </c>
      <c r="F131" s="5">
        <v>0.11</v>
      </c>
      <c r="G131" t="s">
        <v>132</v>
      </c>
    </row>
    <row r="132" spans="2:7" x14ac:dyDescent="0.3">
      <c r="B132" s="4" t="s">
        <v>133</v>
      </c>
      <c r="C132">
        <v>0.87</v>
      </c>
      <c r="D132">
        <v>1.07</v>
      </c>
      <c r="E132">
        <v>0.95</v>
      </c>
      <c r="F132" s="5">
        <v>0.25</v>
      </c>
      <c r="G132" t="s">
        <v>130</v>
      </c>
    </row>
    <row r="133" spans="2:7" x14ac:dyDescent="0.3">
      <c r="B133" s="4" t="s">
        <v>134</v>
      </c>
      <c r="C133">
        <v>0.92</v>
      </c>
      <c r="D133">
        <v>0.68</v>
      </c>
      <c r="E133">
        <v>1.01</v>
      </c>
      <c r="F133" s="5">
        <v>0.12</v>
      </c>
      <c r="G133" t="s">
        <v>132</v>
      </c>
    </row>
    <row r="134" spans="2:7" x14ac:dyDescent="0.3">
      <c r="B134" s="4" t="s">
        <v>135</v>
      </c>
      <c r="C134">
        <v>0.75</v>
      </c>
      <c r="D134">
        <v>0.77</v>
      </c>
      <c r="E134">
        <v>0.84</v>
      </c>
      <c r="F134" s="5">
        <v>0.13</v>
      </c>
      <c r="G134" t="s">
        <v>136</v>
      </c>
    </row>
    <row r="135" spans="2:7" x14ac:dyDescent="0.3">
      <c r="B135" s="4" t="s">
        <v>137</v>
      </c>
      <c r="C135">
        <v>0.73</v>
      </c>
      <c r="D135">
        <v>0.38</v>
      </c>
      <c r="E135">
        <v>0.82</v>
      </c>
      <c r="F135" s="5">
        <v>0.25</v>
      </c>
      <c r="G135" t="s">
        <v>136</v>
      </c>
    </row>
    <row r="136" spans="2:7" x14ac:dyDescent="0.3">
      <c r="B136" s="4" t="s">
        <v>138</v>
      </c>
      <c r="C136">
        <v>0.88</v>
      </c>
      <c r="D136">
        <v>0.02</v>
      </c>
      <c r="E136">
        <v>1</v>
      </c>
      <c r="F136" s="5">
        <v>1</v>
      </c>
      <c r="G136" t="s">
        <v>139</v>
      </c>
    </row>
    <row r="137" spans="2:7" x14ac:dyDescent="0.3">
      <c r="B137" s="4" t="s">
        <v>140</v>
      </c>
      <c r="C137">
        <v>0.94</v>
      </c>
      <c r="D137">
        <v>0.6</v>
      </c>
      <c r="E137">
        <v>0.97</v>
      </c>
      <c r="F137" s="5">
        <v>7.0000000000000007E-2</v>
      </c>
      <c r="G137" t="s">
        <v>141</v>
      </c>
    </row>
    <row r="138" spans="2:7" ht="15" thickBot="1" x14ac:dyDescent="0.35">
      <c r="B138" s="6" t="s">
        <v>142</v>
      </c>
      <c r="C138" s="7">
        <v>1</v>
      </c>
      <c r="D138" s="7">
        <v>0</v>
      </c>
      <c r="E138" s="7">
        <v>1</v>
      </c>
      <c r="F138" s="8">
        <v>0</v>
      </c>
      <c r="G138" t="s">
        <v>143</v>
      </c>
    </row>
    <row r="140" spans="2:7" ht="15" thickBot="1" x14ac:dyDescent="0.35"/>
    <row r="141" spans="2:7" x14ac:dyDescent="0.3">
      <c r="B141" s="1" t="s">
        <v>144</v>
      </c>
      <c r="C141" s="2">
        <v>2</v>
      </c>
      <c r="D141" s="2">
        <v>3</v>
      </c>
      <c r="E141" s="3"/>
      <c r="F141" t="s">
        <v>29</v>
      </c>
    </row>
    <row r="142" spans="2:7" x14ac:dyDescent="0.3">
      <c r="B142" s="4" t="s">
        <v>145</v>
      </c>
      <c r="E142" s="5"/>
      <c r="F142" t="s">
        <v>28</v>
      </c>
    </row>
    <row r="143" spans="2:7" x14ac:dyDescent="0.3">
      <c r="B143" s="4" t="s">
        <v>146</v>
      </c>
      <c r="C143" t="s">
        <v>147</v>
      </c>
      <c r="D143" t="s">
        <v>148</v>
      </c>
      <c r="E143" s="5" t="s">
        <v>149</v>
      </c>
      <c r="F143" s="334" t="s">
        <v>27</v>
      </c>
    </row>
    <row r="144" spans="2:7" x14ac:dyDescent="0.3">
      <c r="B144" s="4">
        <v>1</v>
      </c>
      <c r="C144">
        <v>162.49652303972536</v>
      </c>
      <c r="E144" s="5">
        <v>2.8</v>
      </c>
    </row>
    <row r="145" spans="2:6" x14ac:dyDescent="0.3">
      <c r="B145" s="4">
        <v>2</v>
      </c>
      <c r="C145">
        <v>324.99304607945072</v>
      </c>
      <c r="E145" s="5"/>
    </row>
    <row r="146" spans="2:6" x14ac:dyDescent="0.3">
      <c r="B146" s="4">
        <v>3</v>
      </c>
      <c r="C146">
        <v>487.48956911917605</v>
      </c>
      <c r="E146" s="5"/>
      <c r="F146">
        <v>0</v>
      </c>
    </row>
    <row r="147" spans="2:6" x14ac:dyDescent="0.3">
      <c r="B147" s="4">
        <v>4</v>
      </c>
      <c r="C147">
        <v>649.98609215890144</v>
      </c>
      <c r="E147" s="5"/>
      <c r="F147">
        <v>0.3</v>
      </c>
    </row>
    <row r="148" spans="2:6" x14ac:dyDescent="0.3">
      <c r="B148" s="4">
        <v>5</v>
      </c>
      <c r="C148">
        <v>812.48261519862683</v>
      </c>
      <c r="E148" s="5"/>
      <c r="F148">
        <v>0.45</v>
      </c>
    </row>
    <row r="149" spans="2:6" x14ac:dyDescent="0.3">
      <c r="B149" s="4">
        <v>6</v>
      </c>
      <c r="C149">
        <v>974.97913823835211</v>
      </c>
      <c r="E149" s="5"/>
      <c r="F149">
        <v>0.55000000000000004</v>
      </c>
    </row>
    <row r="150" spans="2:6" x14ac:dyDescent="0.3">
      <c r="B150" s="4">
        <v>7</v>
      </c>
      <c r="C150">
        <v>1137.4756612780775</v>
      </c>
      <c r="E150" s="5"/>
    </row>
    <row r="151" spans="2:6" x14ac:dyDescent="0.3">
      <c r="B151" s="4">
        <v>8</v>
      </c>
      <c r="C151">
        <v>1299.9721843178029</v>
      </c>
      <c r="E151" s="5"/>
    </row>
    <row r="152" spans="2:6" ht="15" thickBot="1" x14ac:dyDescent="0.35">
      <c r="B152" s="6">
        <v>9</v>
      </c>
      <c r="C152" s="7">
        <v>1462.4687073575283</v>
      </c>
      <c r="D152" s="7"/>
      <c r="E152" s="8"/>
    </row>
    <row r="155" spans="2:6" ht="15" thickBot="1" x14ac:dyDescent="0.35"/>
    <row r="156" spans="2:6" x14ac:dyDescent="0.3">
      <c r="B156" s="12" t="s">
        <v>150</v>
      </c>
    </row>
    <row r="157" spans="2:6" x14ac:dyDescent="0.3">
      <c r="B157" s="13" t="s">
        <v>151</v>
      </c>
      <c r="C157" t="s">
        <v>152</v>
      </c>
    </row>
    <row r="158" spans="2:6" x14ac:dyDescent="0.3">
      <c r="B158" s="13" t="s">
        <v>141</v>
      </c>
    </row>
    <row r="159" spans="2:6" x14ac:dyDescent="0.3">
      <c r="B159" s="13" t="s">
        <v>143</v>
      </c>
    </row>
    <row r="160" spans="2:6" x14ac:dyDescent="0.3">
      <c r="B160" s="13" t="s">
        <v>136</v>
      </c>
    </row>
    <row r="161" spans="2:4" x14ac:dyDescent="0.3">
      <c r="B161" s="13" t="s">
        <v>130</v>
      </c>
    </row>
    <row r="162" spans="2:4" x14ac:dyDescent="0.3">
      <c r="B162" s="13" t="s">
        <v>153</v>
      </c>
    </row>
    <row r="163" spans="2:4" x14ac:dyDescent="0.3">
      <c r="B163" s="13" t="s">
        <v>143</v>
      </c>
    </row>
    <row r="164" spans="2:4" x14ac:dyDescent="0.3">
      <c r="B164" s="13" t="s">
        <v>132</v>
      </c>
    </row>
    <row r="165" spans="2:4" x14ac:dyDescent="0.3">
      <c r="B165" s="13" t="s">
        <v>154</v>
      </c>
    </row>
    <row r="166" spans="2:4" x14ac:dyDescent="0.3">
      <c r="B166" s="13" t="s">
        <v>155</v>
      </c>
    </row>
    <row r="167" spans="2:4" x14ac:dyDescent="0.3">
      <c r="B167" s="13" t="s">
        <v>139</v>
      </c>
    </row>
    <row r="168" spans="2:4" ht="15" thickBot="1" x14ac:dyDescent="0.35">
      <c r="B168" s="14" t="s">
        <v>156</v>
      </c>
    </row>
    <row r="169" spans="2:4" ht="15" thickBot="1" x14ac:dyDescent="0.35"/>
    <row r="170" spans="2:4" x14ac:dyDescent="0.3">
      <c r="B170" s="12" t="s">
        <v>157</v>
      </c>
      <c r="C170" t="s">
        <v>152</v>
      </c>
    </row>
    <row r="171" spans="2:4" x14ac:dyDescent="0.3">
      <c r="B171" s="13" t="s">
        <v>158</v>
      </c>
    </row>
    <row r="172" spans="2:4" x14ac:dyDescent="0.3">
      <c r="B172" s="13" t="s">
        <v>159</v>
      </c>
    </row>
    <row r="173" spans="2:4" x14ac:dyDescent="0.3">
      <c r="B173" s="13" t="s">
        <v>160</v>
      </c>
    </row>
    <row r="174" spans="2:4" ht="15" thickBot="1" x14ac:dyDescent="0.35">
      <c r="B174" s="14" t="s">
        <v>161</v>
      </c>
    </row>
    <row r="175" spans="2:4" ht="15" thickBot="1" x14ac:dyDescent="0.35">
      <c r="B175" s="13" t="s">
        <v>162</v>
      </c>
    </row>
    <row r="176" spans="2:4" x14ac:dyDescent="0.3">
      <c r="B176" s="1" t="s">
        <v>163</v>
      </c>
      <c r="C176" s="2"/>
      <c r="D176" s="3"/>
    </row>
    <row r="177" spans="2:4" x14ac:dyDescent="0.3">
      <c r="B177" s="4" t="s">
        <v>164</v>
      </c>
      <c r="D177" s="5"/>
    </row>
    <row r="178" spans="2:4" x14ac:dyDescent="0.3">
      <c r="B178" s="4" t="s">
        <v>165</v>
      </c>
      <c r="C178" t="s">
        <v>166</v>
      </c>
      <c r="D178" s="5" t="s">
        <v>167</v>
      </c>
    </row>
    <row r="179" spans="2:4" x14ac:dyDescent="0.3">
      <c r="B179" s="4">
        <v>0</v>
      </c>
      <c r="C179">
        <v>0</v>
      </c>
      <c r="D179" s="5">
        <v>0</v>
      </c>
    </row>
    <row r="180" spans="2:4" x14ac:dyDescent="0.3">
      <c r="B180" s="4">
        <v>50</v>
      </c>
      <c r="C180">
        <v>440</v>
      </c>
      <c r="D180" s="5">
        <v>220</v>
      </c>
    </row>
    <row r="181" spans="2:4" x14ac:dyDescent="0.3">
      <c r="B181" s="4">
        <v>100</v>
      </c>
      <c r="C181">
        <v>640</v>
      </c>
      <c r="D181" s="5">
        <v>320</v>
      </c>
    </row>
    <row r="182" spans="2:4" x14ac:dyDescent="0.3">
      <c r="B182" s="4">
        <v>150</v>
      </c>
      <c r="C182">
        <v>830</v>
      </c>
      <c r="D182" s="5">
        <v>420</v>
      </c>
    </row>
    <row r="183" spans="2:4" x14ac:dyDescent="0.3">
      <c r="B183" s="4">
        <v>200</v>
      </c>
      <c r="C183">
        <v>1000</v>
      </c>
      <c r="D183" s="5">
        <v>500</v>
      </c>
    </row>
    <row r="184" spans="2:4" x14ac:dyDescent="0.3">
      <c r="B184" s="4">
        <v>300</v>
      </c>
      <c r="C184">
        <v>1300</v>
      </c>
      <c r="D184" s="5">
        <v>650</v>
      </c>
    </row>
    <row r="185" spans="2:4" x14ac:dyDescent="0.3">
      <c r="B185" s="4">
        <v>500</v>
      </c>
      <c r="C185">
        <v>1700</v>
      </c>
      <c r="D185" s="5">
        <v>850</v>
      </c>
    </row>
    <row r="186" spans="2:4" x14ac:dyDescent="0.3">
      <c r="B186" s="4">
        <v>1000</v>
      </c>
      <c r="C186">
        <v>2100</v>
      </c>
      <c r="D186" s="5">
        <v>1100</v>
      </c>
    </row>
    <row r="187" spans="2:4" x14ac:dyDescent="0.3">
      <c r="B187" s="4">
        <v>2000</v>
      </c>
      <c r="C187">
        <v>3000</v>
      </c>
      <c r="D187" s="5">
        <v>1500</v>
      </c>
    </row>
    <row r="188" spans="2:4" ht="15" thickBot="1" x14ac:dyDescent="0.35">
      <c r="B188" s="6">
        <v>3000</v>
      </c>
      <c r="C188" s="7">
        <v>4000</v>
      </c>
      <c r="D188" s="8">
        <v>2000</v>
      </c>
    </row>
    <row r="190" spans="2:4" ht="15" thickBot="1" x14ac:dyDescent="0.35"/>
    <row r="191" spans="2:4" x14ac:dyDescent="0.3">
      <c r="B191" s="1" t="s">
        <v>168</v>
      </c>
      <c r="C191" s="3"/>
    </row>
    <row r="192" spans="2:4" x14ac:dyDescent="0.3">
      <c r="B192" s="4" t="s">
        <v>169</v>
      </c>
      <c r="C192" s="5" t="s">
        <v>170</v>
      </c>
    </row>
    <row r="193" spans="2:4" x14ac:dyDescent="0.3">
      <c r="B193" s="4" t="s">
        <v>171</v>
      </c>
      <c r="C193" s="5">
        <v>40</v>
      </c>
      <c r="D193">
        <v>0</v>
      </c>
    </row>
    <row r="194" spans="2:4" x14ac:dyDescent="0.3">
      <c r="B194" s="4" t="s">
        <v>172</v>
      </c>
      <c r="C194" s="5">
        <v>10</v>
      </c>
      <c r="D194">
        <v>1</v>
      </c>
    </row>
    <row r="195" spans="2:4" x14ac:dyDescent="0.3">
      <c r="B195" s="4" t="s">
        <v>172</v>
      </c>
      <c r="C195" s="5">
        <v>6</v>
      </c>
      <c r="D195">
        <v>2</v>
      </c>
    </row>
    <row r="196" spans="2:4" x14ac:dyDescent="0.3">
      <c r="B196" s="4" t="s">
        <v>173</v>
      </c>
      <c r="C196" s="5">
        <v>15</v>
      </c>
      <c r="D196">
        <v>3</v>
      </c>
    </row>
    <row r="197" spans="2:4" x14ac:dyDescent="0.3">
      <c r="B197" s="4" t="s">
        <v>174</v>
      </c>
      <c r="C197" s="5">
        <v>8</v>
      </c>
      <c r="D197">
        <v>4</v>
      </c>
    </row>
    <row r="198" spans="2:4" ht="15" thickBot="1" x14ac:dyDescent="0.35">
      <c r="B198" s="6" t="s">
        <v>175</v>
      </c>
      <c r="C198" s="8">
        <v>5</v>
      </c>
      <c r="D198">
        <v>5</v>
      </c>
    </row>
    <row r="200" spans="2:4" ht="15" thickBot="1" x14ac:dyDescent="0.35"/>
    <row r="201" spans="2:4" x14ac:dyDescent="0.3">
      <c r="B201" s="1" t="s">
        <v>176</v>
      </c>
      <c r="C201" s="2"/>
      <c r="D201" s="3"/>
    </row>
    <row r="202" spans="2:4" x14ac:dyDescent="0.3">
      <c r="B202" s="4" t="s">
        <v>177</v>
      </c>
      <c r="C202" t="s">
        <v>178</v>
      </c>
      <c r="D202" s="5" t="s">
        <v>179</v>
      </c>
    </row>
    <row r="203" spans="2:4" x14ac:dyDescent="0.3">
      <c r="B203" s="4"/>
      <c r="C203" t="s">
        <v>180</v>
      </c>
      <c r="D203" s="5" t="s">
        <v>181</v>
      </c>
    </row>
    <row r="204" spans="2:4" x14ac:dyDescent="0.3">
      <c r="B204" s="4"/>
      <c r="C204" t="s">
        <v>48</v>
      </c>
      <c r="D204" s="5" t="s">
        <v>48</v>
      </c>
    </row>
    <row r="205" spans="2:4" x14ac:dyDescent="0.3">
      <c r="B205" s="4" t="s">
        <v>182</v>
      </c>
      <c r="C205">
        <v>10.57</v>
      </c>
      <c r="D205" s="5">
        <v>0</v>
      </c>
    </row>
    <row r="206" spans="2:4" x14ac:dyDescent="0.3">
      <c r="B206" s="4" t="s">
        <v>183</v>
      </c>
      <c r="C206">
        <v>9.57</v>
      </c>
      <c r="D206" s="5" t="s">
        <v>184</v>
      </c>
    </row>
    <row r="207" spans="2:4" x14ac:dyDescent="0.3">
      <c r="B207" s="4" t="s">
        <v>185</v>
      </c>
      <c r="C207">
        <v>8.57</v>
      </c>
      <c r="D207" s="5" t="s">
        <v>186</v>
      </c>
    </row>
    <row r="208" spans="2:4" x14ac:dyDescent="0.3">
      <c r="B208" s="4" t="s">
        <v>187</v>
      </c>
      <c r="C208">
        <v>7.57</v>
      </c>
      <c r="D208" s="5" t="s">
        <v>188</v>
      </c>
    </row>
    <row r="209" spans="2:7" x14ac:dyDescent="0.3">
      <c r="B209" s="4" t="s">
        <v>189</v>
      </c>
      <c r="C209">
        <v>7.57</v>
      </c>
      <c r="D209" s="5" t="s">
        <v>188</v>
      </c>
    </row>
    <row r="210" spans="2:7" x14ac:dyDescent="0.3">
      <c r="B210" s="4" t="s">
        <v>190</v>
      </c>
      <c r="C210">
        <v>8.57</v>
      </c>
      <c r="D210" s="5" t="s">
        <v>186</v>
      </c>
    </row>
    <row r="211" spans="2:7" x14ac:dyDescent="0.3">
      <c r="B211" s="4" t="s">
        <v>191</v>
      </c>
      <c r="C211">
        <v>10.57</v>
      </c>
      <c r="D211" s="5">
        <v>0</v>
      </c>
    </row>
    <row r="212" spans="2:7" x14ac:dyDescent="0.3">
      <c r="B212" s="4" t="s">
        <v>192</v>
      </c>
      <c r="C212">
        <v>11.57</v>
      </c>
      <c r="D212" s="5">
        <v>1</v>
      </c>
    </row>
    <row r="213" spans="2:7" x14ac:dyDescent="0.3">
      <c r="B213" s="4" t="s">
        <v>193</v>
      </c>
      <c r="C213">
        <v>12.57</v>
      </c>
      <c r="D213" s="5">
        <v>2</v>
      </c>
    </row>
    <row r="214" spans="2:7" x14ac:dyDescent="0.3">
      <c r="B214" s="4" t="s">
        <v>194</v>
      </c>
      <c r="C214">
        <v>13.57</v>
      </c>
      <c r="D214" s="5">
        <v>3</v>
      </c>
    </row>
    <row r="215" spans="2:7" x14ac:dyDescent="0.3">
      <c r="B215" s="4" t="s">
        <v>195</v>
      </c>
      <c r="C215">
        <v>13.57</v>
      </c>
      <c r="D215" s="5">
        <v>3</v>
      </c>
    </row>
    <row r="216" spans="2:7" x14ac:dyDescent="0.3">
      <c r="B216" s="4" t="s">
        <v>196</v>
      </c>
      <c r="C216">
        <v>12.57</v>
      </c>
      <c r="D216" s="5">
        <v>2</v>
      </c>
    </row>
    <row r="217" spans="2:7" ht="15" thickBot="1" x14ac:dyDescent="0.35">
      <c r="B217" s="6" t="s">
        <v>197</v>
      </c>
      <c r="C217" s="7">
        <v>10.57</v>
      </c>
      <c r="D217" s="8">
        <v>0</v>
      </c>
    </row>
    <row r="219" spans="2:7" ht="15" thickBot="1" x14ac:dyDescent="0.35"/>
    <row r="220" spans="2:7" x14ac:dyDescent="0.3">
      <c r="B220" s="1" t="s">
        <v>198</v>
      </c>
      <c r="C220" s="2"/>
      <c r="D220" s="2"/>
      <c r="E220" s="2"/>
      <c r="F220" s="2"/>
      <c r="G220" s="3"/>
    </row>
    <row r="221" spans="2:7" x14ac:dyDescent="0.3">
      <c r="B221" s="4"/>
      <c r="D221" s="20" t="s">
        <v>199</v>
      </c>
      <c r="E221" t="s">
        <v>200</v>
      </c>
      <c r="F221" t="s">
        <v>201</v>
      </c>
      <c r="G221" s="5" t="s">
        <v>202</v>
      </c>
    </row>
    <row r="222" spans="2:7" x14ac:dyDescent="0.3">
      <c r="B222" s="4" t="s">
        <v>203</v>
      </c>
      <c r="C222" t="s">
        <v>204</v>
      </c>
      <c r="D222" s="21" t="s">
        <v>205</v>
      </c>
      <c r="E222" s="21" t="s">
        <v>206</v>
      </c>
      <c r="F222" s="21" t="s">
        <v>207</v>
      </c>
      <c r="G222" s="27" t="s">
        <v>208</v>
      </c>
    </row>
    <row r="223" spans="2:7" x14ac:dyDescent="0.3">
      <c r="B223" s="4" t="s">
        <v>209</v>
      </c>
      <c r="C223" s="28">
        <v>7.9</v>
      </c>
      <c r="D223" s="22">
        <v>5.3</v>
      </c>
      <c r="E223" s="22">
        <v>7.5</v>
      </c>
      <c r="F223" s="22">
        <v>17.100000000000001</v>
      </c>
      <c r="G223" s="29">
        <v>7.9</v>
      </c>
    </row>
    <row r="224" spans="2:7" x14ac:dyDescent="0.3">
      <c r="B224" s="4" t="s">
        <v>210</v>
      </c>
      <c r="C224" s="28">
        <v>22.4</v>
      </c>
      <c r="D224" s="23">
        <v>13</v>
      </c>
      <c r="E224" s="23">
        <v>22.4</v>
      </c>
      <c r="F224" s="23">
        <v>41.9</v>
      </c>
      <c r="G224" s="30">
        <v>22.1</v>
      </c>
    </row>
    <row r="225" spans="2:10" x14ac:dyDescent="0.3">
      <c r="B225" s="4" t="s">
        <v>211</v>
      </c>
      <c r="C225" s="28">
        <v>69.2</v>
      </c>
      <c r="D225" s="22">
        <v>27.9</v>
      </c>
      <c r="E225" s="22">
        <v>66.3</v>
      </c>
      <c r="F225" s="22">
        <v>114.2</v>
      </c>
      <c r="G225" s="29">
        <v>71.400000000000006</v>
      </c>
    </row>
    <row r="226" spans="2:10" x14ac:dyDescent="0.3">
      <c r="B226" s="4" t="s">
        <v>212</v>
      </c>
      <c r="C226" s="28">
        <v>112.7</v>
      </c>
      <c r="D226" s="23">
        <v>42.3</v>
      </c>
      <c r="E226" s="23">
        <v>102.8</v>
      </c>
      <c r="F226" s="23">
        <v>145.4</v>
      </c>
      <c r="G226" s="30">
        <v>109.5</v>
      </c>
    </row>
    <row r="227" spans="2:10" x14ac:dyDescent="0.3">
      <c r="B227" s="4" t="s">
        <v>213</v>
      </c>
      <c r="C227" s="28">
        <v>165.5</v>
      </c>
      <c r="D227" s="22">
        <v>81</v>
      </c>
      <c r="E227" s="22">
        <v>154.30000000000001</v>
      </c>
      <c r="F227" s="22">
        <v>182.1</v>
      </c>
      <c r="G227" s="29">
        <v>147.9</v>
      </c>
    </row>
    <row r="228" spans="2:10" x14ac:dyDescent="0.3">
      <c r="B228" s="4" t="s">
        <v>214</v>
      </c>
      <c r="C228" s="28">
        <v>168.6</v>
      </c>
      <c r="D228" s="23">
        <v>106.1</v>
      </c>
      <c r="E228" s="23">
        <v>150.5</v>
      </c>
      <c r="F228" s="23">
        <v>168.3</v>
      </c>
      <c r="G228" s="30">
        <v>154.80000000000001</v>
      </c>
    </row>
    <row r="229" spans="2:10" x14ac:dyDescent="0.3">
      <c r="B229" s="4" t="s">
        <v>215</v>
      </c>
      <c r="C229" s="28">
        <v>175.1</v>
      </c>
      <c r="D229" s="22">
        <v>100.3</v>
      </c>
      <c r="E229" s="22">
        <v>163</v>
      </c>
      <c r="F229" s="22">
        <v>181.5</v>
      </c>
      <c r="G229" s="29">
        <v>157.5</v>
      </c>
    </row>
    <row r="230" spans="2:10" x14ac:dyDescent="0.3">
      <c r="B230" s="4" t="s">
        <v>216</v>
      </c>
      <c r="C230" s="28">
        <v>126.7</v>
      </c>
      <c r="D230" s="23">
        <v>58.6</v>
      </c>
      <c r="E230" s="23">
        <v>125.5</v>
      </c>
      <c r="F230" s="23">
        <v>147</v>
      </c>
      <c r="G230" s="30">
        <v>110.6</v>
      </c>
    </row>
    <row r="231" spans="2:10" x14ac:dyDescent="0.3">
      <c r="B231" s="4" t="s">
        <v>217</v>
      </c>
      <c r="C231" s="28">
        <v>81.2</v>
      </c>
      <c r="D231" s="22">
        <v>28</v>
      </c>
      <c r="E231" s="22">
        <v>76.599999999999994</v>
      </c>
      <c r="F231" s="22">
        <v>119.3</v>
      </c>
      <c r="G231" s="29">
        <v>76.599999999999994</v>
      </c>
    </row>
    <row r="232" spans="2:10" x14ac:dyDescent="0.3">
      <c r="B232" s="4" t="s">
        <v>218</v>
      </c>
      <c r="C232" s="28">
        <v>31.4</v>
      </c>
      <c r="D232" s="23">
        <v>15.1</v>
      </c>
      <c r="E232" s="23">
        <v>31.6</v>
      </c>
      <c r="F232" s="23">
        <v>57.9</v>
      </c>
      <c r="G232" s="30">
        <v>29.9</v>
      </c>
    </row>
    <row r="233" spans="2:10" x14ac:dyDescent="0.3">
      <c r="B233" s="4" t="s">
        <v>219</v>
      </c>
      <c r="C233" s="28">
        <v>10.1</v>
      </c>
      <c r="D233" s="22">
        <v>6.2</v>
      </c>
      <c r="E233" s="22">
        <v>9.8000000000000007</v>
      </c>
      <c r="F233" s="22">
        <v>19.600000000000001</v>
      </c>
      <c r="G233" s="29">
        <v>9.6</v>
      </c>
    </row>
    <row r="234" spans="2:10" x14ac:dyDescent="0.3">
      <c r="B234" s="4" t="s">
        <v>220</v>
      </c>
      <c r="C234" s="28">
        <v>4.4000000000000004</v>
      </c>
      <c r="D234" s="23">
        <v>2.9</v>
      </c>
      <c r="E234" s="23">
        <v>3.9</v>
      </c>
      <c r="F234" s="23">
        <v>11</v>
      </c>
      <c r="G234" s="30">
        <v>4.3</v>
      </c>
    </row>
    <row r="235" spans="2:10" ht="15" thickBot="1" x14ac:dyDescent="0.35">
      <c r="B235" s="6" t="s">
        <v>221</v>
      </c>
      <c r="C235" s="31">
        <f>SUM(C223:C234)</f>
        <v>975.2</v>
      </c>
      <c r="D235" s="31">
        <f>SUM(D223:D234)</f>
        <v>486.70000000000005</v>
      </c>
      <c r="E235" s="31">
        <f>SUM(E223:E234)</f>
        <v>914.19999999999993</v>
      </c>
      <c r="F235" s="31">
        <f>SUM(F223:F234)</f>
        <v>1205.3</v>
      </c>
      <c r="G235" s="32">
        <f>SUM(G223:G234)</f>
        <v>902.1</v>
      </c>
    </row>
    <row r="238" spans="2:10" x14ac:dyDescent="0.3">
      <c r="B238" s="18" t="s">
        <v>222</v>
      </c>
    </row>
    <row r="239" spans="2:10" x14ac:dyDescent="0.3">
      <c r="B239" t="s">
        <v>223</v>
      </c>
    </row>
    <row r="240" spans="2:10" x14ac:dyDescent="0.3">
      <c r="B240" t="s">
        <v>224</v>
      </c>
      <c r="C240" t="s">
        <v>225</v>
      </c>
      <c r="D240" t="s">
        <v>226</v>
      </c>
      <c r="E240" t="s">
        <v>227</v>
      </c>
      <c r="F240" t="s">
        <v>228</v>
      </c>
      <c r="G240" t="s">
        <v>229</v>
      </c>
      <c r="H240" t="s">
        <v>230</v>
      </c>
      <c r="I240" t="s">
        <v>231</v>
      </c>
      <c r="J240" t="s">
        <v>232</v>
      </c>
    </row>
    <row r="241" spans="2:10" x14ac:dyDescent="0.3">
      <c r="B241" t="s">
        <v>177</v>
      </c>
      <c r="C241" t="s">
        <v>233</v>
      </c>
      <c r="D241" t="s">
        <v>234</v>
      </c>
      <c r="E241" t="s">
        <v>235</v>
      </c>
      <c r="F241" t="s">
        <v>236</v>
      </c>
      <c r="G241" t="s">
        <v>201</v>
      </c>
      <c r="H241" t="s">
        <v>237</v>
      </c>
      <c r="I241" t="s">
        <v>202</v>
      </c>
      <c r="J241" t="s">
        <v>238</v>
      </c>
    </row>
    <row r="242" spans="2:10" x14ac:dyDescent="0.3">
      <c r="C242" t="s">
        <v>239</v>
      </c>
      <c r="D242" t="s">
        <v>239</v>
      </c>
      <c r="E242" t="s">
        <v>240</v>
      </c>
      <c r="F242" t="s">
        <v>239</v>
      </c>
      <c r="G242" t="s">
        <v>239</v>
      </c>
      <c r="H242" t="s">
        <v>239</v>
      </c>
      <c r="I242" t="s">
        <v>239</v>
      </c>
      <c r="J242" t="s">
        <v>239</v>
      </c>
    </row>
    <row r="243" spans="2:10" x14ac:dyDescent="0.3">
      <c r="C243" t="s">
        <v>52</v>
      </c>
      <c r="D243" t="s">
        <v>52</v>
      </c>
      <c r="E243" t="s">
        <v>52</v>
      </c>
      <c r="F243" t="s">
        <v>52</v>
      </c>
      <c r="G243" t="s">
        <v>52</v>
      </c>
      <c r="H243" t="s">
        <v>52</v>
      </c>
      <c r="I243" t="s">
        <v>52</v>
      </c>
      <c r="J243" t="s">
        <v>52</v>
      </c>
    </row>
    <row r="244" spans="2:10" x14ac:dyDescent="0.3">
      <c r="B244" t="s">
        <v>182</v>
      </c>
      <c r="C244">
        <v>0.98</v>
      </c>
      <c r="D244" t="s">
        <v>241</v>
      </c>
      <c r="E244">
        <v>0.86</v>
      </c>
      <c r="F244" t="s">
        <v>242</v>
      </c>
      <c r="G244">
        <v>0.75</v>
      </c>
      <c r="H244" t="s">
        <v>242</v>
      </c>
      <c r="I244">
        <v>0.86</v>
      </c>
      <c r="J244" t="s">
        <v>241</v>
      </c>
    </row>
    <row r="245" spans="2:10" x14ac:dyDescent="0.3">
      <c r="B245" t="s">
        <v>183</v>
      </c>
      <c r="C245">
        <v>0.96</v>
      </c>
      <c r="D245" t="s">
        <v>243</v>
      </c>
      <c r="E245">
        <v>0.83</v>
      </c>
      <c r="F245" t="s">
        <v>244</v>
      </c>
      <c r="G245">
        <v>0.76</v>
      </c>
      <c r="H245" t="s">
        <v>244</v>
      </c>
      <c r="I245">
        <v>0.83</v>
      </c>
      <c r="J245" t="s">
        <v>243</v>
      </c>
    </row>
    <row r="246" spans="2:10" x14ac:dyDescent="0.3">
      <c r="B246" t="s">
        <v>185</v>
      </c>
      <c r="C246">
        <v>0.96</v>
      </c>
      <c r="D246" t="s">
        <v>243</v>
      </c>
      <c r="E246">
        <v>0.83</v>
      </c>
      <c r="F246" t="s">
        <v>245</v>
      </c>
      <c r="G246">
        <v>0.8</v>
      </c>
      <c r="H246" t="s">
        <v>245</v>
      </c>
      <c r="I246">
        <v>0.83</v>
      </c>
      <c r="J246" t="s">
        <v>243</v>
      </c>
    </row>
    <row r="247" spans="2:10" x14ac:dyDescent="0.3">
      <c r="B247" t="s">
        <v>187</v>
      </c>
      <c r="C247">
        <v>0.93</v>
      </c>
      <c r="D247" t="s">
        <v>246</v>
      </c>
      <c r="E247">
        <v>0.83</v>
      </c>
      <c r="F247" t="s">
        <v>247</v>
      </c>
      <c r="G247">
        <v>0.83</v>
      </c>
      <c r="H247" t="s">
        <v>247</v>
      </c>
      <c r="I247">
        <v>0.83</v>
      </c>
      <c r="J247" t="s">
        <v>246</v>
      </c>
    </row>
    <row r="248" spans="2:10" x14ac:dyDescent="0.3">
      <c r="B248" t="s">
        <v>189</v>
      </c>
      <c r="C248">
        <v>0.93</v>
      </c>
      <c r="D248" t="s">
        <v>248</v>
      </c>
      <c r="E248">
        <v>0.85</v>
      </c>
      <c r="F248" t="s">
        <v>249</v>
      </c>
      <c r="G248">
        <v>0.9</v>
      </c>
      <c r="H248" t="s">
        <v>249</v>
      </c>
      <c r="I248">
        <v>0.85</v>
      </c>
      <c r="J248" t="s">
        <v>248</v>
      </c>
    </row>
    <row r="249" spans="2:10" x14ac:dyDescent="0.3">
      <c r="B249" t="s">
        <v>190</v>
      </c>
      <c r="C249">
        <v>0.86</v>
      </c>
      <c r="D249" t="s">
        <v>250</v>
      </c>
      <c r="E249">
        <v>0.83</v>
      </c>
      <c r="F249" t="s">
        <v>251</v>
      </c>
      <c r="G249">
        <v>0.91</v>
      </c>
      <c r="H249" t="s">
        <v>251</v>
      </c>
      <c r="I249">
        <v>0.83</v>
      </c>
      <c r="J249" t="s">
        <v>250</v>
      </c>
    </row>
    <row r="250" spans="2:10" x14ac:dyDescent="0.3">
      <c r="B250" t="s">
        <v>191</v>
      </c>
      <c r="C250">
        <v>0.9</v>
      </c>
      <c r="D250" t="s">
        <v>249</v>
      </c>
      <c r="E250">
        <v>0.85</v>
      </c>
      <c r="F250" t="s">
        <v>246</v>
      </c>
      <c r="G250">
        <v>0.91</v>
      </c>
      <c r="H250" t="s">
        <v>246</v>
      </c>
      <c r="I250">
        <v>0.85</v>
      </c>
      <c r="J250" t="s">
        <v>249</v>
      </c>
    </row>
    <row r="251" spans="2:10" x14ac:dyDescent="0.3">
      <c r="B251" t="s">
        <v>192</v>
      </c>
      <c r="C251">
        <v>0.88</v>
      </c>
      <c r="D251" t="s">
        <v>252</v>
      </c>
      <c r="E251">
        <v>0.8</v>
      </c>
      <c r="F251" t="s">
        <v>253</v>
      </c>
      <c r="G251">
        <v>0.8</v>
      </c>
      <c r="H251" t="s">
        <v>253</v>
      </c>
      <c r="I251">
        <v>0.8</v>
      </c>
      <c r="J251" t="s">
        <v>252</v>
      </c>
    </row>
    <row r="252" spans="2:10" x14ac:dyDescent="0.3">
      <c r="B252" t="s">
        <v>193</v>
      </c>
      <c r="C252">
        <v>0.95</v>
      </c>
      <c r="D252" t="s">
        <v>248</v>
      </c>
      <c r="E252">
        <v>0.83</v>
      </c>
      <c r="F252" t="s">
        <v>254</v>
      </c>
      <c r="G252">
        <v>0.81</v>
      </c>
      <c r="H252" t="s">
        <v>254</v>
      </c>
      <c r="I252">
        <v>0.83</v>
      </c>
      <c r="J252" t="s">
        <v>248</v>
      </c>
    </row>
    <row r="253" spans="2:10" x14ac:dyDescent="0.3">
      <c r="B253" t="s">
        <v>194</v>
      </c>
      <c r="C253">
        <v>0.96</v>
      </c>
      <c r="D253" t="s">
        <v>255</v>
      </c>
      <c r="E253">
        <v>0.85</v>
      </c>
      <c r="F253" t="s">
        <v>242</v>
      </c>
      <c r="G253">
        <v>0.76</v>
      </c>
      <c r="H253" t="s">
        <v>242</v>
      </c>
      <c r="I253">
        <v>0.85</v>
      </c>
      <c r="J253" t="s">
        <v>255</v>
      </c>
    </row>
    <row r="254" spans="2:10" x14ac:dyDescent="0.3">
      <c r="B254" t="s">
        <v>195</v>
      </c>
      <c r="C254">
        <v>0.96</v>
      </c>
      <c r="D254" t="s">
        <v>256</v>
      </c>
      <c r="E254">
        <v>0.86</v>
      </c>
      <c r="F254" t="s">
        <v>244</v>
      </c>
      <c r="G254">
        <v>0.73</v>
      </c>
      <c r="H254" t="s">
        <v>244</v>
      </c>
      <c r="I254">
        <v>0.86</v>
      </c>
      <c r="J254" t="s">
        <v>256</v>
      </c>
    </row>
    <row r="255" spans="2:10" x14ac:dyDescent="0.3">
      <c r="B255" t="s">
        <v>196</v>
      </c>
      <c r="C255">
        <v>0.98</v>
      </c>
      <c r="D255" t="s">
        <v>257</v>
      </c>
      <c r="E255">
        <v>0.93</v>
      </c>
      <c r="F255" t="s">
        <v>247</v>
      </c>
      <c r="G255">
        <v>0.73</v>
      </c>
      <c r="H255" t="s">
        <v>247</v>
      </c>
      <c r="I255">
        <v>0.93</v>
      </c>
      <c r="J255" t="s">
        <v>257</v>
      </c>
    </row>
    <row r="256" spans="2:10" x14ac:dyDescent="0.3">
      <c r="B256" t="s">
        <v>197</v>
      </c>
      <c r="C256">
        <v>0.93799999999999994</v>
      </c>
      <c r="D256" t="s">
        <v>258</v>
      </c>
      <c r="E256">
        <v>0.84599999999999997</v>
      </c>
      <c r="F256" t="s">
        <v>259</v>
      </c>
      <c r="G256">
        <v>0.80800000000000005</v>
      </c>
      <c r="H256" t="s">
        <v>259</v>
      </c>
      <c r="I256">
        <v>0.84599999999999997</v>
      </c>
      <c r="J256" t="s">
        <v>258</v>
      </c>
    </row>
    <row r="257" spans="2:10" x14ac:dyDescent="0.3">
      <c r="B257" s="18" t="s">
        <v>260</v>
      </c>
    </row>
    <row r="258" spans="2:10" x14ac:dyDescent="0.3">
      <c r="B258" t="s">
        <v>261</v>
      </c>
    </row>
    <row r="259" spans="2:10" x14ac:dyDescent="0.3">
      <c r="B259" t="s">
        <v>224</v>
      </c>
      <c r="C259" t="s">
        <v>225</v>
      </c>
      <c r="D259" t="s">
        <v>226</v>
      </c>
      <c r="E259" t="s">
        <v>227</v>
      </c>
      <c r="F259" t="s">
        <v>228</v>
      </c>
      <c r="G259" t="s">
        <v>229</v>
      </c>
      <c r="H259" t="s">
        <v>230</v>
      </c>
      <c r="I259" t="s">
        <v>231</v>
      </c>
      <c r="J259" t="s">
        <v>232</v>
      </c>
    </row>
    <row r="260" spans="2:10" x14ac:dyDescent="0.3">
      <c r="B260" t="s">
        <v>177</v>
      </c>
      <c r="C260" t="s">
        <v>233</v>
      </c>
      <c r="D260" t="s">
        <v>234</v>
      </c>
      <c r="E260" t="s">
        <v>200</v>
      </c>
      <c r="F260" t="s">
        <v>236</v>
      </c>
      <c r="G260" t="s">
        <v>201</v>
      </c>
      <c r="H260" t="s">
        <v>237</v>
      </c>
      <c r="I260" t="s">
        <v>202</v>
      </c>
      <c r="J260" t="s">
        <v>238</v>
      </c>
    </row>
    <row r="261" spans="2:10" x14ac:dyDescent="0.3">
      <c r="C261" t="s">
        <v>262</v>
      </c>
      <c r="D261" t="s">
        <v>262</v>
      </c>
      <c r="E261" t="s">
        <v>262</v>
      </c>
      <c r="F261" t="s">
        <v>262</v>
      </c>
      <c r="G261" t="s">
        <v>262</v>
      </c>
      <c r="H261" t="s">
        <v>262</v>
      </c>
      <c r="I261" t="s">
        <v>262</v>
      </c>
      <c r="J261" t="s">
        <v>262</v>
      </c>
    </row>
    <row r="262" spans="2:10" x14ac:dyDescent="0.3">
      <c r="C262" t="s">
        <v>52</v>
      </c>
      <c r="D262" t="s">
        <v>52</v>
      </c>
      <c r="E262" t="s">
        <v>52</v>
      </c>
      <c r="F262" t="s">
        <v>52</v>
      </c>
      <c r="G262" t="s">
        <v>52</v>
      </c>
      <c r="H262" t="s">
        <v>52</v>
      </c>
      <c r="I262" t="s">
        <v>52</v>
      </c>
      <c r="J262" t="s">
        <v>52</v>
      </c>
    </row>
    <row r="263" spans="2:10" x14ac:dyDescent="0.3">
      <c r="B263" t="s">
        <v>182</v>
      </c>
      <c r="C263">
        <v>0.441</v>
      </c>
      <c r="D263">
        <v>0.41399999999999998</v>
      </c>
      <c r="E263">
        <v>0.38700000000000001</v>
      </c>
      <c r="F263">
        <v>0.36199999999999999</v>
      </c>
      <c r="G263">
        <v>0.33800000000000002</v>
      </c>
      <c r="H263">
        <v>0.36199999999999999</v>
      </c>
      <c r="I263">
        <v>0.38700000000000001</v>
      </c>
      <c r="J263">
        <v>0.41399999999999998</v>
      </c>
    </row>
    <row r="264" spans="2:10" x14ac:dyDescent="0.3">
      <c r="B264" t="s">
        <v>183</v>
      </c>
      <c r="C264">
        <v>0.432</v>
      </c>
      <c r="D264">
        <v>0.40300000000000002</v>
      </c>
      <c r="E264">
        <v>0.374</v>
      </c>
      <c r="F264">
        <v>0.35799999999999998</v>
      </c>
      <c r="G264">
        <v>0.34200000000000003</v>
      </c>
      <c r="H264">
        <v>0.35799999999999998</v>
      </c>
      <c r="I264">
        <v>0.374</v>
      </c>
      <c r="J264">
        <v>0.40300000000000002</v>
      </c>
    </row>
    <row r="265" spans="2:10" x14ac:dyDescent="0.3">
      <c r="B265" t="s">
        <v>185</v>
      </c>
      <c r="C265">
        <v>0.432</v>
      </c>
      <c r="D265">
        <v>0.40300000000000002</v>
      </c>
      <c r="E265">
        <v>0.374</v>
      </c>
      <c r="F265">
        <v>0.36699999999999999</v>
      </c>
      <c r="G265">
        <v>0.36</v>
      </c>
      <c r="H265">
        <v>0.36699999999999999</v>
      </c>
      <c r="I265">
        <v>0.374</v>
      </c>
      <c r="J265">
        <v>0.40300000000000002</v>
      </c>
    </row>
    <row r="266" spans="2:10" x14ac:dyDescent="0.3">
      <c r="B266" t="s">
        <v>187</v>
      </c>
      <c r="C266">
        <v>0.41899999999999998</v>
      </c>
      <c r="D266">
        <v>0.39600000000000002</v>
      </c>
      <c r="E266">
        <v>0.374</v>
      </c>
      <c r="F266">
        <v>0.374</v>
      </c>
      <c r="G266">
        <v>0.374</v>
      </c>
      <c r="H266">
        <v>0.374</v>
      </c>
      <c r="I266">
        <v>0.374</v>
      </c>
      <c r="J266">
        <v>0.39600000000000002</v>
      </c>
    </row>
    <row r="267" spans="2:10" x14ac:dyDescent="0.3">
      <c r="B267" t="s">
        <v>189</v>
      </c>
      <c r="C267">
        <v>0.41899999999999998</v>
      </c>
      <c r="D267">
        <v>0.40100000000000002</v>
      </c>
      <c r="E267">
        <v>0.38300000000000001</v>
      </c>
      <c r="F267">
        <v>0.39400000000000002</v>
      </c>
      <c r="G267">
        <v>0.40500000000000003</v>
      </c>
      <c r="H267">
        <v>0.39400000000000002</v>
      </c>
      <c r="I267">
        <v>0.38300000000000001</v>
      </c>
      <c r="J267">
        <v>0.40100000000000002</v>
      </c>
    </row>
    <row r="268" spans="2:10" x14ac:dyDescent="0.3">
      <c r="B268" t="s">
        <v>190</v>
      </c>
      <c r="C268">
        <v>0.38700000000000001</v>
      </c>
      <c r="D268">
        <v>0.38</v>
      </c>
      <c r="E268">
        <v>0.374</v>
      </c>
      <c r="F268">
        <v>0.39200000000000002</v>
      </c>
      <c r="G268">
        <v>0.41</v>
      </c>
      <c r="H268">
        <v>0.39200000000000002</v>
      </c>
      <c r="I268">
        <v>0.374</v>
      </c>
      <c r="J268">
        <v>0.38</v>
      </c>
    </row>
    <row r="269" spans="2:10" x14ac:dyDescent="0.3">
      <c r="B269" t="s">
        <v>191</v>
      </c>
      <c r="C269">
        <v>0.40500000000000003</v>
      </c>
      <c r="D269">
        <v>0.39400000000000002</v>
      </c>
      <c r="E269">
        <v>0.38300000000000001</v>
      </c>
      <c r="F269">
        <v>0.39600000000000002</v>
      </c>
      <c r="G269">
        <v>0.41</v>
      </c>
      <c r="H269">
        <v>0.39600000000000002</v>
      </c>
      <c r="I269">
        <v>0.38300000000000001</v>
      </c>
      <c r="J269">
        <v>0.39400000000000002</v>
      </c>
    </row>
    <row r="270" spans="2:10" x14ac:dyDescent="0.3">
      <c r="B270" t="s">
        <v>192</v>
      </c>
      <c r="C270">
        <v>0.39600000000000002</v>
      </c>
      <c r="D270">
        <v>0.378</v>
      </c>
      <c r="E270">
        <v>0.36</v>
      </c>
      <c r="F270">
        <v>0.36</v>
      </c>
      <c r="G270">
        <v>0.36</v>
      </c>
      <c r="H270">
        <v>0.36</v>
      </c>
      <c r="I270">
        <v>0.36</v>
      </c>
      <c r="J270">
        <v>0.378</v>
      </c>
    </row>
    <row r="271" spans="2:10" x14ac:dyDescent="0.3">
      <c r="B271" t="s">
        <v>193</v>
      </c>
      <c r="C271">
        <v>0.42799999999999999</v>
      </c>
      <c r="D271">
        <v>0.40100000000000002</v>
      </c>
      <c r="E271">
        <v>0.374</v>
      </c>
      <c r="F271">
        <v>0.36899999999999999</v>
      </c>
      <c r="G271">
        <v>0.36499999999999999</v>
      </c>
      <c r="H271">
        <v>0.36899999999999999</v>
      </c>
      <c r="I271">
        <v>0.374</v>
      </c>
      <c r="J271">
        <v>0.40100000000000002</v>
      </c>
    </row>
    <row r="272" spans="2:10" x14ac:dyDescent="0.3">
      <c r="B272" t="s">
        <v>194</v>
      </c>
      <c r="C272">
        <v>0.432</v>
      </c>
      <c r="D272">
        <v>0.40699999999999997</v>
      </c>
      <c r="E272">
        <v>0.38300000000000001</v>
      </c>
      <c r="F272">
        <v>0.36199999999999999</v>
      </c>
      <c r="G272">
        <v>0.34200000000000003</v>
      </c>
      <c r="H272">
        <v>0.36199999999999999</v>
      </c>
      <c r="I272">
        <v>0.38300000000000001</v>
      </c>
      <c r="J272">
        <v>0.40699999999999997</v>
      </c>
    </row>
    <row r="273" spans="2:10" x14ac:dyDescent="0.3">
      <c r="B273" t="s">
        <v>195</v>
      </c>
      <c r="C273">
        <v>0.432</v>
      </c>
      <c r="D273">
        <v>0.41</v>
      </c>
      <c r="E273">
        <v>0.38700000000000001</v>
      </c>
      <c r="F273">
        <v>0.35799999999999998</v>
      </c>
      <c r="G273">
        <v>0.32900000000000001</v>
      </c>
      <c r="H273">
        <v>0.35799999999999998</v>
      </c>
      <c r="I273">
        <v>0.38700000000000001</v>
      </c>
      <c r="J273">
        <v>0.41</v>
      </c>
    </row>
    <row r="274" spans="2:10" x14ac:dyDescent="0.3">
      <c r="B274" t="s">
        <v>196</v>
      </c>
      <c r="C274">
        <v>0.441</v>
      </c>
      <c r="D274">
        <v>0.43</v>
      </c>
      <c r="E274">
        <v>0.41899999999999998</v>
      </c>
      <c r="F274">
        <v>0.374</v>
      </c>
      <c r="G274">
        <v>0.32900000000000001</v>
      </c>
      <c r="H274">
        <v>0.374</v>
      </c>
      <c r="I274">
        <v>0.41899999999999998</v>
      </c>
      <c r="J274">
        <v>0.43</v>
      </c>
    </row>
    <row r="275" spans="2:10" x14ac:dyDescent="0.3">
      <c r="B275" t="s">
        <v>197</v>
      </c>
      <c r="C275">
        <v>0.42199999999999999</v>
      </c>
      <c r="D275">
        <v>0.40100000000000002</v>
      </c>
      <c r="E275">
        <v>0.38100000000000001</v>
      </c>
      <c r="F275">
        <v>0.372</v>
      </c>
      <c r="G275">
        <v>0.36299999999999999</v>
      </c>
      <c r="H275">
        <v>0.372</v>
      </c>
      <c r="I275">
        <v>0.38100000000000001</v>
      </c>
      <c r="J275">
        <v>0.40100000000000002</v>
      </c>
    </row>
    <row r="276" spans="2:10" ht="15" thickBot="1" x14ac:dyDescent="0.35">
      <c r="B276" t="s">
        <v>263</v>
      </c>
    </row>
    <row r="277" spans="2:10" x14ac:dyDescent="0.3">
      <c r="B277" t="s">
        <v>177</v>
      </c>
      <c r="C277" t="s">
        <v>264</v>
      </c>
      <c r="D277" t="s">
        <v>265</v>
      </c>
      <c r="E277" t="s">
        <v>266</v>
      </c>
      <c r="F277" t="s">
        <v>267</v>
      </c>
      <c r="G277" s="24" t="s">
        <v>268</v>
      </c>
      <c r="H277" t="s">
        <v>269</v>
      </c>
      <c r="I277" t="s">
        <v>270</v>
      </c>
      <c r="J277" t="s">
        <v>271</v>
      </c>
    </row>
    <row r="278" spans="2:10" x14ac:dyDescent="0.3">
      <c r="B278" t="s">
        <v>182</v>
      </c>
      <c r="C278">
        <v>5.2</v>
      </c>
      <c r="D278">
        <v>5.2</v>
      </c>
      <c r="E278">
        <v>6.2</v>
      </c>
      <c r="F278">
        <v>10.7</v>
      </c>
      <c r="G278" s="25">
        <v>13.1</v>
      </c>
      <c r="H278">
        <v>10.7</v>
      </c>
      <c r="I278">
        <v>6.3</v>
      </c>
      <c r="J278">
        <v>5.2</v>
      </c>
    </row>
    <row r="279" spans="2:10" x14ac:dyDescent="0.3">
      <c r="B279" t="s">
        <v>183</v>
      </c>
      <c r="C279">
        <v>15.4</v>
      </c>
      <c r="D279">
        <v>15.8</v>
      </c>
      <c r="E279">
        <v>23.5</v>
      </c>
      <c r="F279">
        <v>37.299999999999997</v>
      </c>
      <c r="G279" s="25">
        <v>44.3</v>
      </c>
      <c r="H279">
        <v>36.799999999999997</v>
      </c>
      <c r="I279">
        <v>22.6</v>
      </c>
      <c r="J279">
        <v>15.6</v>
      </c>
    </row>
    <row r="280" spans="2:10" x14ac:dyDescent="0.3">
      <c r="B280" t="s">
        <v>185</v>
      </c>
      <c r="C280">
        <v>38.1</v>
      </c>
      <c r="D280">
        <v>44.4</v>
      </c>
      <c r="E280">
        <v>66.3</v>
      </c>
      <c r="F280">
        <v>94.9</v>
      </c>
      <c r="G280" s="25">
        <v>106.7</v>
      </c>
      <c r="H280">
        <v>90.3</v>
      </c>
      <c r="I280">
        <v>63.1</v>
      </c>
      <c r="J280">
        <v>42.5</v>
      </c>
    </row>
    <row r="281" spans="2:10" x14ac:dyDescent="0.3">
      <c r="B281" t="s">
        <v>187</v>
      </c>
      <c r="C281">
        <v>51.5</v>
      </c>
      <c r="D281">
        <v>73.7</v>
      </c>
      <c r="E281">
        <v>108.8</v>
      </c>
      <c r="F281">
        <v>143.4</v>
      </c>
      <c r="G281" s="25">
        <v>154.9</v>
      </c>
      <c r="H281">
        <v>142.69999999999999</v>
      </c>
      <c r="I281">
        <v>114.3</v>
      </c>
      <c r="J281">
        <v>72.8</v>
      </c>
    </row>
    <row r="282" spans="2:10" x14ac:dyDescent="0.3">
      <c r="B282" t="s">
        <v>189</v>
      </c>
      <c r="C282">
        <v>71.8</v>
      </c>
      <c r="D282">
        <v>106.9</v>
      </c>
      <c r="E282">
        <v>148.9</v>
      </c>
      <c r="F282">
        <v>178.3</v>
      </c>
      <c r="G282" s="25">
        <v>183</v>
      </c>
      <c r="H282">
        <v>171.8</v>
      </c>
      <c r="I282">
        <v>147.30000000000001</v>
      </c>
      <c r="J282">
        <v>100.3</v>
      </c>
    </row>
    <row r="283" spans="2:10" x14ac:dyDescent="0.3">
      <c r="B283" t="s">
        <v>190</v>
      </c>
      <c r="C283">
        <v>91.9</v>
      </c>
      <c r="D283">
        <v>115.2</v>
      </c>
      <c r="E283">
        <v>148</v>
      </c>
      <c r="F283">
        <v>163.6</v>
      </c>
      <c r="G283" s="25">
        <v>167.6</v>
      </c>
      <c r="H283">
        <v>168.4</v>
      </c>
      <c r="I283">
        <v>156.1</v>
      </c>
      <c r="J283">
        <v>120.2</v>
      </c>
    </row>
    <row r="284" spans="2:10" x14ac:dyDescent="0.3">
      <c r="B284" t="s">
        <v>191</v>
      </c>
      <c r="C284">
        <v>83</v>
      </c>
      <c r="D284">
        <v>117.4</v>
      </c>
      <c r="E284">
        <v>156.1</v>
      </c>
      <c r="F284">
        <v>183.6</v>
      </c>
      <c r="G284" s="25">
        <v>189.8</v>
      </c>
      <c r="H284">
        <v>187.5</v>
      </c>
      <c r="I284">
        <v>169.1</v>
      </c>
      <c r="J284">
        <v>117.6</v>
      </c>
    </row>
    <row r="285" spans="2:10" x14ac:dyDescent="0.3">
      <c r="B285" t="s">
        <v>192</v>
      </c>
      <c r="C285">
        <v>60</v>
      </c>
      <c r="D285">
        <v>87.2</v>
      </c>
      <c r="E285">
        <v>123.5</v>
      </c>
      <c r="F285">
        <v>150.5</v>
      </c>
      <c r="G285" s="25">
        <v>152.1</v>
      </c>
      <c r="H285">
        <v>136.9</v>
      </c>
      <c r="I285">
        <v>113.7</v>
      </c>
      <c r="J285">
        <v>78.7</v>
      </c>
    </row>
    <row r="286" spans="2:10" x14ac:dyDescent="0.3">
      <c r="B286" t="s">
        <v>193</v>
      </c>
      <c r="C286">
        <v>34.799999999999997</v>
      </c>
      <c r="D286">
        <v>47.1</v>
      </c>
      <c r="E286">
        <v>76.2</v>
      </c>
      <c r="F286">
        <v>110.8</v>
      </c>
      <c r="G286" s="25">
        <v>126.9</v>
      </c>
      <c r="H286">
        <v>112.3</v>
      </c>
      <c r="I286">
        <v>81.3</v>
      </c>
      <c r="J286">
        <v>46.9</v>
      </c>
    </row>
    <row r="287" spans="2:10" x14ac:dyDescent="0.3">
      <c r="B287" t="s">
        <v>194</v>
      </c>
      <c r="C287">
        <v>17.100000000000001</v>
      </c>
      <c r="D287">
        <v>18.100000000000001</v>
      </c>
      <c r="E287">
        <v>25.6</v>
      </c>
      <c r="F287">
        <v>37.200000000000003</v>
      </c>
      <c r="G287" s="25">
        <v>44.3</v>
      </c>
      <c r="H287">
        <v>38.700000000000003</v>
      </c>
      <c r="I287">
        <v>26.9</v>
      </c>
      <c r="J287">
        <v>18.5</v>
      </c>
    </row>
    <row r="288" spans="2:10" x14ac:dyDescent="0.3">
      <c r="B288" t="s">
        <v>195</v>
      </c>
      <c r="C288">
        <v>6.2</v>
      </c>
      <c r="D288">
        <v>6.2</v>
      </c>
      <c r="E288">
        <v>8</v>
      </c>
      <c r="F288">
        <v>14</v>
      </c>
      <c r="G288" s="25">
        <v>17</v>
      </c>
      <c r="H288">
        <v>13.9</v>
      </c>
      <c r="I288">
        <v>8.1</v>
      </c>
      <c r="J288">
        <v>6.2</v>
      </c>
    </row>
    <row r="289" spans="2:10" x14ac:dyDescent="0.3">
      <c r="B289" t="s">
        <v>196</v>
      </c>
      <c r="C289">
        <v>3.6</v>
      </c>
      <c r="D289">
        <v>3.6</v>
      </c>
      <c r="E289">
        <v>4.2</v>
      </c>
      <c r="F289">
        <v>8.8000000000000007</v>
      </c>
      <c r="G289" s="25">
        <v>11.2</v>
      </c>
      <c r="H289">
        <v>9.1</v>
      </c>
      <c r="I289">
        <v>4.5999999999999996</v>
      </c>
      <c r="J289">
        <v>3.6</v>
      </c>
    </row>
    <row r="290" spans="2:10" ht="15" thickBot="1" x14ac:dyDescent="0.35">
      <c r="B290" t="s">
        <v>197</v>
      </c>
      <c r="C290">
        <v>478.5</v>
      </c>
      <c r="D290">
        <v>640.79999999999995</v>
      </c>
      <c r="E290">
        <v>895.4</v>
      </c>
      <c r="F290">
        <v>1133.2</v>
      </c>
      <c r="G290" s="26">
        <v>1210.9000000000001</v>
      </c>
      <c r="H290">
        <v>1119.0999999999999</v>
      </c>
      <c r="I290">
        <v>913.3</v>
      </c>
      <c r="J290">
        <v>628.1</v>
      </c>
    </row>
    <row r="294" spans="2:10" x14ac:dyDescent="0.3">
      <c r="B294" s="18" t="s">
        <v>263</v>
      </c>
    </row>
    <row r="295" spans="2:10" x14ac:dyDescent="0.3">
      <c r="B295" s="16" t="s">
        <v>272</v>
      </c>
      <c r="C295" s="16"/>
    </row>
    <row r="296" spans="2:10" x14ac:dyDescent="0.3">
      <c r="B296" s="16"/>
      <c r="C296" s="16"/>
    </row>
    <row r="297" spans="2:10" x14ac:dyDescent="0.3">
      <c r="B297" s="16"/>
      <c r="C297" s="16"/>
    </row>
    <row r="298" spans="2:10" x14ac:dyDescent="0.3">
      <c r="B298" s="16"/>
      <c r="C298" s="16"/>
    </row>
    <row r="299" spans="2:10" x14ac:dyDescent="0.3">
      <c r="B299" s="16"/>
      <c r="C299" s="16"/>
    </row>
    <row r="300" spans="2:10" x14ac:dyDescent="0.3">
      <c r="B300" s="16"/>
      <c r="C300" s="16"/>
    </row>
    <row r="301" spans="2:10" x14ac:dyDescent="0.3">
      <c r="B301" s="16" t="s">
        <v>273</v>
      </c>
      <c r="C301" s="16" t="s">
        <v>274</v>
      </c>
    </row>
    <row r="302" spans="2:10" x14ac:dyDescent="0.3">
      <c r="B302" s="16" t="s">
        <v>275</v>
      </c>
      <c r="C302" s="16">
        <v>2.8</v>
      </c>
    </row>
    <row r="303" spans="2:10" x14ac:dyDescent="0.3">
      <c r="B303" s="16" t="s">
        <v>276</v>
      </c>
      <c r="C303" s="16"/>
    </row>
    <row r="304" spans="2:10" x14ac:dyDescent="0.3">
      <c r="B304" s="16">
        <v>30</v>
      </c>
      <c r="C304" s="16">
        <v>2.8</v>
      </c>
    </row>
    <row r="305" spans="2:4" x14ac:dyDescent="0.3">
      <c r="B305" s="16">
        <v>40</v>
      </c>
      <c r="C305" s="16">
        <v>2.5</v>
      </c>
    </row>
    <row r="306" spans="2:4" x14ac:dyDescent="0.3">
      <c r="B306" s="16">
        <v>50</v>
      </c>
      <c r="C306" s="16">
        <v>2.2999999999999998</v>
      </c>
    </row>
    <row r="307" spans="2:4" x14ac:dyDescent="0.3">
      <c r="B307" s="16">
        <v>60</v>
      </c>
      <c r="C307" s="16">
        <v>2.2000000000000002</v>
      </c>
    </row>
    <row r="308" spans="2:4" x14ac:dyDescent="0.3">
      <c r="B308" s="16" t="s">
        <v>277</v>
      </c>
      <c r="C308" s="16"/>
    </row>
    <row r="309" spans="2:4" x14ac:dyDescent="0.3">
      <c r="B309" s="16">
        <v>60</v>
      </c>
      <c r="C309" s="16">
        <v>1.8</v>
      </c>
    </row>
    <row r="312" spans="2:4" x14ac:dyDescent="0.3">
      <c r="B312" s="18" t="s">
        <v>278</v>
      </c>
    </row>
    <row r="313" spans="2:4" x14ac:dyDescent="0.3">
      <c r="B313" s="16" t="s">
        <v>159</v>
      </c>
      <c r="C313" s="393" t="s">
        <v>274</v>
      </c>
      <c r="D313" s="393"/>
    </row>
    <row r="314" spans="2:4" ht="28.8" x14ac:dyDescent="0.3">
      <c r="B314" s="38"/>
      <c r="C314" s="38" t="s">
        <v>279</v>
      </c>
      <c r="D314" s="38" t="s">
        <v>280</v>
      </c>
    </row>
    <row r="315" spans="2:4" x14ac:dyDescent="0.3">
      <c r="B315" s="16" t="s">
        <v>281</v>
      </c>
      <c r="C315" s="16"/>
      <c r="D315" s="16"/>
    </row>
    <row r="316" spans="2:4" x14ac:dyDescent="0.3">
      <c r="B316" s="16">
        <v>30</v>
      </c>
      <c r="C316" s="16">
        <v>3.4</v>
      </c>
      <c r="D316" s="16">
        <v>3.5</v>
      </c>
    </row>
    <row r="317" spans="2:4" x14ac:dyDescent="0.3">
      <c r="B317" s="16">
        <v>40</v>
      </c>
      <c r="C317" s="16">
        <v>3</v>
      </c>
      <c r="D317" s="16">
        <v>3.1</v>
      </c>
    </row>
    <row r="318" spans="2:4" x14ac:dyDescent="0.3">
      <c r="B318" s="16">
        <v>50</v>
      </c>
      <c r="C318" s="16">
        <v>2.7</v>
      </c>
      <c r="D318" s="16">
        <v>2.7</v>
      </c>
    </row>
    <row r="319" spans="2:4" x14ac:dyDescent="0.3">
      <c r="B319" s="16">
        <v>60</v>
      </c>
      <c r="C319" s="16">
        <v>2.5</v>
      </c>
      <c r="D319" s="16">
        <v>2.5</v>
      </c>
    </row>
    <row r="320" spans="2:4" x14ac:dyDescent="0.3">
      <c r="B320" s="16" t="s">
        <v>282</v>
      </c>
      <c r="C320" s="16"/>
      <c r="D320" s="16"/>
    </row>
    <row r="321" spans="2:4" x14ac:dyDescent="0.3">
      <c r="B321" s="16">
        <v>60</v>
      </c>
      <c r="C321" s="16">
        <v>2.2999999999999998</v>
      </c>
      <c r="D321" s="16">
        <v>2.2999999999999998</v>
      </c>
    </row>
    <row r="323" spans="2:4" x14ac:dyDescent="0.3">
      <c r="B323" s="18" t="s">
        <v>283</v>
      </c>
    </row>
    <row r="324" spans="2:4" x14ac:dyDescent="0.3">
      <c r="B324" s="16" t="s">
        <v>161</v>
      </c>
      <c r="C324" s="16"/>
    </row>
    <row r="325" spans="2:4" x14ac:dyDescent="0.3">
      <c r="B325" s="16" t="s">
        <v>284</v>
      </c>
      <c r="C325" s="16" t="s">
        <v>274</v>
      </c>
    </row>
    <row r="326" spans="2:4" x14ac:dyDescent="0.3">
      <c r="B326" s="16">
        <v>-3</v>
      </c>
      <c r="C326" s="16">
        <v>2.4</v>
      </c>
    </row>
    <row r="327" spans="2:4" x14ac:dyDescent="0.3">
      <c r="B327" s="16">
        <v>1</v>
      </c>
      <c r="C327" s="16">
        <v>2.1</v>
      </c>
    </row>
    <row r="328" spans="2:4" x14ac:dyDescent="0.3">
      <c r="B328" s="16">
        <v>3</v>
      </c>
      <c r="C328" s="16">
        <v>2</v>
      </c>
    </row>
    <row r="329" spans="2:4" x14ac:dyDescent="0.3">
      <c r="B329" s="16">
        <v>5</v>
      </c>
      <c r="C329" s="16">
        <v>1.9</v>
      </c>
    </row>
    <row r="332" spans="2:4" x14ac:dyDescent="0.3">
      <c r="B332" s="39" t="s">
        <v>285</v>
      </c>
      <c r="C332" s="16" t="s">
        <v>286</v>
      </c>
      <c r="D332" s="16"/>
    </row>
    <row r="333" spans="2:4" x14ac:dyDescent="0.3">
      <c r="B333" s="16" t="s">
        <v>287</v>
      </c>
      <c r="C333" s="16" t="s">
        <v>288</v>
      </c>
      <c r="D333" s="16" t="s">
        <v>289</v>
      </c>
    </row>
    <row r="334" spans="2:4" x14ac:dyDescent="0.3">
      <c r="B334" s="40" t="s">
        <v>290</v>
      </c>
      <c r="C334" s="40" t="s">
        <v>291</v>
      </c>
      <c r="D334" s="40"/>
    </row>
    <row r="335" spans="2:4" x14ac:dyDescent="0.3">
      <c r="B335" s="16">
        <v>40</v>
      </c>
      <c r="C335" s="16">
        <v>0.9</v>
      </c>
      <c r="D335" s="16"/>
    </row>
    <row r="336" spans="2:4" x14ac:dyDescent="0.3">
      <c r="B336" s="41">
        <v>100</v>
      </c>
      <c r="C336" s="41">
        <v>0.84</v>
      </c>
      <c r="D336" s="41"/>
    </row>
    <row r="337" spans="2:7" x14ac:dyDescent="0.3">
      <c r="B337" s="16">
        <v>150</v>
      </c>
      <c r="C337" s="16">
        <v>0.6</v>
      </c>
      <c r="D337" s="16"/>
    </row>
    <row r="338" spans="2:7" x14ac:dyDescent="0.3">
      <c r="B338" s="16">
        <v>200</v>
      </c>
      <c r="C338" s="16">
        <v>0.46</v>
      </c>
      <c r="D338" s="16"/>
    </row>
    <row r="339" spans="2:7" x14ac:dyDescent="0.3">
      <c r="B339" s="16">
        <v>250</v>
      </c>
      <c r="C339" s="16">
        <v>0.37</v>
      </c>
      <c r="D339" s="16"/>
    </row>
    <row r="342" spans="2:7" x14ac:dyDescent="0.3">
      <c r="B342" s="39" t="s">
        <v>292</v>
      </c>
      <c r="C342" s="16"/>
      <c r="D342" s="16"/>
      <c r="E342" s="16"/>
      <c r="F342" s="16"/>
      <c r="G342" s="16"/>
    </row>
    <row r="343" spans="2:7" x14ac:dyDescent="0.3">
      <c r="B343" s="16" t="s">
        <v>293</v>
      </c>
      <c r="C343" s="16"/>
      <c r="D343" s="16"/>
      <c r="E343" s="16"/>
      <c r="F343" s="16"/>
      <c r="G343" s="16"/>
    </row>
    <row r="344" spans="2:7" x14ac:dyDescent="0.3">
      <c r="B344" s="394" t="s">
        <v>159</v>
      </c>
      <c r="C344" s="394"/>
      <c r="D344" s="394"/>
      <c r="E344" s="394"/>
      <c r="F344" s="394"/>
      <c r="G344" s="394"/>
    </row>
    <row r="345" spans="2:7" x14ac:dyDescent="0.3">
      <c r="B345" s="42"/>
      <c r="C345" s="42"/>
      <c r="D345" s="42" t="s">
        <v>294</v>
      </c>
      <c r="E345" s="42"/>
      <c r="F345" s="42"/>
      <c r="G345" s="42"/>
    </row>
    <row r="346" spans="2:7" x14ac:dyDescent="0.3">
      <c r="B346" s="16"/>
      <c r="C346" s="16"/>
      <c r="D346" s="16" t="s">
        <v>295</v>
      </c>
      <c r="E346" s="16"/>
      <c r="F346" s="16"/>
      <c r="G346" s="16"/>
    </row>
    <row r="347" spans="2:7" ht="15" thickBot="1" x14ac:dyDescent="0.35">
      <c r="B347" s="43" t="s">
        <v>296</v>
      </c>
      <c r="C347" s="43" t="s">
        <v>297</v>
      </c>
      <c r="D347" s="43" t="s">
        <v>298</v>
      </c>
      <c r="E347" s="43" t="s">
        <v>299</v>
      </c>
      <c r="F347" s="43" t="s">
        <v>300</v>
      </c>
      <c r="G347" s="43" t="s">
        <v>301</v>
      </c>
    </row>
    <row r="348" spans="2:7" x14ac:dyDescent="0.3">
      <c r="B348" s="44">
        <v>0.3</v>
      </c>
      <c r="C348" s="45">
        <v>0.5</v>
      </c>
      <c r="D348" s="45">
        <v>0.39</v>
      </c>
      <c r="E348" s="45">
        <v>0.39</v>
      </c>
      <c r="F348" s="45">
        <v>0.39</v>
      </c>
      <c r="G348" s="46">
        <v>0.39</v>
      </c>
    </row>
    <row r="349" spans="2:7" x14ac:dyDescent="0.3">
      <c r="B349" s="47">
        <v>0.3</v>
      </c>
      <c r="C349" s="48">
        <v>1</v>
      </c>
      <c r="D349" s="48">
        <v>0.47</v>
      </c>
      <c r="E349" s="48">
        <v>0.47</v>
      </c>
      <c r="F349" s="48">
        <v>0.47</v>
      </c>
      <c r="G349" s="49">
        <v>0.47</v>
      </c>
    </row>
    <row r="350" spans="2:7" x14ac:dyDescent="0.3">
      <c r="B350" s="47">
        <v>0.3</v>
      </c>
      <c r="C350" s="50">
        <v>2</v>
      </c>
      <c r="D350" s="50">
        <v>0.62</v>
      </c>
      <c r="E350" s="50">
        <v>0.6</v>
      </c>
      <c r="F350" s="50">
        <v>0.57999999999999996</v>
      </c>
      <c r="G350" s="51">
        <v>0.56000000000000005</v>
      </c>
    </row>
    <row r="351" spans="2:7" ht="15" thickBot="1" x14ac:dyDescent="0.35">
      <c r="B351" s="52">
        <v>0.3</v>
      </c>
      <c r="C351" s="53">
        <v>4</v>
      </c>
      <c r="D351" s="53">
        <v>0.68</v>
      </c>
      <c r="E351" s="53">
        <v>0.65</v>
      </c>
      <c r="F351" s="53">
        <v>0.62</v>
      </c>
      <c r="G351" s="54">
        <v>0.59</v>
      </c>
    </row>
    <row r="352" spans="2:7" x14ac:dyDescent="0.3">
      <c r="B352" s="55">
        <v>0.4</v>
      </c>
      <c r="C352" s="56">
        <v>0.5</v>
      </c>
      <c r="D352" s="56">
        <v>0.52</v>
      </c>
      <c r="E352" s="56">
        <v>0.52</v>
      </c>
      <c r="F352" s="56">
        <v>0.52</v>
      </c>
      <c r="G352" s="57">
        <v>0.52</v>
      </c>
    </row>
    <row r="353" spans="2:7" x14ac:dyDescent="0.3">
      <c r="B353" s="58">
        <v>0.4</v>
      </c>
      <c r="C353" s="59">
        <v>1</v>
      </c>
      <c r="D353" s="59">
        <v>0.67</v>
      </c>
      <c r="E353" s="59">
        <v>0.66</v>
      </c>
      <c r="F353" s="59">
        <v>0.65</v>
      </c>
      <c r="G353" s="60">
        <v>0.64</v>
      </c>
    </row>
    <row r="354" spans="2:7" x14ac:dyDescent="0.3">
      <c r="B354" s="58">
        <v>0.4</v>
      </c>
      <c r="C354" s="61">
        <v>2</v>
      </c>
      <c r="D354" s="61">
        <v>0.78</v>
      </c>
      <c r="E354" s="61">
        <v>0.75</v>
      </c>
      <c r="F354" s="61">
        <v>0.72</v>
      </c>
      <c r="G354" s="62">
        <v>0.7</v>
      </c>
    </row>
    <row r="355" spans="2:7" ht="15" thickBot="1" x14ac:dyDescent="0.35">
      <c r="B355" s="63">
        <v>0.4</v>
      </c>
      <c r="C355" s="64">
        <v>4</v>
      </c>
      <c r="D355" s="64">
        <v>0.84</v>
      </c>
      <c r="E355" s="64">
        <v>0.79</v>
      </c>
      <c r="F355" s="64">
        <v>0.76</v>
      </c>
      <c r="G355" s="65">
        <v>0.73</v>
      </c>
    </row>
    <row r="356" spans="2:7" x14ac:dyDescent="0.3">
      <c r="B356" s="66">
        <v>0.5</v>
      </c>
      <c r="C356" s="67">
        <v>0.5</v>
      </c>
      <c r="D356" s="67">
        <v>0.65</v>
      </c>
      <c r="E356" s="67">
        <v>0.65</v>
      </c>
      <c r="F356" s="67">
        <v>0.65</v>
      </c>
      <c r="G356" s="68">
        <v>0.65</v>
      </c>
    </row>
    <row r="357" spans="2:7" x14ac:dyDescent="0.3">
      <c r="B357" s="69">
        <v>0.5</v>
      </c>
      <c r="C357" s="70">
        <v>1</v>
      </c>
      <c r="D357" s="70">
        <v>0.82</v>
      </c>
      <c r="E357" s="70">
        <v>0.8</v>
      </c>
      <c r="F357" s="70">
        <v>0.78</v>
      </c>
      <c r="G357" s="71">
        <v>0.76</v>
      </c>
    </row>
    <row r="358" spans="2:7" x14ac:dyDescent="0.3">
      <c r="B358" s="69">
        <v>0.5</v>
      </c>
      <c r="C358" s="72">
        <v>2</v>
      </c>
      <c r="D358" s="72">
        <v>0.9</v>
      </c>
      <c r="E358" s="72">
        <v>0.87</v>
      </c>
      <c r="F358" s="72">
        <v>0.84</v>
      </c>
      <c r="G358" s="73">
        <v>0.81</v>
      </c>
    </row>
    <row r="359" spans="2:7" ht="15" thickBot="1" x14ac:dyDescent="0.35">
      <c r="B359" s="74">
        <v>0.5</v>
      </c>
      <c r="C359" s="75">
        <v>4</v>
      </c>
      <c r="D359" s="75">
        <v>0.92</v>
      </c>
      <c r="E359" s="75">
        <v>0.89</v>
      </c>
      <c r="F359" s="75">
        <v>0.86</v>
      </c>
      <c r="G359" s="76">
        <v>0.83</v>
      </c>
    </row>
    <row r="360" spans="2:7" x14ac:dyDescent="0.3">
      <c r="B360" s="77">
        <v>0.6</v>
      </c>
      <c r="C360" s="78">
        <v>0.5</v>
      </c>
      <c r="D360" s="78">
        <v>0.81</v>
      </c>
      <c r="E360" s="78">
        <v>0.8</v>
      </c>
      <c r="F360" s="78">
        <v>0.79</v>
      </c>
      <c r="G360" s="79">
        <v>0.78</v>
      </c>
    </row>
    <row r="361" spans="2:7" x14ac:dyDescent="0.3">
      <c r="B361" s="80">
        <v>0.6</v>
      </c>
      <c r="C361" s="81">
        <v>1</v>
      </c>
      <c r="D361" s="81">
        <v>0.92</v>
      </c>
      <c r="E361" s="81">
        <v>0.9</v>
      </c>
      <c r="F361" s="81">
        <v>0.88</v>
      </c>
      <c r="G361" s="82">
        <v>0.86</v>
      </c>
    </row>
    <row r="362" spans="2:7" x14ac:dyDescent="0.3">
      <c r="B362" s="80">
        <v>0.6</v>
      </c>
      <c r="C362" s="83">
        <v>2</v>
      </c>
      <c r="D362" s="83">
        <v>0.95</v>
      </c>
      <c r="E362" s="83">
        <v>0.93</v>
      </c>
      <c r="F362" s="83">
        <v>0.91</v>
      </c>
      <c r="G362" s="84">
        <v>0.89</v>
      </c>
    </row>
    <row r="363" spans="2:7" ht="15" thickBot="1" x14ac:dyDescent="0.35">
      <c r="B363" s="85">
        <v>0.6</v>
      </c>
      <c r="C363" s="86">
        <v>4</v>
      </c>
      <c r="D363" s="86">
        <v>0.96</v>
      </c>
      <c r="E363" s="86">
        <v>0.94</v>
      </c>
      <c r="F363" s="86">
        <v>0.92</v>
      </c>
      <c r="G363" s="87">
        <v>0.9</v>
      </c>
    </row>
    <row r="364" spans="2:7" x14ac:dyDescent="0.3">
      <c r="B364" s="88">
        <v>0.7</v>
      </c>
      <c r="C364" s="89">
        <v>0.5</v>
      </c>
      <c r="D364" s="89">
        <v>0.92</v>
      </c>
      <c r="E364" s="89">
        <v>0.9</v>
      </c>
      <c r="F364" s="89">
        <v>0.88</v>
      </c>
      <c r="G364" s="90">
        <v>0.87</v>
      </c>
    </row>
    <row r="365" spans="2:7" x14ac:dyDescent="0.3">
      <c r="B365" s="91">
        <v>0.7</v>
      </c>
      <c r="C365" s="92">
        <v>1</v>
      </c>
      <c r="D365" s="92">
        <v>0.97</v>
      </c>
      <c r="E365" s="92">
        <v>0.95</v>
      </c>
      <c r="F365" s="92">
        <v>0.94</v>
      </c>
      <c r="G365" s="93">
        <v>0.92</v>
      </c>
    </row>
    <row r="366" spans="2:7" x14ac:dyDescent="0.3">
      <c r="B366" s="91">
        <v>0.7</v>
      </c>
      <c r="C366" s="94">
        <v>2</v>
      </c>
      <c r="D366" s="94">
        <v>0.98</v>
      </c>
      <c r="E366" s="94">
        <v>0.96</v>
      </c>
      <c r="F366" s="94">
        <v>0.95</v>
      </c>
      <c r="G366" s="95">
        <v>0.93</v>
      </c>
    </row>
    <row r="367" spans="2:7" ht="15" thickBot="1" x14ac:dyDescent="0.35">
      <c r="B367" s="96">
        <v>0.7</v>
      </c>
      <c r="C367" s="97">
        <v>4</v>
      </c>
      <c r="D367" s="97">
        <v>0.98</v>
      </c>
      <c r="E367" s="97">
        <v>0.97</v>
      </c>
      <c r="F367" s="97">
        <v>0.95</v>
      </c>
      <c r="G367" s="98">
        <v>0.94</v>
      </c>
    </row>
    <row r="368" spans="2:7" x14ac:dyDescent="0.3">
      <c r="B368" s="99">
        <v>0.8</v>
      </c>
      <c r="C368" s="100">
        <v>0.5</v>
      </c>
      <c r="D368" s="100">
        <v>0.97</v>
      </c>
      <c r="E368" s="100">
        <v>0.96</v>
      </c>
      <c r="F368" s="100">
        <v>0.95</v>
      </c>
      <c r="G368" s="101">
        <v>0.94</v>
      </c>
    </row>
    <row r="369" spans="2:7" x14ac:dyDescent="0.3">
      <c r="B369" s="102">
        <v>0.8</v>
      </c>
      <c r="C369" s="103">
        <v>1</v>
      </c>
      <c r="D369" s="103">
        <v>0.99</v>
      </c>
      <c r="E369" s="103">
        <v>0.98</v>
      </c>
      <c r="F369" s="103">
        <v>0.97</v>
      </c>
      <c r="G369" s="104">
        <v>0.96</v>
      </c>
    </row>
    <row r="370" spans="2:7" x14ac:dyDescent="0.3">
      <c r="B370" s="102">
        <v>0.8</v>
      </c>
      <c r="C370" s="105">
        <v>2</v>
      </c>
      <c r="D370" s="105">
        <v>0.99</v>
      </c>
      <c r="E370" s="105">
        <v>0.98</v>
      </c>
      <c r="F370" s="105">
        <v>0.97</v>
      </c>
      <c r="G370" s="106">
        <v>0.96</v>
      </c>
    </row>
    <row r="371" spans="2:7" ht="15" thickBot="1" x14ac:dyDescent="0.35">
      <c r="B371" s="107">
        <v>0.8</v>
      </c>
      <c r="C371" s="108">
        <v>4</v>
      </c>
      <c r="D371" s="108">
        <v>0.99</v>
      </c>
      <c r="E371" s="108">
        <v>0.98</v>
      </c>
      <c r="F371" s="108">
        <v>0.97</v>
      </c>
      <c r="G371" s="109">
        <v>0.96</v>
      </c>
    </row>
    <row r="372" spans="2:7" x14ac:dyDescent="0.3">
      <c r="B372" s="110">
        <v>0.9</v>
      </c>
      <c r="C372" s="111">
        <v>0.5</v>
      </c>
      <c r="D372" s="111">
        <v>0.99</v>
      </c>
      <c r="E372" s="111">
        <v>0.98</v>
      </c>
      <c r="F372" s="111">
        <v>0.98</v>
      </c>
      <c r="G372" s="112">
        <v>0.97</v>
      </c>
    </row>
    <row r="373" spans="2:7" x14ac:dyDescent="0.3">
      <c r="B373" s="113">
        <v>0.9</v>
      </c>
      <c r="C373" s="114">
        <v>1</v>
      </c>
      <c r="D373" s="114">
        <v>1</v>
      </c>
      <c r="E373" s="114">
        <v>0.99</v>
      </c>
      <c r="F373" s="114">
        <v>0.98</v>
      </c>
      <c r="G373" s="115">
        <v>0.97</v>
      </c>
    </row>
    <row r="374" spans="2:7" x14ac:dyDescent="0.3">
      <c r="B374" s="113">
        <v>0.9</v>
      </c>
      <c r="C374" s="116">
        <v>2</v>
      </c>
      <c r="D374" s="116">
        <v>1</v>
      </c>
      <c r="E374" s="116">
        <v>0.99</v>
      </c>
      <c r="F374" s="116">
        <v>0.98</v>
      </c>
      <c r="G374" s="117">
        <v>0.98</v>
      </c>
    </row>
    <row r="375" spans="2:7" ht="15" thickBot="1" x14ac:dyDescent="0.35">
      <c r="B375" s="118">
        <v>0.9</v>
      </c>
      <c r="C375" s="119">
        <v>4</v>
      </c>
      <c r="D375" s="119">
        <v>1</v>
      </c>
      <c r="E375" s="119">
        <v>0.99</v>
      </c>
      <c r="F375" s="119">
        <v>0.98</v>
      </c>
      <c r="G375" s="120">
        <v>0.97</v>
      </c>
    </row>
    <row r="376" spans="2:7" x14ac:dyDescent="0.3">
      <c r="B376" s="121">
        <v>1</v>
      </c>
      <c r="C376" s="122">
        <v>0.5</v>
      </c>
      <c r="D376" s="122">
        <v>1</v>
      </c>
      <c r="E376" s="122">
        <v>0.99</v>
      </c>
      <c r="F376" s="122">
        <v>0.99</v>
      </c>
      <c r="G376" s="123">
        <v>0.98</v>
      </c>
    </row>
    <row r="377" spans="2:7" x14ac:dyDescent="0.3">
      <c r="B377" s="124">
        <v>1</v>
      </c>
      <c r="C377" s="125">
        <v>1</v>
      </c>
      <c r="D377" s="125">
        <v>1</v>
      </c>
      <c r="E377" s="125">
        <v>1</v>
      </c>
      <c r="F377" s="125">
        <v>0.99</v>
      </c>
      <c r="G377" s="126">
        <v>0.99</v>
      </c>
    </row>
    <row r="378" spans="2:7" x14ac:dyDescent="0.3">
      <c r="B378" s="124">
        <v>1</v>
      </c>
      <c r="C378" s="127">
        <v>2</v>
      </c>
      <c r="D378" s="127">
        <v>1</v>
      </c>
      <c r="E378" s="127">
        <v>1</v>
      </c>
      <c r="F378" s="127">
        <v>0.99</v>
      </c>
      <c r="G378" s="128">
        <v>0.99</v>
      </c>
    </row>
    <row r="379" spans="2:7" ht="15" thickBot="1" x14ac:dyDescent="0.35">
      <c r="B379" s="129">
        <v>1</v>
      </c>
      <c r="C379" s="130">
        <v>4</v>
      </c>
      <c r="D379" s="130">
        <v>1</v>
      </c>
      <c r="E379" s="130">
        <v>1</v>
      </c>
      <c r="F379" s="130">
        <v>0.99</v>
      </c>
      <c r="G379" s="131">
        <v>0.99</v>
      </c>
    </row>
    <row r="381" spans="2:7" x14ac:dyDescent="0.3">
      <c r="B381" t="s">
        <v>302</v>
      </c>
    </row>
    <row r="382" spans="2:7" x14ac:dyDescent="0.3">
      <c r="B382" s="395" t="s">
        <v>160</v>
      </c>
      <c r="C382" s="395"/>
      <c r="D382" s="395"/>
      <c r="E382" s="395"/>
      <c r="F382" s="395"/>
      <c r="G382" s="395"/>
    </row>
    <row r="383" spans="2:7" x14ac:dyDescent="0.3">
      <c r="B383" s="132"/>
      <c r="C383" s="133"/>
      <c r="D383" s="133" t="s">
        <v>294</v>
      </c>
      <c r="E383" s="133"/>
      <c r="F383" s="133"/>
      <c r="G383" s="134"/>
    </row>
    <row r="384" spans="2:7" x14ac:dyDescent="0.3">
      <c r="B384" s="135"/>
      <c r="C384" s="136"/>
      <c r="D384" s="136" t="s">
        <v>295</v>
      </c>
      <c r="E384" s="136"/>
      <c r="F384" s="136"/>
      <c r="G384" s="137"/>
    </row>
    <row r="385" spans="2:7" ht="15" thickBot="1" x14ac:dyDescent="0.35">
      <c r="B385" s="138" t="s">
        <v>296</v>
      </c>
      <c r="C385" s="139" t="s">
        <v>297</v>
      </c>
      <c r="D385" s="139" t="s">
        <v>298</v>
      </c>
      <c r="E385" s="139" t="s">
        <v>299</v>
      </c>
      <c r="F385" s="139" t="s">
        <v>300</v>
      </c>
      <c r="G385" s="140" t="s">
        <v>301</v>
      </c>
    </row>
    <row r="386" spans="2:7" x14ac:dyDescent="0.3">
      <c r="B386" s="390">
        <v>0.3</v>
      </c>
      <c r="C386" s="141">
        <v>0.5</v>
      </c>
      <c r="D386" s="141" t="s">
        <v>303</v>
      </c>
      <c r="E386" s="141">
        <v>0.33</v>
      </c>
      <c r="F386" s="141">
        <v>0.33</v>
      </c>
      <c r="G386" s="142">
        <v>0.33</v>
      </c>
    </row>
    <row r="387" spans="2:7" x14ac:dyDescent="0.3">
      <c r="B387" s="391"/>
      <c r="C387" s="143">
        <v>1</v>
      </c>
      <c r="D387" s="143" t="s">
        <v>304</v>
      </c>
      <c r="E387" s="143">
        <v>0.39</v>
      </c>
      <c r="F387" s="143">
        <v>0.39</v>
      </c>
      <c r="G387" s="144">
        <v>0.39</v>
      </c>
    </row>
    <row r="388" spans="2:7" x14ac:dyDescent="0.3">
      <c r="B388" s="391"/>
      <c r="C388" s="145">
        <v>2</v>
      </c>
      <c r="D388" s="145" t="s">
        <v>305</v>
      </c>
      <c r="E388" s="145">
        <v>0.48</v>
      </c>
      <c r="F388" s="145">
        <v>0.47</v>
      </c>
      <c r="G388" s="146">
        <v>0.46</v>
      </c>
    </row>
    <row r="389" spans="2:7" ht="15" thickBot="1" x14ac:dyDescent="0.35">
      <c r="B389" s="392"/>
      <c r="C389" s="143">
        <v>4</v>
      </c>
      <c r="D389" s="143" t="s">
        <v>306</v>
      </c>
      <c r="E389" s="143">
        <v>0.54</v>
      </c>
      <c r="F389" s="143">
        <v>0.52</v>
      </c>
      <c r="G389" s="144">
        <v>0.5</v>
      </c>
    </row>
    <row r="390" spans="2:7" x14ac:dyDescent="0.3">
      <c r="B390" s="387">
        <v>0.4</v>
      </c>
      <c r="C390" s="141">
        <v>0.5</v>
      </c>
      <c r="D390" s="141" t="s">
        <v>307</v>
      </c>
      <c r="E390" s="141">
        <v>0.44</v>
      </c>
      <c r="F390" s="141">
        <v>0.44</v>
      </c>
      <c r="G390" s="142">
        <v>0.44</v>
      </c>
    </row>
    <row r="391" spans="2:7" x14ac:dyDescent="0.3">
      <c r="B391" s="388"/>
      <c r="C391" s="143">
        <v>1</v>
      </c>
      <c r="D391" s="143" t="s">
        <v>308</v>
      </c>
      <c r="E391" s="143">
        <v>0.52</v>
      </c>
      <c r="F391" s="143">
        <v>0.52</v>
      </c>
      <c r="G391" s="144">
        <v>0.52</v>
      </c>
    </row>
    <row r="392" spans="2:7" x14ac:dyDescent="0.3">
      <c r="B392" s="388"/>
      <c r="C392" s="145">
        <v>2</v>
      </c>
      <c r="D392" s="145" t="s">
        <v>309</v>
      </c>
      <c r="E392" s="145">
        <v>0.61</v>
      </c>
      <c r="F392" s="145">
        <v>0.6</v>
      </c>
      <c r="G392" s="146">
        <v>0.57999999999999996</v>
      </c>
    </row>
    <row r="393" spans="2:7" ht="15" thickBot="1" x14ac:dyDescent="0.35">
      <c r="B393" s="396"/>
      <c r="C393" s="143">
        <v>4</v>
      </c>
      <c r="D393" s="143" t="s">
        <v>310</v>
      </c>
      <c r="E393" s="143">
        <v>0.65</v>
      </c>
      <c r="F393" s="143">
        <v>0.63</v>
      </c>
      <c r="G393" s="144">
        <v>0.61</v>
      </c>
    </row>
    <row r="394" spans="2:7" x14ac:dyDescent="0.3">
      <c r="B394" s="390">
        <v>0.5</v>
      </c>
      <c r="C394" s="141">
        <v>0.5</v>
      </c>
      <c r="D394" s="141" t="s">
        <v>311</v>
      </c>
      <c r="E394" s="141">
        <v>0.54</v>
      </c>
      <c r="F394" s="141">
        <v>0.54</v>
      </c>
      <c r="G394" s="142">
        <v>0.54</v>
      </c>
    </row>
    <row r="395" spans="2:7" x14ac:dyDescent="0.3">
      <c r="B395" s="391"/>
      <c r="C395" s="143">
        <v>1</v>
      </c>
      <c r="D395" s="143" t="s">
        <v>312</v>
      </c>
      <c r="E395" s="143">
        <v>0.64</v>
      </c>
      <c r="F395" s="143">
        <v>0.64</v>
      </c>
      <c r="G395" s="144">
        <v>0.63</v>
      </c>
    </row>
    <row r="396" spans="2:7" x14ac:dyDescent="0.3">
      <c r="B396" s="391"/>
      <c r="C396" s="145">
        <v>2</v>
      </c>
      <c r="D396" s="145" t="s">
        <v>313</v>
      </c>
      <c r="E396" s="145">
        <v>0.71</v>
      </c>
      <c r="F396" s="145">
        <v>0.69</v>
      </c>
      <c r="G396" s="146">
        <v>0.68</v>
      </c>
    </row>
    <row r="397" spans="2:7" ht="15" thickBot="1" x14ac:dyDescent="0.35">
      <c r="B397" s="392"/>
      <c r="C397" s="143">
        <v>4</v>
      </c>
      <c r="D397" s="143" t="s">
        <v>314</v>
      </c>
      <c r="E397" s="143">
        <v>0.75</v>
      </c>
      <c r="F397" s="143">
        <v>0.72</v>
      </c>
      <c r="G397" s="144">
        <v>0.7</v>
      </c>
    </row>
    <row r="398" spans="2:7" x14ac:dyDescent="0.3">
      <c r="B398" s="390">
        <v>0.6</v>
      </c>
      <c r="C398" s="141">
        <v>0.5</v>
      </c>
      <c r="D398" s="141" t="s">
        <v>315</v>
      </c>
      <c r="E398" s="141">
        <v>0.64</v>
      </c>
      <c r="F398" s="141">
        <v>0.64</v>
      </c>
      <c r="G398" s="142">
        <v>0.64</v>
      </c>
    </row>
    <row r="399" spans="2:7" x14ac:dyDescent="0.3">
      <c r="B399" s="391"/>
      <c r="C399" s="143">
        <v>1</v>
      </c>
      <c r="D399" s="143" t="s">
        <v>316</v>
      </c>
      <c r="E399" s="143">
        <v>0.74</v>
      </c>
      <c r="F399" s="143">
        <v>0.72</v>
      </c>
      <c r="G399" s="144">
        <v>0.72</v>
      </c>
    </row>
    <row r="400" spans="2:7" x14ac:dyDescent="0.3">
      <c r="B400" s="391"/>
      <c r="C400" s="145">
        <v>2</v>
      </c>
      <c r="D400" s="145" t="s">
        <v>317</v>
      </c>
      <c r="E400" s="145">
        <v>0.79</v>
      </c>
      <c r="F400" s="145">
        <v>0.77</v>
      </c>
      <c r="G400" s="146">
        <v>0.75</v>
      </c>
    </row>
    <row r="401" spans="2:7" ht="15" thickBot="1" x14ac:dyDescent="0.35">
      <c r="B401" s="392"/>
      <c r="C401" s="143">
        <v>4</v>
      </c>
      <c r="D401" s="143" t="s">
        <v>318</v>
      </c>
      <c r="E401" s="143">
        <v>0.82</v>
      </c>
      <c r="F401" s="143">
        <v>0.8</v>
      </c>
      <c r="G401" s="144">
        <v>0.77</v>
      </c>
    </row>
    <row r="402" spans="2:7" x14ac:dyDescent="0.3">
      <c r="B402" s="390">
        <v>0.7</v>
      </c>
      <c r="C402" s="141">
        <v>0.5</v>
      </c>
      <c r="D402" s="141">
        <v>0.73</v>
      </c>
      <c r="E402" s="141">
        <v>0.73</v>
      </c>
      <c r="F402" s="141">
        <v>0.73</v>
      </c>
      <c r="G402" s="142">
        <v>0.73</v>
      </c>
    </row>
    <row r="403" spans="2:7" x14ac:dyDescent="0.3">
      <c r="B403" s="391"/>
      <c r="C403" s="143">
        <v>1</v>
      </c>
      <c r="D403" s="143">
        <v>0.83</v>
      </c>
      <c r="E403" s="143">
        <v>0.81</v>
      </c>
      <c r="F403" s="143">
        <v>0.8</v>
      </c>
      <c r="G403" s="144">
        <v>0.78</v>
      </c>
    </row>
    <row r="404" spans="2:7" x14ac:dyDescent="0.3">
      <c r="B404" s="391"/>
      <c r="C404" s="145">
        <v>2</v>
      </c>
      <c r="D404" s="145">
        <v>0.87</v>
      </c>
      <c r="E404" s="145">
        <v>0.85</v>
      </c>
      <c r="F404" s="145">
        <v>0.83</v>
      </c>
      <c r="G404" s="146">
        <v>0.82</v>
      </c>
    </row>
    <row r="405" spans="2:7" ht="15" thickBot="1" x14ac:dyDescent="0.35">
      <c r="B405" s="392"/>
      <c r="C405" s="143">
        <v>4</v>
      </c>
      <c r="D405" s="143">
        <v>0.89</v>
      </c>
      <c r="E405" s="143">
        <v>0.87</v>
      </c>
      <c r="F405" s="143">
        <v>0.85</v>
      </c>
      <c r="G405" s="144">
        <v>0.83</v>
      </c>
    </row>
    <row r="406" spans="2:7" x14ac:dyDescent="0.3">
      <c r="B406" s="390">
        <v>0.8</v>
      </c>
      <c r="C406" s="141">
        <v>0.5</v>
      </c>
      <c r="D406" s="141" t="s">
        <v>319</v>
      </c>
      <c r="E406" s="141">
        <v>0.8</v>
      </c>
      <c r="F406" s="141">
        <v>0.8</v>
      </c>
      <c r="G406" s="142">
        <v>0.79</v>
      </c>
    </row>
    <row r="407" spans="2:7" x14ac:dyDescent="0.3">
      <c r="B407" s="391"/>
      <c r="C407" s="143">
        <v>1</v>
      </c>
      <c r="D407" s="143" t="s">
        <v>320</v>
      </c>
      <c r="E407" s="143">
        <v>0.87</v>
      </c>
      <c r="F407" s="143">
        <v>0.85</v>
      </c>
      <c r="G407" s="144">
        <v>0.84</v>
      </c>
    </row>
    <row r="408" spans="2:7" x14ac:dyDescent="0.3">
      <c r="B408" s="391"/>
      <c r="C408" s="145">
        <v>2</v>
      </c>
      <c r="D408" s="145" t="s">
        <v>321</v>
      </c>
      <c r="E408" s="145">
        <v>0.89</v>
      </c>
      <c r="F408" s="145">
        <v>0.88</v>
      </c>
      <c r="G408" s="146">
        <v>0.86</v>
      </c>
    </row>
    <row r="409" spans="2:7" ht="15" thickBot="1" x14ac:dyDescent="0.35">
      <c r="B409" s="392"/>
      <c r="C409" s="143">
        <v>4</v>
      </c>
      <c r="D409" s="143" t="s">
        <v>322</v>
      </c>
      <c r="E409" s="143">
        <v>0.9</v>
      </c>
      <c r="F409" s="143">
        <v>0.88</v>
      </c>
      <c r="G409" s="144">
        <v>0.87</v>
      </c>
    </row>
    <row r="410" spans="2:7" x14ac:dyDescent="0.3">
      <c r="B410" s="390">
        <v>0.9</v>
      </c>
      <c r="C410" s="141">
        <v>0.5</v>
      </c>
      <c r="D410" s="141" t="s">
        <v>323</v>
      </c>
      <c r="E410" s="141">
        <v>0.88</v>
      </c>
      <c r="F410" s="141">
        <v>0.88</v>
      </c>
      <c r="G410" s="142">
        <v>0.87</v>
      </c>
    </row>
    <row r="411" spans="2:7" x14ac:dyDescent="0.3">
      <c r="B411" s="391"/>
      <c r="C411" s="143">
        <v>1</v>
      </c>
      <c r="D411" s="143" t="s">
        <v>324</v>
      </c>
      <c r="E411" s="143">
        <v>0.91</v>
      </c>
      <c r="F411" s="143">
        <v>0.9</v>
      </c>
      <c r="G411" s="144">
        <v>0.89</v>
      </c>
    </row>
    <row r="412" spans="2:7" x14ac:dyDescent="0.3">
      <c r="B412" s="391"/>
      <c r="C412" s="145">
        <v>2</v>
      </c>
      <c r="D412" s="145" t="s">
        <v>324</v>
      </c>
      <c r="E412" s="145">
        <v>0.91</v>
      </c>
      <c r="F412" s="145">
        <v>0.9</v>
      </c>
      <c r="G412" s="146">
        <v>0.89</v>
      </c>
    </row>
    <row r="413" spans="2:7" ht="15" thickBot="1" x14ac:dyDescent="0.35">
      <c r="B413" s="392"/>
      <c r="C413" s="143">
        <v>4</v>
      </c>
      <c r="D413" s="143" t="s">
        <v>324</v>
      </c>
      <c r="E413" s="143">
        <v>0.91</v>
      </c>
      <c r="F413" s="143">
        <v>0.9</v>
      </c>
      <c r="G413" s="144">
        <v>0.89</v>
      </c>
    </row>
    <row r="414" spans="2:7" x14ac:dyDescent="0.3">
      <c r="B414" s="387">
        <v>1</v>
      </c>
      <c r="C414" s="141">
        <v>0.5</v>
      </c>
      <c r="D414" s="141" t="s">
        <v>324</v>
      </c>
      <c r="E414" s="141">
        <v>0.92</v>
      </c>
      <c r="F414" s="141">
        <v>0.91</v>
      </c>
      <c r="G414" s="142">
        <v>0.9</v>
      </c>
    </row>
    <row r="415" spans="2:7" x14ac:dyDescent="0.3">
      <c r="B415" s="388"/>
      <c r="C415" s="143">
        <v>1</v>
      </c>
      <c r="D415" s="143" t="s">
        <v>325</v>
      </c>
      <c r="E415" s="143">
        <v>0.92</v>
      </c>
      <c r="F415" s="143">
        <v>0.92</v>
      </c>
      <c r="G415" s="144">
        <v>0.91</v>
      </c>
    </row>
    <row r="416" spans="2:7" x14ac:dyDescent="0.3">
      <c r="B416" s="388"/>
      <c r="C416" s="145">
        <v>2</v>
      </c>
      <c r="D416" s="145" t="s">
        <v>325</v>
      </c>
      <c r="E416" s="145">
        <v>0.92</v>
      </c>
      <c r="F416" s="145">
        <v>0.92</v>
      </c>
      <c r="G416" s="146">
        <v>0.91</v>
      </c>
    </row>
    <row r="417" spans="2:14" x14ac:dyDescent="0.3">
      <c r="B417" s="389"/>
      <c r="C417" s="147">
        <v>4</v>
      </c>
      <c r="D417" s="147" t="s">
        <v>325</v>
      </c>
      <c r="E417" s="147">
        <v>0.92</v>
      </c>
      <c r="F417" s="147">
        <v>0.91</v>
      </c>
      <c r="G417" s="148">
        <v>0.9</v>
      </c>
    </row>
    <row r="420" spans="2:14" ht="15" thickBot="1" x14ac:dyDescent="0.35">
      <c r="B420">
        <v>1</v>
      </c>
      <c r="C420">
        <v>2</v>
      </c>
    </row>
    <row r="421" spans="2:14" x14ac:dyDescent="0.3">
      <c r="B421" s="1" t="s">
        <v>326</v>
      </c>
      <c r="C421" s="3"/>
    </row>
    <row r="422" spans="2:14" x14ac:dyDescent="0.3">
      <c r="B422" s="4" t="s">
        <v>327</v>
      </c>
      <c r="C422" s="5"/>
    </row>
    <row r="423" spans="2:14" x14ac:dyDescent="0.3">
      <c r="B423" s="4" t="s">
        <v>328</v>
      </c>
      <c r="C423" s="5">
        <v>1.2</v>
      </c>
    </row>
    <row r="424" spans="2:14" x14ac:dyDescent="0.3">
      <c r="B424" s="4" t="s">
        <v>329</v>
      </c>
      <c r="C424" s="5">
        <v>0.5</v>
      </c>
    </row>
    <row r="425" spans="2:14" x14ac:dyDescent="0.3">
      <c r="B425" s="4" t="s">
        <v>330</v>
      </c>
      <c r="C425" s="5">
        <v>0.28000000000000003</v>
      </c>
    </row>
    <row r="426" spans="2:14" x14ac:dyDescent="0.3">
      <c r="B426" s="4" t="s">
        <v>331</v>
      </c>
      <c r="C426" s="5">
        <v>1</v>
      </c>
    </row>
    <row r="427" spans="2:14" ht="15" thickBot="1" x14ac:dyDescent="0.35">
      <c r="B427" s="6" t="s">
        <v>332</v>
      </c>
      <c r="C427" s="8">
        <v>0.5</v>
      </c>
    </row>
    <row r="428" spans="2:14" x14ac:dyDescent="0.3">
      <c r="G428">
        <v>1</v>
      </c>
      <c r="H428">
        <v>2</v>
      </c>
      <c r="I428">
        <v>3</v>
      </c>
      <c r="J428">
        <v>4</v>
      </c>
      <c r="K428">
        <v>5</v>
      </c>
      <c r="L428">
        <v>6</v>
      </c>
      <c r="M428">
        <v>7</v>
      </c>
      <c r="N428">
        <v>8</v>
      </c>
    </row>
    <row r="429" spans="2:14" x14ac:dyDescent="0.3">
      <c r="D429">
        <v>1</v>
      </c>
      <c r="E429">
        <v>2</v>
      </c>
      <c r="F429">
        <v>3</v>
      </c>
      <c r="G429">
        <v>4</v>
      </c>
      <c r="H429">
        <v>5</v>
      </c>
      <c r="I429">
        <v>6</v>
      </c>
      <c r="J429">
        <v>7</v>
      </c>
      <c r="K429">
        <v>8</v>
      </c>
      <c r="L429">
        <v>9</v>
      </c>
      <c r="M429">
        <v>0</v>
      </c>
    </row>
    <row r="430" spans="2:14" x14ac:dyDescent="0.3">
      <c r="B430" t="s">
        <v>333</v>
      </c>
      <c r="C430">
        <v>1</v>
      </c>
      <c r="D430">
        <v>2</v>
      </c>
      <c r="E430">
        <v>3</v>
      </c>
      <c r="F430">
        <v>4</v>
      </c>
      <c r="G430">
        <v>5</v>
      </c>
      <c r="H430">
        <v>6</v>
      </c>
      <c r="J430">
        <v>7</v>
      </c>
      <c r="K430">
        <v>8</v>
      </c>
      <c r="L430">
        <v>9</v>
      </c>
      <c r="M430">
        <v>10</v>
      </c>
    </row>
    <row r="431" spans="2:14" x14ac:dyDescent="0.3">
      <c r="B431" t="s">
        <v>334</v>
      </c>
      <c r="C431" t="s">
        <v>335</v>
      </c>
      <c r="D431" t="s">
        <v>336</v>
      </c>
    </row>
    <row r="432" spans="2:14" x14ac:dyDescent="0.3">
      <c r="C432" t="s">
        <v>337</v>
      </c>
      <c r="D432" t="s">
        <v>338</v>
      </c>
      <c r="E432" t="s">
        <v>339</v>
      </c>
      <c r="F432" t="s">
        <v>340</v>
      </c>
      <c r="G432" t="s">
        <v>64</v>
      </c>
      <c r="H432" t="s">
        <v>65</v>
      </c>
      <c r="I432" t="s">
        <v>67</v>
      </c>
      <c r="J432" t="s">
        <v>69</v>
      </c>
      <c r="K432" t="s">
        <v>70</v>
      </c>
      <c r="L432" t="s">
        <v>72</v>
      </c>
      <c r="M432" t="s">
        <v>74</v>
      </c>
    </row>
    <row r="433" spans="2:14" x14ac:dyDescent="0.3">
      <c r="B433" t="s">
        <v>341</v>
      </c>
      <c r="C433">
        <f>110-0.2*Energia!$C$9</f>
        <v>70</v>
      </c>
      <c r="D433">
        <f>83-0.02*Energia!$C$9</f>
        <v>79</v>
      </c>
      <c r="E433">
        <v>70</v>
      </c>
      <c r="F433">
        <v>80</v>
      </c>
      <c r="G433">
        <v>75</v>
      </c>
      <c r="H433">
        <v>80</v>
      </c>
      <c r="I433">
        <v>90</v>
      </c>
      <c r="J433">
        <v>90</v>
      </c>
      <c r="K433">
        <v>90</v>
      </c>
      <c r="L433">
        <v>90</v>
      </c>
      <c r="M433">
        <v>150</v>
      </c>
      <c r="N433" t="s">
        <v>341</v>
      </c>
    </row>
    <row r="434" spans="2:14" x14ac:dyDescent="0.3">
      <c r="B434" t="s">
        <v>342</v>
      </c>
      <c r="C434">
        <f>225-0.6*Energia!$C$9</f>
        <v>105</v>
      </c>
      <c r="D434">
        <f>131-0.04*Energia!$C$9</f>
        <v>123</v>
      </c>
      <c r="E434">
        <v>106</v>
      </c>
      <c r="F434">
        <v>110</v>
      </c>
      <c r="G434">
        <v>100</v>
      </c>
      <c r="H434">
        <v>120</v>
      </c>
      <c r="I434">
        <v>170</v>
      </c>
      <c r="J434">
        <v>170</v>
      </c>
      <c r="K434">
        <v>130</v>
      </c>
      <c r="L434">
        <v>130</v>
      </c>
      <c r="M434">
        <v>350</v>
      </c>
      <c r="N434" t="s">
        <v>342</v>
      </c>
    </row>
    <row r="435" spans="2:14" x14ac:dyDescent="0.3">
      <c r="B435" t="s">
        <v>343</v>
      </c>
      <c r="C435">
        <f>252-0.6*Energia!$C$9</f>
        <v>132</v>
      </c>
      <c r="D435">
        <f>173-0.07*Energia!$C$9</f>
        <v>159</v>
      </c>
      <c r="E435">
        <v>130</v>
      </c>
      <c r="F435">
        <v>150</v>
      </c>
      <c r="G435">
        <v>130</v>
      </c>
      <c r="H435">
        <v>170</v>
      </c>
      <c r="I435">
        <v>240</v>
      </c>
      <c r="J435">
        <v>240</v>
      </c>
      <c r="K435">
        <v>170</v>
      </c>
      <c r="L435">
        <v>170</v>
      </c>
      <c r="M435">
        <v>450</v>
      </c>
      <c r="N435" t="s">
        <v>343</v>
      </c>
    </row>
    <row r="436" spans="2:14" x14ac:dyDescent="0.3">
      <c r="B436" t="s">
        <v>344</v>
      </c>
      <c r="C436">
        <f>332-0.6*Energia!$C$9</f>
        <v>212</v>
      </c>
      <c r="D436">
        <f>253-0.07*Energia!$C$9</f>
        <v>239</v>
      </c>
      <c r="E436">
        <v>210</v>
      </c>
      <c r="F436">
        <v>210</v>
      </c>
      <c r="G436">
        <v>160</v>
      </c>
      <c r="H436">
        <v>200</v>
      </c>
      <c r="I436">
        <v>280</v>
      </c>
      <c r="J436">
        <v>280</v>
      </c>
      <c r="K436">
        <v>230</v>
      </c>
      <c r="L436">
        <v>190</v>
      </c>
      <c r="M436">
        <v>550</v>
      </c>
      <c r="N436" t="s">
        <v>344</v>
      </c>
    </row>
    <row r="437" spans="2:14" x14ac:dyDescent="0.3">
      <c r="B437" t="s">
        <v>268</v>
      </c>
      <c r="C437">
        <f>462-0.6*Energia!$C$9</f>
        <v>342</v>
      </c>
      <c r="D437">
        <f>383-0.07*Energia!$C$9</f>
        <v>369</v>
      </c>
      <c r="E437">
        <v>340</v>
      </c>
      <c r="F437">
        <v>340</v>
      </c>
      <c r="G437">
        <v>190</v>
      </c>
      <c r="H437">
        <v>240</v>
      </c>
      <c r="I437">
        <v>340</v>
      </c>
      <c r="J437">
        <v>340</v>
      </c>
      <c r="K437">
        <v>300</v>
      </c>
      <c r="L437">
        <v>240</v>
      </c>
      <c r="M437">
        <v>650</v>
      </c>
      <c r="N437" t="s">
        <v>268</v>
      </c>
    </row>
    <row r="438" spans="2:14" x14ac:dyDescent="0.3">
      <c r="B438" t="s">
        <v>345</v>
      </c>
      <c r="C438">
        <f>532-0.6*Energia!$C$9</f>
        <v>412</v>
      </c>
      <c r="D438">
        <f>453-0.07*Energia!$C$9</f>
        <v>439</v>
      </c>
      <c r="E438">
        <v>410</v>
      </c>
      <c r="F438">
        <v>410</v>
      </c>
      <c r="G438">
        <v>240</v>
      </c>
      <c r="H438">
        <v>300</v>
      </c>
      <c r="I438">
        <v>390</v>
      </c>
      <c r="J438">
        <v>450</v>
      </c>
      <c r="K438">
        <v>360</v>
      </c>
      <c r="L438">
        <v>280</v>
      </c>
      <c r="M438">
        <v>800</v>
      </c>
      <c r="N438" t="s">
        <v>345</v>
      </c>
    </row>
    <row r="439" spans="2:14" x14ac:dyDescent="0.3">
      <c r="B439" t="s">
        <v>346</v>
      </c>
      <c r="C439">
        <f>1000-0.6*Energia!$C$9</f>
        <v>880</v>
      </c>
      <c r="D439">
        <f>1000-0.07*Energia!$C$9</f>
        <v>986</v>
      </c>
      <c r="E439">
        <v>1000</v>
      </c>
      <c r="F439">
        <v>1000</v>
      </c>
      <c r="G439">
        <v>1000</v>
      </c>
      <c r="H439">
        <v>1000</v>
      </c>
      <c r="I439">
        <v>1000</v>
      </c>
      <c r="J439">
        <v>1000</v>
      </c>
      <c r="K439">
        <v>1000</v>
      </c>
      <c r="L439">
        <v>1000</v>
      </c>
      <c r="M439">
        <v>2000</v>
      </c>
      <c r="N439" t="s">
        <v>346</v>
      </c>
    </row>
    <row r="444" spans="2:14" x14ac:dyDescent="0.3">
      <c r="B444" s="16" t="s">
        <v>354</v>
      </c>
      <c r="C444" s="16" t="s">
        <v>642</v>
      </c>
      <c r="D444" t="str">
        <f>_xlfn.XLOOKUP(443.8,C433:C439,B433:B439,,1,)</f>
        <v>G</v>
      </c>
    </row>
    <row r="445" spans="2:14" ht="210" x14ac:dyDescent="0.3">
      <c r="B445" s="292" t="s">
        <v>638</v>
      </c>
      <c r="C445" s="292" t="s">
        <v>639</v>
      </c>
    </row>
    <row r="446" spans="2:14" ht="43.2" x14ac:dyDescent="0.3">
      <c r="B446" s="292" t="s">
        <v>632</v>
      </c>
      <c r="C446" s="292">
        <v>90</v>
      </c>
    </row>
    <row r="447" spans="2:14" ht="28.8" x14ac:dyDescent="0.3">
      <c r="B447" s="292" t="s">
        <v>633</v>
      </c>
      <c r="C447" s="292">
        <v>100</v>
      </c>
    </row>
    <row r="448" spans="2:14" ht="131.4" x14ac:dyDescent="0.3">
      <c r="B448" s="292" t="s">
        <v>640</v>
      </c>
      <c r="C448" s="292">
        <v>135</v>
      </c>
    </row>
    <row r="449" spans="2:3" ht="43.2" x14ac:dyDescent="0.3">
      <c r="B449" s="292" t="s">
        <v>634</v>
      </c>
      <c r="C449" s="292">
        <v>160</v>
      </c>
    </row>
    <row r="450" spans="2:3" ht="28.8" x14ac:dyDescent="0.3">
      <c r="B450" s="292" t="s">
        <v>635</v>
      </c>
      <c r="C450" s="292">
        <v>100</v>
      </c>
    </row>
    <row r="451" spans="2:3" ht="28.8" x14ac:dyDescent="0.3">
      <c r="B451" s="292" t="s">
        <v>636</v>
      </c>
      <c r="C451" s="292">
        <v>100</v>
      </c>
    </row>
    <row r="452" spans="2:3" x14ac:dyDescent="0.3">
      <c r="B452" s="292" t="s">
        <v>637</v>
      </c>
      <c r="C452" s="292">
        <v>320</v>
      </c>
    </row>
    <row r="453" spans="2:3" ht="73.8" x14ac:dyDescent="0.3">
      <c r="B453" s="292" t="s">
        <v>641</v>
      </c>
      <c r="C453" s="291" t="s">
        <v>643</v>
      </c>
    </row>
  </sheetData>
  <mergeCells count="11">
    <mergeCell ref="C313:D313"/>
    <mergeCell ref="B344:G344"/>
    <mergeCell ref="B382:G382"/>
    <mergeCell ref="B386:B389"/>
    <mergeCell ref="B390:B393"/>
    <mergeCell ref="B414:B417"/>
    <mergeCell ref="B394:B397"/>
    <mergeCell ref="B398:B401"/>
    <mergeCell ref="B402:B405"/>
    <mergeCell ref="B406:B409"/>
    <mergeCell ref="B410:B413"/>
  </mergeCells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AE4F9-E892-46EE-8604-A4705BE01B67}">
  <sheetPr codeName="Sheet3">
    <pageSetUpPr fitToPage="1"/>
  </sheetPr>
  <dimension ref="B2:R166"/>
  <sheetViews>
    <sheetView showGridLines="0" zoomScaleNormal="100" workbookViewId="0">
      <selection activeCell="L21" sqref="L21"/>
    </sheetView>
  </sheetViews>
  <sheetFormatPr defaultRowHeight="14.4" x14ac:dyDescent="0.3"/>
  <cols>
    <col min="2" max="2" width="39.33203125" bestFit="1" customWidth="1"/>
    <col min="3" max="3" width="28.33203125" customWidth="1"/>
    <col min="4" max="4" width="13" bestFit="1" customWidth="1"/>
    <col min="5" max="5" width="10.6640625" bestFit="1" customWidth="1"/>
    <col min="6" max="6" width="14.44140625" bestFit="1" customWidth="1"/>
    <col min="7" max="7" width="16.33203125" customWidth="1"/>
    <col min="8" max="8" width="9.6640625" bestFit="1" customWidth="1"/>
    <col min="10" max="10" width="10.6640625" bestFit="1" customWidth="1"/>
    <col min="11" max="11" width="9" bestFit="1" customWidth="1"/>
    <col min="12" max="12" width="10.6640625" bestFit="1" customWidth="1"/>
  </cols>
  <sheetData>
    <row r="2" spans="2:17" ht="36.6" customHeight="1" x14ac:dyDescent="0.35">
      <c r="B2" s="386" t="s">
        <v>665</v>
      </c>
      <c r="C2" s="10"/>
      <c r="E2" s="401" t="s">
        <v>347</v>
      </c>
      <c r="F2" s="401"/>
      <c r="G2" s="276"/>
      <c r="H2" s="276"/>
      <c r="I2" s="276"/>
    </row>
    <row r="3" spans="2:17" ht="18" customHeight="1" x14ac:dyDescent="0.35">
      <c r="B3" s="168" t="s">
        <v>348</v>
      </c>
      <c r="C3" s="169">
        <v>2</v>
      </c>
      <c r="D3" s="348" t="s">
        <v>688</v>
      </c>
      <c r="E3" s="166" t="s">
        <v>349</v>
      </c>
      <c r="F3" s="166">
        <f>VLOOKUP(E3,Aloitustaulukot!B93:G106,IF($C$3=1,3,IF($C$3=2,4,IF($C$3=3,5,IF($C$3=4,6,"wat")))),FALSE)</f>
        <v>-3.97</v>
      </c>
      <c r="G3" s="274"/>
      <c r="H3" s="275"/>
      <c r="I3" s="272"/>
    </row>
    <row r="4" spans="2:17" ht="18" x14ac:dyDescent="0.35">
      <c r="B4" s="168" t="s">
        <v>350</v>
      </c>
      <c r="C4" s="169">
        <v>2018</v>
      </c>
      <c r="D4" s="348" t="s">
        <v>659</v>
      </c>
      <c r="E4" s="166" t="s">
        <v>351</v>
      </c>
      <c r="F4" s="166">
        <f>VLOOKUP(E4,Aloitustaulukot!B94:G107,IF($C$3=1,3,IF($C$3=2,4,IF($C$3=3,5,IF($C$3=4,6,"wat")))),FALSE)</f>
        <v>-4.5</v>
      </c>
      <c r="G4" s="274"/>
      <c r="H4" s="275"/>
    </row>
    <row r="5" spans="2:17" ht="18" customHeight="1" x14ac:dyDescent="0.35">
      <c r="B5" s="168"/>
      <c r="C5" s="169"/>
      <c r="D5" s="348"/>
      <c r="E5" s="166" t="s">
        <v>352</v>
      </c>
      <c r="F5" s="166">
        <f>VLOOKUP(E5,Aloitustaulukot!B95:G108,IF($C$3=1,3,IF($C$3=2,4,IF($C$3=3,5,IF($C$3=4,6,"wat")))),FALSE)</f>
        <v>-2.58</v>
      </c>
      <c r="G5" s="274"/>
      <c r="H5" s="275"/>
    </row>
    <row r="6" spans="2:17" ht="18" x14ac:dyDescent="0.35">
      <c r="B6" s="168" t="s">
        <v>81</v>
      </c>
      <c r="C6" s="169">
        <f>VLOOKUP(C3,Aloitustaulukot!I94:J98,2,FALSE)</f>
        <v>-29</v>
      </c>
      <c r="D6" s="197"/>
      <c r="E6" s="166" t="s">
        <v>353</v>
      </c>
      <c r="F6" s="166">
        <f>VLOOKUP(E6,Aloitustaulukot!B96:G109,IF($C$3=1,3,IF($C$3=2,4,IF($C$3=3,5,IF($C$3=4,6,"wat")))),FALSE)</f>
        <v>4.5</v>
      </c>
      <c r="G6" s="274"/>
      <c r="H6" s="275"/>
    </row>
    <row r="7" spans="2:17" ht="18" x14ac:dyDescent="0.35">
      <c r="B7" s="168" t="s">
        <v>354</v>
      </c>
      <c r="C7" s="169" t="s">
        <v>62</v>
      </c>
      <c r="D7" s="348" t="s">
        <v>659</v>
      </c>
      <c r="E7" s="166" t="s">
        <v>355</v>
      </c>
      <c r="F7" s="166">
        <f>VLOOKUP(E7,Aloitustaulukot!B97:G110,IF($C$3=1,3,IF($C$3=2,4,IF($C$3=3,5,IF($C$3=4,6,"wat")))),FALSE)</f>
        <v>10.76</v>
      </c>
      <c r="G7" s="274"/>
      <c r="H7" s="275"/>
    </row>
    <row r="8" spans="2:17" ht="18" x14ac:dyDescent="0.35">
      <c r="B8" s="168" t="s">
        <v>146</v>
      </c>
      <c r="C8" s="169">
        <v>2</v>
      </c>
      <c r="D8" s="348" t="s">
        <v>659</v>
      </c>
      <c r="E8" s="166" t="s">
        <v>356</v>
      </c>
      <c r="F8" s="166">
        <f>VLOOKUP(E8,Aloitustaulukot!B98:G111,IF($C$3=1,3,IF($C$3=2,4,IF($C$3=3,5,IF($C$3=4,6,"wat")))),FALSE)</f>
        <v>14.23</v>
      </c>
      <c r="G8" s="274"/>
      <c r="H8" s="275"/>
    </row>
    <row r="9" spans="2:17" ht="18" x14ac:dyDescent="0.35">
      <c r="B9" s="168" t="s">
        <v>357</v>
      </c>
      <c r="C9" s="169">
        <v>200</v>
      </c>
      <c r="D9" s="348" t="s">
        <v>659</v>
      </c>
      <c r="E9" s="166" t="s">
        <v>358</v>
      </c>
      <c r="F9" s="166">
        <f>VLOOKUP(E9,Aloitustaulukot!B99:G112,IF($C$3=1,3,IF($C$3=2,4,IF($C$3=3,5,IF($C$3=4,6,"wat")))),FALSE)</f>
        <v>17.3</v>
      </c>
      <c r="G9" s="274"/>
      <c r="H9" s="275"/>
    </row>
    <row r="10" spans="2:17" ht="18" x14ac:dyDescent="0.35">
      <c r="B10" s="168" t="s">
        <v>359</v>
      </c>
      <c r="C10" s="170">
        <f>C9/C8</f>
        <v>100</v>
      </c>
      <c r="D10" s="349"/>
      <c r="E10" s="166" t="s">
        <v>360</v>
      </c>
      <c r="F10" s="166">
        <f>VLOOKUP(E10,Aloitustaulukot!B100:G113,IF($C$3=1,3,IF($C$3=2,4,IF($C$3=3,5,IF($C$3=4,6,"wat")))),FALSE)</f>
        <v>16.05</v>
      </c>
      <c r="G10" s="274"/>
      <c r="H10" s="275"/>
    </row>
    <row r="11" spans="2:17" ht="18" x14ac:dyDescent="0.35">
      <c r="B11" s="168"/>
      <c r="C11" s="169"/>
      <c r="D11" s="348"/>
      <c r="E11" s="166" t="s">
        <v>361</v>
      </c>
      <c r="F11" s="166">
        <f>VLOOKUP(E11,Aloitustaulukot!B101:G114,IF($C$3=1,3,IF($C$3=2,4,IF($C$3=3,5,IF($C$3=4,6,"wat")))),FALSE)</f>
        <v>10.53</v>
      </c>
      <c r="G11" s="274"/>
      <c r="H11" s="275"/>
    </row>
    <row r="12" spans="2:17" ht="18" x14ac:dyDescent="0.35">
      <c r="B12" s="168" t="s">
        <v>127</v>
      </c>
      <c r="C12" s="169" t="s">
        <v>140</v>
      </c>
      <c r="D12" s="348" t="s">
        <v>659</v>
      </c>
      <c r="E12" s="166" t="s">
        <v>362</v>
      </c>
      <c r="F12" s="166">
        <f>VLOOKUP(E12,Aloitustaulukot!B102:G115,IF($C$3=1,3,IF($C$3=2,4,IF($C$3=3,5,IF($C$3=4,6,"wat")))),FALSE)</f>
        <v>6.2</v>
      </c>
      <c r="G12" s="274"/>
      <c r="H12" s="275"/>
    </row>
    <row r="13" spans="2:17" ht="18" x14ac:dyDescent="0.35">
      <c r="B13" s="168" t="s">
        <v>363</v>
      </c>
      <c r="C13" s="169" t="str">
        <f>VLOOKUP(C12,Aloitustaulukot!B127:G138,6,FALSE)</f>
        <v>Kauko- tai aluelämpö</v>
      </c>
      <c r="D13" s="348"/>
      <c r="E13" s="166" t="s">
        <v>364</v>
      </c>
      <c r="F13" s="166">
        <f>VLOOKUP(E13,Aloitustaulukot!B103:G116,IF($C$3=1,3,IF($C$3=2,4,IF($C$3=3,5,IF($C$3=4,6,"wat")))),FALSE)</f>
        <v>0.5</v>
      </c>
      <c r="G13" s="274"/>
      <c r="H13" s="275"/>
    </row>
    <row r="14" spans="2:17" ht="18" x14ac:dyDescent="0.35">
      <c r="B14" s="168" t="s">
        <v>365</v>
      </c>
      <c r="C14" s="169" t="s">
        <v>101</v>
      </c>
      <c r="D14" s="348" t="s">
        <v>659</v>
      </c>
      <c r="E14" s="166" t="s">
        <v>366</v>
      </c>
      <c r="F14" s="166">
        <f>VLOOKUP(E14,Aloitustaulukot!B104:G117,IF($C$3=1,3,IF($C$3=2,4,IF($C$3=3,5,IF($C$3=4,6,"wat")))),FALSE)</f>
        <v>-2.19</v>
      </c>
      <c r="G14" s="274"/>
      <c r="H14" s="275"/>
      <c r="Q14" s="272"/>
    </row>
    <row r="15" spans="2:17" ht="18" x14ac:dyDescent="0.35">
      <c r="B15" s="168" t="s">
        <v>658</v>
      </c>
      <c r="C15" s="169" t="s">
        <v>367</v>
      </c>
      <c r="D15" s="348" t="s">
        <v>659</v>
      </c>
      <c r="E15" s="261"/>
      <c r="Q15" s="272"/>
    </row>
    <row r="16" spans="2:17" x14ac:dyDescent="0.3">
      <c r="Q16" s="272"/>
    </row>
    <row r="17" spans="2:17" x14ac:dyDescent="0.3">
      <c r="Q17" s="272"/>
    </row>
    <row r="18" spans="2:17" ht="18" x14ac:dyDescent="0.35">
      <c r="B18" s="9" t="s">
        <v>369</v>
      </c>
      <c r="C18" s="271">
        <f>IF(C19="kyllä",E92-G19,IF(C20="kyllä",E92-G20,IF(AND(C19="kyllä",C20="kyllä"),E92-G19-G20,E92)))</f>
        <v>11145.939012708865</v>
      </c>
      <c r="D18" s="37" t="s">
        <v>370</v>
      </c>
      <c r="E18" s="400"/>
      <c r="F18" s="400"/>
      <c r="G18" s="400"/>
      <c r="H18" s="171"/>
      <c r="I18" s="171"/>
      <c r="J18" s="171"/>
      <c r="K18" s="277"/>
      <c r="L18" s="277"/>
      <c r="M18" s="277"/>
      <c r="Q18" s="272"/>
    </row>
    <row r="19" spans="2:17" x14ac:dyDescent="0.3">
      <c r="B19" s="171" t="s">
        <v>371</v>
      </c>
      <c r="C19" s="171" t="s">
        <v>368</v>
      </c>
      <c r="D19" s="171" t="s">
        <v>372</v>
      </c>
      <c r="E19" s="171">
        <v>0</v>
      </c>
      <c r="F19" s="171" t="s">
        <v>373</v>
      </c>
      <c r="G19" s="171">
        <f>IF(C19="kyllä",E19*3000,0)</f>
        <v>0</v>
      </c>
      <c r="H19" s="171" t="s">
        <v>370</v>
      </c>
      <c r="I19" s="171"/>
      <c r="J19" s="171"/>
      <c r="K19" s="277"/>
      <c r="L19" s="277"/>
      <c r="M19" s="277"/>
      <c r="Q19" s="272"/>
    </row>
    <row r="20" spans="2:17" x14ac:dyDescent="0.3">
      <c r="B20" s="171" t="s">
        <v>374</v>
      </c>
      <c r="C20" s="171" t="s">
        <v>368</v>
      </c>
      <c r="D20" s="171" t="s">
        <v>372</v>
      </c>
      <c r="E20" s="171">
        <v>0</v>
      </c>
      <c r="F20" s="171" t="s">
        <v>373</v>
      </c>
      <c r="G20" s="171">
        <f>IF(C20="Kyllä",VLOOKUP(C4,Aloitustaulukot!B5:P73,14,FALSE),0)*Energia!E20</f>
        <v>0</v>
      </c>
      <c r="H20" s="171" t="s">
        <v>370</v>
      </c>
      <c r="I20" s="171">
        <f>G20/C9</f>
        <v>0</v>
      </c>
      <c r="J20" s="171" t="s">
        <v>375</v>
      </c>
      <c r="K20" s="277"/>
      <c r="L20" s="277"/>
      <c r="M20" s="277"/>
      <c r="Q20" s="272"/>
    </row>
    <row r="21" spans="2:17" x14ac:dyDescent="0.3">
      <c r="B21" s="171" t="s">
        <v>376</v>
      </c>
      <c r="C21" s="171" t="s">
        <v>368</v>
      </c>
      <c r="D21" s="171" t="s">
        <v>377</v>
      </c>
      <c r="E21" s="171" t="s">
        <v>159</v>
      </c>
      <c r="F21" s="171"/>
      <c r="G21" s="171"/>
      <c r="H21" s="171"/>
      <c r="I21" s="171"/>
      <c r="J21" s="171"/>
      <c r="K21" s="277"/>
      <c r="L21" s="277"/>
      <c r="M21" s="277"/>
      <c r="Q21" s="272"/>
    </row>
    <row r="22" spans="2:17" x14ac:dyDescent="0.3">
      <c r="B22" s="171" t="s">
        <v>650</v>
      </c>
      <c r="C22" s="171">
        <f>VLOOKUP(C14,Aloitustaulukot!A112:H124,5,FALSE)</f>
        <v>0.9</v>
      </c>
      <c r="D22" s="171"/>
      <c r="E22" s="171"/>
      <c r="F22" s="171"/>
      <c r="G22" s="171"/>
      <c r="H22" s="171"/>
      <c r="I22" s="171"/>
      <c r="J22" s="171"/>
      <c r="K22" s="277"/>
      <c r="L22" s="277"/>
      <c r="M22" s="277"/>
      <c r="Q22" s="272"/>
    </row>
    <row r="23" spans="2:17" x14ac:dyDescent="0.3">
      <c r="B23" s="171" t="s">
        <v>378</v>
      </c>
      <c r="C23" s="171">
        <f>VLOOKUP(C14,Aloitustaulukot!A112:F124,6,FALSE)</f>
        <v>2</v>
      </c>
      <c r="D23" s="171"/>
      <c r="E23" s="171"/>
      <c r="F23" s="171"/>
      <c r="G23" s="171"/>
      <c r="H23" s="171"/>
      <c r="I23" s="171"/>
      <c r="J23" s="171"/>
      <c r="K23" s="277"/>
      <c r="L23" s="277"/>
      <c r="M23" s="277"/>
      <c r="Q23" s="272"/>
    </row>
    <row r="24" spans="2:17" x14ac:dyDescent="0.3">
      <c r="B24" s="171" t="s">
        <v>379</v>
      </c>
      <c r="C24" s="171">
        <f>VLOOKUP(C12,Aloitustaulukot!B129:F138,IF(Energia!C7="Luokka 1)",2,4),FALSE)</f>
        <v>0.94</v>
      </c>
      <c r="D24" s="171"/>
      <c r="E24" s="171"/>
      <c r="F24" s="171"/>
      <c r="G24" s="171"/>
      <c r="H24" s="171"/>
      <c r="I24" s="171"/>
      <c r="J24" s="171"/>
      <c r="K24" s="277"/>
      <c r="L24" s="277"/>
      <c r="M24" s="277"/>
      <c r="Q24" s="272"/>
    </row>
    <row r="27" spans="2:17" ht="18" customHeight="1" x14ac:dyDescent="0.35">
      <c r="B27" s="9" t="s">
        <v>380</v>
      </c>
      <c r="C27" s="271">
        <f>E86</f>
        <v>2496.904704</v>
      </c>
      <c r="D27" s="37" t="s">
        <v>370</v>
      </c>
      <c r="E27" s="171"/>
      <c r="F27" s="171"/>
      <c r="G27" s="171"/>
      <c r="H27" s="277"/>
      <c r="I27" s="277"/>
      <c r="J27" s="277"/>
    </row>
    <row r="28" spans="2:17" x14ac:dyDescent="0.3">
      <c r="B28" s="171" t="s">
        <v>381</v>
      </c>
      <c r="C28" s="171" t="s">
        <v>29</v>
      </c>
      <c r="D28" s="347" t="s">
        <v>659</v>
      </c>
      <c r="E28" s="171"/>
      <c r="F28" s="171"/>
      <c r="G28" s="171"/>
      <c r="H28" s="277"/>
      <c r="I28" s="277"/>
      <c r="J28" s="277"/>
    </row>
    <row r="29" spans="2:17" x14ac:dyDescent="0.3">
      <c r="B29" s="171" t="s">
        <v>382</v>
      </c>
      <c r="C29" s="171">
        <v>0.55000000000000004</v>
      </c>
      <c r="D29" s="347" t="s">
        <v>659</v>
      </c>
      <c r="E29" s="171"/>
      <c r="F29" s="171"/>
      <c r="G29" s="171"/>
      <c r="H29" s="277"/>
      <c r="I29" s="277"/>
      <c r="J29" s="277"/>
    </row>
    <row r="30" spans="2:17" x14ac:dyDescent="0.3">
      <c r="B30" s="171" t="s">
        <v>383</v>
      </c>
      <c r="C30" s="171">
        <f>VLOOKUP(C7,Aloitustaulukot!B79:U86,2,FALSE)*Energia!C9</f>
        <v>80</v>
      </c>
      <c r="D30" s="171" t="s">
        <v>384</v>
      </c>
      <c r="E30" s="171"/>
      <c r="F30" s="171"/>
      <c r="G30" s="171"/>
      <c r="H30" s="277"/>
      <c r="I30" s="277"/>
      <c r="J30" s="277"/>
    </row>
    <row r="31" spans="2:17" x14ac:dyDescent="0.3">
      <c r="B31" s="171" t="s">
        <v>385</v>
      </c>
      <c r="C31" s="171">
        <f>IF(C28=Aloitustaulukot!P58,Energia!C30,0)</f>
        <v>80</v>
      </c>
      <c r="D31" s="171" t="s">
        <v>384</v>
      </c>
      <c r="E31" s="171"/>
      <c r="F31" s="171"/>
      <c r="G31" s="171"/>
      <c r="H31" s="277"/>
      <c r="I31" s="277"/>
      <c r="J31" s="277"/>
    </row>
    <row r="32" spans="2:17" x14ac:dyDescent="0.3">
      <c r="B32" s="171" t="s">
        <v>386</v>
      </c>
      <c r="C32" s="171" t="str">
        <f>IF(C28=Aloitustaulukot!P58,"ei","kyllä")</f>
        <v>ei</v>
      </c>
      <c r="D32" s="171" t="s">
        <v>387</v>
      </c>
      <c r="E32" s="171">
        <f>C30-C31</f>
        <v>0</v>
      </c>
      <c r="F32" s="171" t="s">
        <v>384</v>
      </c>
      <c r="G32" s="171"/>
      <c r="H32" s="277"/>
      <c r="I32" s="277"/>
      <c r="J32" s="277"/>
    </row>
    <row r="33" spans="2:12" x14ac:dyDescent="0.3">
      <c r="B33" s="171" t="s">
        <v>388</v>
      </c>
      <c r="C33" s="171">
        <f>VLOOKUP(Energia!C4,Aloitustaulukot!B4:N73,IF(Energia!C28=Aloitustaulukot!L4,11,IF(Energia!C28=Aloitustaulukot!M4,12,IF(Energia!C28=Aloitustaulukot!N4,13,"wat"))),FALSE)</f>
        <v>1.8</v>
      </c>
      <c r="D33" s="171" t="s">
        <v>389</v>
      </c>
      <c r="E33" s="171" t="s">
        <v>390</v>
      </c>
      <c r="F33" s="171">
        <f>C33*C30</f>
        <v>144</v>
      </c>
      <c r="G33" s="171" t="s">
        <v>391</v>
      </c>
      <c r="H33" s="277"/>
      <c r="I33" s="277"/>
      <c r="J33" s="277"/>
    </row>
    <row r="34" spans="2:12" x14ac:dyDescent="0.3">
      <c r="B34" s="171" t="s">
        <v>392</v>
      </c>
      <c r="C34" s="171">
        <v>17</v>
      </c>
      <c r="D34" s="171" t="s">
        <v>393</v>
      </c>
      <c r="E34" s="171"/>
      <c r="F34" s="171"/>
      <c r="G34" s="171"/>
    </row>
    <row r="35" spans="2:12" x14ac:dyDescent="0.3">
      <c r="B35" s="171" t="s">
        <v>394</v>
      </c>
      <c r="C35" s="171">
        <v>0.5</v>
      </c>
      <c r="D35" s="171" t="s">
        <v>393</v>
      </c>
      <c r="E35" s="171"/>
      <c r="F35" s="171"/>
      <c r="G35" s="171"/>
    </row>
    <row r="36" spans="2:12" x14ac:dyDescent="0.3">
      <c r="B36" s="171" t="s">
        <v>395</v>
      </c>
      <c r="C36" s="171">
        <f>VLOOKUP(C7,Aloitustaulukot!B77:U86,8,FALSE)/24</f>
        <v>1</v>
      </c>
      <c r="D36" s="171"/>
      <c r="E36" s="171"/>
      <c r="F36" s="171"/>
      <c r="G36" s="171"/>
    </row>
    <row r="37" spans="2:12" x14ac:dyDescent="0.3">
      <c r="B37" s="171" t="s">
        <v>396</v>
      </c>
      <c r="C37" s="171">
        <f>VLOOKUP(C7,Aloitustaulukot!B77:U86,9,FALSE)/7</f>
        <v>1</v>
      </c>
      <c r="D37" s="171"/>
      <c r="E37" s="171"/>
      <c r="F37" s="171"/>
      <c r="G37" s="171"/>
    </row>
    <row r="40" spans="2:12" ht="18" x14ac:dyDescent="0.35">
      <c r="B40" s="9" t="s">
        <v>397</v>
      </c>
      <c r="C40" s="271">
        <f>E83+E84+E85</f>
        <v>4200</v>
      </c>
      <c r="D40" s="37" t="s">
        <v>370</v>
      </c>
      <c r="E40" s="171"/>
      <c r="F40" s="171"/>
      <c r="G40" s="171"/>
      <c r="H40" s="171"/>
      <c r="I40" s="171"/>
      <c r="J40" s="277"/>
      <c r="K40" s="277"/>
      <c r="L40" s="277"/>
    </row>
    <row r="41" spans="2:12" x14ac:dyDescent="0.3">
      <c r="B41" s="171" t="s">
        <v>398</v>
      </c>
      <c r="C41" s="171">
        <f>VLOOKUP(C7,Aloitustaulukot!B76:G87,6,FALSE)</f>
        <v>35</v>
      </c>
      <c r="D41" s="171" t="s">
        <v>399</v>
      </c>
      <c r="E41" s="171"/>
      <c r="F41" s="171"/>
      <c r="G41" s="171"/>
      <c r="H41" s="171"/>
      <c r="I41" s="171"/>
      <c r="J41" s="277"/>
      <c r="K41" s="277"/>
      <c r="L41" s="277"/>
    </row>
    <row r="42" spans="2:12" x14ac:dyDescent="0.3">
      <c r="B42" s="171" t="s">
        <v>400</v>
      </c>
      <c r="C42" s="171">
        <f>IF(AND(C7="Luokka 1)",C41*C9&gt;4200),4200,C41*C9)</f>
        <v>4200</v>
      </c>
      <c r="D42" s="171" t="s">
        <v>370</v>
      </c>
      <c r="E42" s="171"/>
      <c r="F42" s="171"/>
      <c r="G42" s="171"/>
      <c r="H42" s="171"/>
      <c r="I42" s="171"/>
      <c r="J42" s="277"/>
      <c r="K42" s="277"/>
      <c r="L42" s="277"/>
    </row>
    <row r="43" spans="2:12" x14ac:dyDescent="0.3">
      <c r="B43" s="171" t="s">
        <v>401</v>
      </c>
      <c r="C43" s="171" t="s">
        <v>654</v>
      </c>
      <c r="D43" s="171" t="s">
        <v>402</v>
      </c>
      <c r="E43" s="171">
        <v>0</v>
      </c>
      <c r="F43" s="171" t="s">
        <v>403</v>
      </c>
      <c r="G43" s="171" t="s">
        <v>32</v>
      </c>
      <c r="H43" s="171">
        <v>100</v>
      </c>
      <c r="I43" s="171" t="s">
        <v>404</v>
      </c>
      <c r="J43" s="277"/>
      <c r="K43" s="277"/>
      <c r="L43" s="277"/>
    </row>
    <row r="44" spans="2:12" x14ac:dyDescent="0.3">
      <c r="B44" s="171" t="s">
        <v>405</v>
      </c>
      <c r="C44" s="171">
        <f>VLOOKUP(E43,Aloitustaulukot!B178:D188,IF(Energia!H43=100,3,IF(Energia!H43=40,2,0)),FALSE)</f>
        <v>0</v>
      </c>
      <c r="D44" s="171" t="s">
        <v>370</v>
      </c>
      <c r="E44" s="171"/>
      <c r="F44" s="171"/>
      <c r="G44" s="171"/>
      <c r="H44" s="171"/>
      <c r="I44" s="171"/>
      <c r="J44" s="277"/>
      <c r="K44" s="277"/>
      <c r="L44" s="277"/>
    </row>
    <row r="45" spans="2:12" x14ac:dyDescent="0.3">
      <c r="B45" s="171" t="s">
        <v>406</v>
      </c>
      <c r="C45" s="171">
        <f>IF(Energia!C7="Luokka 1)",VLOOKUP(Energia!C12,Aloitustaulukot!B127:F138,2,FALSE),VLOOKUP(C12,Aloitustaulukot!B127:F138,4,FALSE))</f>
        <v>0.94</v>
      </c>
      <c r="D45" s="171"/>
      <c r="E45" s="171"/>
      <c r="F45" s="171"/>
      <c r="G45" s="171"/>
      <c r="H45" s="171"/>
      <c r="I45" s="171"/>
      <c r="J45" s="277"/>
      <c r="K45" s="277"/>
      <c r="L45" s="277"/>
    </row>
    <row r="46" spans="2:12" x14ac:dyDescent="0.3">
      <c r="B46" s="171" t="s">
        <v>407</v>
      </c>
      <c r="C46" s="171">
        <f>IF(C47="kyllä",VLOOKUP(C7,Aloitustaulukot!B76:U87,15,FALSE),VLOOKUP(C7,Aloitustaulukot!B76:U87,18,FALSE))</f>
        <v>0.89</v>
      </c>
      <c r="D46" s="171"/>
      <c r="E46" s="171"/>
      <c r="F46" s="171"/>
      <c r="G46" s="171"/>
      <c r="H46" s="171"/>
      <c r="I46" s="171"/>
      <c r="J46" s="277"/>
      <c r="K46" s="277"/>
      <c r="L46" s="277"/>
    </row>
    <row r="47" spans="2:12" x14ac:dyDescent="0.3">
      <c r="B47" s="171" t="s">
        <v>45</v>
      </c>
      <c r="C47" s="171" t="s">
        <v>654</v>
      </c>
      <c r="D47" s="347" t="s">
        <v>659</v>
      </c>
      <c r="E47" s="171"/>
      <c r="F47" s="171"/>
      <c r="G47" s="171"/>
      <c r="H47" s="171"/>
      <c r="I47" s="171"/>
    </row>
    <row r="48" spans="2:12" x14ac:dyDescent="0.3">
      <c r="B48" s="171" t="s">
        <v>408</v>
      </c>
      <c r="C48" s="171">
        <f>IF(C47="kyllä",VLOOKUP(C7,Aloitustaulukot!B78:U86,20,FALSE),0)</f>
        <v>0</v>
      </c>
      <c r="D48" s="171" t="s">
        <v>409</v>
      </c>
      <c r="E48" s="171"/>
      <c r="F48" s="171"/>
      <c r="G48" s="171"/>
      <c r="H48" s="171"/>
      <c r="I48" s="171"/>
    </row>
    <row r="49" spans="2:11" x14ac:dyDescent="0.3">
      <c r="B49" s="171" t="s">
        <v>410</v>
      </c>
      <c r="C49" s="171" t="s">
        <v>171</v>
      </c>
      <c r="D49" s="347" t="s">
        <v>659</v>
      </c>
      <c r="E49" s="171"/>
      <c r="F49" s="171"/>
      <c r="G49" s="171"/>
      <c r="H49" s="171"/>
      <c r="I49" s="171"/>
    </row>
    <row r="52" spans="2:11" x14ac:dyDescent="0.3">
      <c r="B52" s="260" t="s">
        <v>411</v>
      </c>
      <c r="C52" s="257" t="s">
        <v>412</v>
      </c>
      <c r="D52" s="171" t="s">
        <v>413</v>
      </c>
      <c r="E52" s="171" t="s">
        <v>233</v>
      </c>
      <c r="F52" s="171" t="s">
        <v>200</v>
      </c>
      <c r="G52" s="171" t="s">
        <v>201</v>
      </c>
      <c r="H52" s="171" t="s">
        <v>202</v>
      </c>
      <c r="I52" s="277"/>
      <c r="J52" s="277"/>
      <c r="K52" s="277"/>
    </row>
    <row r="53" spans="2:11" x14ac:dyDescent="0.3">
      <c r="B53" s="257" t="s">
        <v>19</v>
      </c>
      <c r="C53" s="258">
        <f>(SQRT(C10)*2.8*C8*4)-((SQRT(C10)*2.8*C8*4)*15%)-((SQRT(C10)*2.8*C8*4)*5%)</f>
        <v>179.20000000000002</v>
      </c>
      <c r="D53" s="171">
        <f>VLOOKUP(C4,Aloitustaulukot!B5:J73,3,FALSE)</f>
        <v>0.17</v>
      </c>
      <c r="E53" s="346">
        <f>$C$53/4</f>
        <v>44.800000000000004</v>
      </c>
      <c r="F53" s="346">
        <f>$C$53/4</f>
        <v>44.800000000000004</v>
      </c>
      <c r="G53" s="346">
        <f t="shared" ref="G53:H53" si="0">$C$53/4</f>
        <v>44.800000000000004</v>
      </c>
      <c r="H53" s="346">
        <f t="shared" si="0"/>
        <v>44.800000000000004</v>
      </c>
      <c r="I53" s="277"/>
      <c r="J53" s="277"/>
      <c r="K53" s="277"/>
    </row>
    <row r="54" spans="2:11" x14ac:dyDescent="0.3">
      <c r="B54" s="257" t="s">
        <v>23</v>
      </c>
      <c r="C54" s="259">
        <f>C10</f>
        <v>100</v>
      </c>
      <c r="D54" s="171">
        <f>VLOOKUP(C4,Aloitustaulukot!B5:J73,7,FALSE)</f>
        <v>0.09</v>
      </c>
      <c r="E54" s="346">
        <f>$C$54/4</f>
        <v>25</v>
      </c>
      <c r="F54" s="346">
        <f t="shared" ref="F54:H54" si="1">$C$54/4</f>
        <v>25</v>
      </c>
      <c r="G54" s="346">
        <f t="shared" si="1"/>
        <v>25</v>
      </c>
      <c r="H54" s="346">
        <f t="shared" si="1"/>
        <v>25</v>
      </c>
      <c r="I54" s="277"/>
      <c r="J54" s="277"/>
      <c r="K54" s="277"/>
    </row>
    <row r="55" spans="2:11" x14ac:dyDescent="0.3">
      <c r="B55" s="257" t="s">
        <v>414</v>
      </c>
      <c r="C55" s="259">
        <f>C10</f>
        <v>100</v>
      </c>
      <c r="D55" s="171">
        <f>VLOOKUP(C4,Aloitustaulukot!B5:J73,4,FALSE)</f>
        <v>0.16</v>
      </c>
      <c r="E55" s="346">
        <f>$C$55/4</f>
        <v>25</v>
      </c>
      <c r="F55" s="346">
        <f t="shared" ref="F55:H55" si="2">$C$55/4</f>
        <v>25</v>
      </c>
      <c r="G55" s="346">
        <f t="shared" si="2"/>
        <v>25</v>
      </c>
      <c r="H55" s="346">
        <f t="shared" si="2"/>
        <v>25</v>
      </c>
      <c r="I55" s="277"/>
      <c r="J55" s="277"/>
      <c r="K55" s="277"/>
    </row>
    <row r="56" spans="2:11" x14ac:dyDescent="0.3">
      <c r="B56" s="257" t="s">
        <v>415</v>
      </c>
      <c r="C56" s="258">
        <f>((SQRT(C10)*2.8*C8*4)*15%)</f>
        <v>33.6</v>
      </c>
      <c r="D56" s="171">
        <f>VLOOKUP(C4,Aloitustaulukot!B5:J73,9,FALSE)</f>
        <v>1</v>
      </c>
      <c r="E56" s="346">
        <f>$C$56/4</f>
        <v>8.4</v>
      </c>
      <c r="F56" s="346">
        <f t="shared" ref="F56:H56" si="3">$C$56/4</f>
        <v>8.4</v>
      </c>
      <c r="G56" s="346">
        <f t="shared" si="3"/>
        <v>8.4</v>
      </c>
      <c r="H56" s="346">
        <f t="shared" si="3"/>
        <v>8.4</v>
      </c>
      <c r="I56" s="277"/>
      <c r="J56" s="277"/>
      <c r="K56" s="277"/>
    </row>
    <row r="57" spans="2:11" x14ac:dyDescent="0.3">
      <c r="B57" s="257" t="s">
        <v>416</v>
      </c>
      <c r="C57" s="258">
        <f>((SQRT(C10)*2.8*C8*4)*5%)</f>
        <v>11.200000000000001</v>
      </c>
      <c r="D57" s="171">
        <f>VLOOKUP(C4,Aloitustaulukot!B5:J73,8,FALSE)</f>
        <v>1</v>
      </c>
      <c r="E57" s="346">
        <f>$C$57/4</f>
        <v>2.8000000000000003</v>
      </c>
      <c r="F57" s="346">
        <f t="shared" ref="F57:H57" si="4">$C$57/4</f>
        <v>2.8000000000000003</v>
      </c>
      <c r="G57" s="346">
        <f t="shared" si="4"/>
        <v>2.8000000000000003</v>
      </c>
      <c r="H57" s="346">
        <f t="shared" si="4"/>
        <v>2.8000000000000003</v>
      </c>
      <c r="I57" s="277"/>
      <c r="J57" s="277"/>
      <c r="K57" s="277"/>
    </row>
    <row r="58" spans="2:11" x14ac:dyDescent="0.3">
      <c r="B58" s="257" t="s">
        <v>417</v>
      </c>
      <c r="C58" s="259">
        <f>SUM(C53:C57)</f>
        <v>424.00000000000006</v>
      </c>
      <c r="D58" s="171"/>
      <c r="E58" s="171"/>
      <c r="F58" s="171"/>
      <c r="G58" s="171"/>
      <c r="H58" s="171"/>
      <c r="I58" s="277"/>
      <c r="J58" s="277"/>
      <c r="K58" s="277"/>
    </row>
    <row r="59" spans="2:11" x14ac:dyDescent="0.3">
      <c r="B59" s="257" t="s">
        <v>418</v>
      </c>
      <c r="C59" s="257">
        <f>C10*2.8*C8</f>
        <v>560</v>
      </c>
      <c r="D59" s="171"/>
      <c r="E59" s="171"/>
      <c r="F59" s="171"/>
      <c r="G59" s="171"/>
      <c r="H59" s="171"/>
    </row>
    <row r="60" spans="2:11" x14ac:dyDescent="0.3">
      <c r="B60" s="257" t="s">
        <v>670</v>
      </c>
      <c r="C60" s="257">
        <v>21</v>
      </c>
      <c r="D60" s="171"/>
      <c r="E60" s="171"/>
      <c r="F60" s="171"/>
      <c r="G60" s="171"/>
      <c r="H60" s="171"/>
    </row>
    <row r="61" spans="2:11" x14ac:dyDescent="0.3">
      <c r="B61" s="257" t="s">
        <v>419</v>
      </c>
      <c r="C61" s="257">
        <v>5</v>
      </c>
      <c r="D61" s="171"/>
      <c r="E61" s="171"/>
      <c r="F61" s="171"/>
      <c r="G61" s="171"/>
      <c r="H61" s="171"/>
    </row>
    <row r="62" spans="2:11" x14ac:dyDescent="0.3">
      <c r="B62" s="257" t="s">
        <v>420</v>
      </c>
      <c r="C62" s="257">
        <f>VLOOKUP(C4,Aloitustaulukot!B5:C73,2,FALSE)</f>
        <v>4</v>
      </c>
      <c r="D62" s="171" t="s">
        <v>421</v>
      </c>
      <c r="E62" s="171" t="s">
        <v>422</v>
      </c>
      <c r="F62" s="171">
        <f>IF(C4&lt;2012,C62/C58*C59,C62)</f>
        <v>4</v>
      </c>
      <c r="G62" s="171" t="s">
        <v>421</v>
      </c>
      <c r="H62" s="171"/>
    </row>
    <row r="63" spans="2:11" x14ac:dyDescent="0.3">
      <c r="B63" s="257" t="s">
        <v>423</v>
      </c>
      <c r="C63" s="257">
        <f>IF(C8=1,35,IF(C8=2,24,IF(C8=3,20,IF(C8=4,20,15))))</f>
        <v>24</v>
      </c>
      <c r="D63" s="171"/>
      <c r="E63" s="171"/>
      <c r="F63" s="171"/>
      <c r="G63" s="171"/>
      <c r="H63" s="171"/>
    </row>
    <row r="64" spans="2:11" x14ac:dyDescent="0.3">
      <c r="B64" s="257" t="s">
        <v>424</v>
      </c>
      <c r="C64" s="257">
        <f>VLOOKUP(C7,Aloitustaulukot!B79:F86,5,FALSE)</f>
        <v>70</v>
      </c>
      <c r="D64" s="171" t="s">
        <v>425</v>
      </c>
      <c r="E64" s="171"/>
      <c r="F64" s="171"/>
      <c r="G64" s="171"/>
      <c r="H64" s="171"/>
    </row>
    <row r="65" spans="2:11" x14ac:dyDescent="0.3">
      <c r="B65" s="351"/>
      <c r="C65" s="351"/>
      <c r="D65" s="171"/>
      <c r="E65" s="171"/>
      <c r="F65" s="171"/>
      <c r="G65" s="171"/>
      <c r="H65" s="171"/>
    </row>
    <row r="66" spans="2:11" ht="15" thickBot="1" x14ac:dyDescent="0.35">
      <c r="B66" s="277"/>
      <c r="C66" s="277"/>
    </row>
    <row r="67" spans="2:11" x14ac:dyDescent="0.3">
      <c r="B67" s="11" t="s">
        <v>426</v>
      </c>
      <c r="C67" s="171"/>
      <c r="D67" s="171"/>
      <c r="E67" s="402" t="s">
        <v>655</v>
      </c>
      <c r="F67" s="403"/>
      <c r="G67" s="277"/>
    </row>
    <row r="68" spans="2:11" x14ac:dyDescent="0.3">
      <c r="B68" s="171" t="s">
        <v>427</v>
      </c>
      <c r="C68" s="171">
        <f>E70/24</f>
        <v>1</v>
      </c>
      <c r="D68" s="171"/>
      <c r="E68" s="404"/>
      <c r="F68" s="405"/>
      <c r="G68" s="277"/>
    </row>
    <row r="69" spans="2:11" x14ac:dyDescent="0.3">
      <c r="B69" s="171" t="s">
        <v>428</v>
      </c>
      <c r="C69" s="171">
        <f>F70/7</f>
        <v>1</v>
      </c>
      <c r="D69" s="171"/>
      <c r="E69" s="352" t="s">
        <v>34</v>
      </c>
      <c r="F69" s="353" t="s">
        <v>35</v>
      </c>
      <c r="G69" s="277"/>
    </row>
    <row r="70" spans="2:11" ht="15" thickBot="1" x14ac:dyDescent="0.35">
      <c r="B70" s="171" t="s">
        <v>429</v>
      </c>
      <c r="C70" s="171">
        <f>VLOOKUP(C7,Aloitustaulukot!B79:U86,12,FALSE)</f>
        <v>3</v>
      </c>
      <c r="D70" s="171" t="s">
        <v>430</v>
      </c>
      <c r="E70" s="354">
        <v>24</v>
      </c>
      <c r="F70" s="355">
        <v>7</v>
      </c>
      <c r="G70" s="277"/>
    </row>
    <row r="71" spans="2:11" x14ac:dyDescent="0.3">
      <c r="B71" s="171" t="s">
        <v>431</v>
      </c>
      <c r="C71" s="171">
        <f>VLOOKUP(C7,Aloitustaulukot!B79:U86,10,FALSE)</f>
        <v>0.6</v>
      </c>
      <c r="D71" s="171"/>
      <c r="E71" s="277"/>
      <c r="F71" s="277"/>
      <c r="G71" s="277"/>
    </row>
    <row r="72" spans="2:11" x14ac:dyDescent="0.3">
      <c r="B72" s="171" t="s">
        <v>432</v>
      </c>
      <c r="C72" s="171">
        <f>VLOOKUP(C7,Aloitustaulukot!B79:U86,11,FALSE)</f>
        <v>6</v>
      </c>
      <c r="D72" s="171" t="s">
        <v>430</v>
      </c>
      <c r="E72" s="277"/>
      <c r="F72" s="277"/>
      <c r="G72" s="277"/>
    </row>
    <row r="73" spans="2:11" x14ac:dyDescent="0.3">
      <c r="B73" s="171" t="s">
        <v>433</v>
      </c>
      <c r="C73" s="171">
        <f>IF(OR(C7="Luokka 1)",C7="Luokka 2)"),0.1,VLOOKUP(C7,Aloitustaulukot!B79:U86,10,FALSE))</f>
        <v>0.1</v>
      </c>
      <c r="D73" s="171"/>
      <c r="E73" s="277"/>
      <c r="F73" s="277"/>
      <c r="G73" s="277"/>
    </row>
    <row r="74" spans="2:11" x14ac:dyDescent="0.3">
      <c r="B74" s="171" t="s">
        <v>434</v>
      </c>
      <c r="C74" s="171">
        <f>VLOOKUP(C7,Aloitustaulukot!B79:U86,13,FALSE)</f>
        <v>2</v>
      </c>
      <c r="D74" s="171" t="s">
        <v>430</v>
      </c>
    </row>
    <row r="75" spans="2:11" x14ac:dyDescent="0.3">
      <c r="B75" s="171" t="s">
        <v>435</v>
      </c>
      <c r="C75" s="171">
        <f>VLOOKUP(C7,Aloitustaulukot!B79:U86,10,FALSE)</f>
        <v>0.6</v>
      </c>
      <c r="D75" s="171"/>
    </row>
    <row r="76" spans="2:11" x14ac:dyDescent="0.3">
      <c r="B76" s="171" t="s">
        <v>436</v>
      </c>
      <c r="C76" s="256">
        <f>IF(C68*C69=1,100%,C68*C69)</f>
        <v>1</v>
      </c>
      <c r="D76" s="171"/>
    </row>
    <row r="79" spans="2:11" ht="15" thickBot="1" x14ac:dyDescent="0.35">
      <c r="B79" s="179"/>
      <c r="C79" s="397" t="s">
        <v>437</v>
      </c>
      <c r="D79" s="399"/>
      <c r="E79" s="397" t="s">
        <v>438</v>
      </c>
      <c r="F79" s="398"/>
      <c r="G79" s="192" t="s">
        <v>656</v>
      </c>
      <c r="H79" s="277"/>
      <c r="I79" s="277"/>
      <c r="J79" s="277"/>
      <c r="K79" s="277"/>
    </row>
    <row r="80" spans="2:11" x14ac:dyDescent="0.3">
      <c r="B80" s="180" t="s">
        <v>439</v>
      </c>
      <c r="C80" s="181">
        <f>C70*C9</f>
        <v>600</v>
      </c>
      <c r="D80" s="181" t="s">
        <v>440</v>
      </c>
      <c r="E80" s="293">
        <f>C80/1000*C76*C71*8760</f>
        <v>3153.6</v>
      </c>
      <c r="F80" s="335" t="s">
        <v>370</v>
      </c>
      <c r="G80" s="342"/>
      <c r="H80" s="277"/>
      <c r="I80" s="277"/>
      <c r="J80" s="277"/>
      <c r="K80" s="277"/>
    </row>
    <row r="81" spans="2:11" x14ac:dyDescent="0.3">
      <c r="B81" s="183" t="s">
        <v>441</v>
      </c>
      <c r="C81" s="166">
        <f>C72*C9</f>
        <v>1200</v>
      </c>
      <c r="D81" s="166" t="s">
        <v>440</v>
      </c>
      <c r="E81" s="294">
        <f>C81/1000*C76*C73*8760</f>
        <v>1051.2</v>
      </c>
      <c r="F81" s="336" t="s">
        <v>370</v>
      </c>
      <c r="G81" s="343"/>
      <c r="H81" s="277"/>
      <c r="I81" s="277"/>
      <c r="J81" s="277"/>
      <c r="K81" s="277"/>
    </row>
    <row r="82" spans="2:11" ht="15" thickBot="1" x14ac:dyDescent="0.35">
      <c r="B82" s="185" t="s">
        <v>442</v>
      </c>
      <c r="C82" s="186">
        <f>C33</f>
        <v>1.8</v>
      </c>
      <c r="D82" s="186" t="s">
        <v>443</v>
      </c>
      <c r="E82" s="187">
        <f>C33*(C30/1000)*C36*8760</f>
        <v>1261.44</v>
      </c>
      <c r="F82" s="337" t="s">
        <v>370</v>
      </c>
      <c r="G82" s="186"/>
      <c r="H82" s="277"/>
      <c r="I82" s="277"/>
      <c r="J82" s="277"/>
      <c r="K82" s="277"/>
    </row>
    <row r="83" spans="2:11" x14ac:dyDescent="0.3">
      <c r="B83" s="188" t="s">
        <v>444</v>
      </c>
      <c r="C83" s="189"/>
      <c r="D83" s="189"/>
      <c r="E83" s="190">
        <f>IF(AND(C7="Luokka 1)",C41*C9&gt;C42),C42,C41*C9)</f>
        <v>4200</v>
      </c>
      <c r="F83" s="338" t="s">
        <v>370</v>
      </c>
      <c r="G83" s="345">
        <f>E83/C46</f>
        <v>4719.1011235955057</v>
      </c>
      <c r="H83" s="277"/>
      <c r="I83" s="277"/>
      <c r="J83" s="277"/>
      <c r="K83" s="277"/>
    </row>
    <row r="84" spans="2:11" x14ac:dyDescent="0.3">
      <c r="B84" s="183" t="s">
        <v>445</v>
      </c>
      <c r="C84" s="166">
        <f>VLOOKUP(C49,Aloitustaulukot!B192:C198,2,FALSE)*Energia!C48*C46</f>
        <v>0</v>
      </c>
      <c r="D84" s="166" t="s">
        <v>430</v>
      </c>
      <c r="E84" s="184">
        <f>C84/1000*C9*8760</f>
        <v>0</v>
      </c>
      <c r="F84" s="339" t="s">
        <v>370</v>
      </c>
      <c r="G84" s="166"/>
      <c r="H84" s="277"/>
      <c r="I84" s="277"/>
      <c r="J84" s="277"/>
      <c r="K84" s="277"/>
    </row>
    <row r="85" spans="2:11" ht="15" thickBot="1" x14ac:dyDescent="0.35">
      <c r="B85" s="185" t="s">
        <v>446</v>
      </c>
      <c r="C85" s="186"/>
      <c r="D85" s="186"/>
      <c r="E85" s="187">
        <f>IF(C43="kyllä",C44,0)</f>
        <v>0</v>
      </c>
      <c r="F85" s="337" t="s">
        <v>370</v>
      </c>
      <c r="G85" s="186"/>
      <c r="H85" s="277"/>
      <c r="I85" s="277"/>
      <c r="J85" s="277"/>
      <c r="K85" s="277"/>
    </row>
    <row r="86" spans="2:11" x14ac:dyDescent="0.3">
      <c r="B86" s="180" t="s">
        <v>447</v>
      </c>
      <c r="C86" s="181"/>
      <c r="D86" s="181"/>
      <c r="E86" s="182">
        <f>IF(C32="kyllä",0,Tausta!C32)</f>
        <v>2496.904704</v>
      </c>
      <c r="F86" s="340" t="s">
        <v>370</v>
      </c>
      <c r="G86" s="189"/>
      <c r="H86" s="277"/>
      <c r="I86" s="277"/>
      <c r="J86" s="277"/>
      <c r="K86" s="277"/>
    </row>
    <row r="87" spans="2:11" x14ac:dyDescent="0.3">
      <c r="B87" s="183" t="s">
        <v>448</v>
      </c>
      <c r="C87" s="166"/>
      <c r="D87" s="166"/>
      <c r="E87" s="184">
        <f>Tausta!K32</f>
        <v>14085.578388288</v>
      </c>
      <c r="F87" s="339" t="s">
        <v>370</v>
      </c>
      <c r="G87" s="166"/>
      <c r="H87" s="277"/>
      <c r="I87" s="277"/>
      <c r="J87" s="277"/>
      <c r="K87" s="277"/>
    </row>
    <row r="88" spans="2:11" x14ac:dyDescent="0.3">
      <c r="B88" s="183" t="s">
        <v>449</v>
      </c>
      <c r="C88" s="166"/>
      <c r="D88" s="166"/>
      <c r="E88" s="184">
        <f>Tausta!L32</f>
        <v>3171.254293333333</v>
      </c>
      <c r="F88" s="339" t="s">
        <v>370</v>
      </c>
      <c r="G88" s="166"/>
      <c r="H88" s="277"/>
      <c r="I88" s="277"/>
      <c r="J88" s="277"/>
      <c r="K88" s="277"/>
    </row>
    <row r="89" spans="2:11" x14ac:dyDescent="0.3">
      <c r="B89" s="183" t="str">
        <f>Tausta!O18</f>
        <v>Qtulo</v>
      </c>
      <c r="C89" s="166"/>
      <c r="D89" s="166"/>
      <c r="E89" s="184">
        <f>Tausta!O32</f>
        <v>3363.8399999999997</v>
      </c>
      <c r="F89" s="339" t="s">
        <v>370</v>
      </c>
      <c r="G89" s="166"/>
      <c r="H89" s="277"/>
      <c r="I89" s="277"/>
      <c r="J89" s="277"/>
      <c r="K89" s="277"/>
    </row>
    <row r="90" spans="2:11" x14ac:dyDescent="0.3">
      <c r="B90" s="183" t="s">
        <v>450</v>
      </c>
      <c r="C90" s="166"/>
      <c r="D90" s="166"/>
      <c r="E90" s="184">
        <f>Tausta!Q32</f>
        <v>20620.672681621334</v>
      </c>
      <c r="F90" s="339" t="s">
        <v>370</v>
      </c>
      <c r="G90" s="166"/>
      <c r="H90" s="277"/>
      <c r="I90" s="277"/>
      <c r="J90" s="277"/>
      <c r="K90" s="277"/>
    </row>
    <row r="91" spans="2:11" x14ac:dyDescent="0.3">
      <c r="B91" s="183" t="s">
        <v>451</v>
      </c>
      <c r="C91" s="166"/>
      <c r="D91" s="166"/>
      <c r="E91" s="184">
        <f>SUM(Tausta!R38:R49)</f>
        <v>9474.7336689124677</v>
      </c>
      <c r="F91" s="339" t="s">
        <v>370</v>
      </c>
      <c r="G91" s="166"/>
      <c r="H91" s="277"/>
      <c r="I91" s="277"/>
      <c r="J91" s="277"/>
      <c r="K91" s="277"/>
    </row>
    <row r="92" spans="2:11" ht="15" thickBot="1" x14ac:dyDescent="0.35">
      <c r="B92" s="191" t="s">
        <v>452</v>
      </c>
      <c r="C92" s="192"/>
      <c r="D92" s="192"/>
      <c r="E92" s="193">
        <f>IF(C19="kyllä",Tausta!R32-G19,IF(C20="kyllä",Tausta!R32-G20,IF(AND(C19="kyllä",C20="kyllä"),Tausta!R32-G19-G20,Tausta!R32)))</f>
        <v>11145.939012708865</v>
      </c>
      <c r="F92" s="341" t="s">
        <v>370</v>
      </c>
      <c r="G92" s="344">
        <f>E92/C22</f>
        <v>12384.376680787627</v>
      </c>
      <c r="H92" s="277"/>
      <c r="I92" s="277"/>
      <c r="J92" s="277"/>
      <c r="K92" s="277"/>
    </row>
    <row r="94" spans="2:11" ht="21" x14ac:dyDescent="0.4">
      <c r="B94" s="149" t="s">
        <v>453</v>
      </c>
      <c r="C94" s="150"/>
      <c r="D94" s="150"/>
      <c r="E94" s="150"/>
      <c r="F94" s="150"/>
    </row>
    <row r="95" spans="2:11" ht="21" x14ac:dyDescent="0.4">
      <c r="B95" s="150" t="s">
        <v>454</v>
      </c>
      <c r="C95" s="151">
        <f>E92/C22</f>
        <v>12384.376680787627</v>
      </c>
      <c r="D95" s="150" t="s">
        <v>370</v>
      </c>
      <c r="E95" s="150"/>
      <c r="F95" s="154"/>
      <c r="G95" s="155"/>
    </row>
    <row r="96" spans="2:11" ht="21" x14ac:dyDescent="0.4">
      <c r="B96" s="150" t="s">
        <v>455</v>
      </c>
      <c r="C96" s="150">
        <f>VLOOKUP(C14,Aloitustaulukot!A113:F124,5,FALSE)*Energia!C9</f>
        <v>180</v>
      </c>
      <c r="D96" s="150" t="s">
        <v>370</v>
      </c>
      <c r="E96" s="150"/>
      <c r="F96" s="150"/>
    </row>
    <row r="97" spans="2:15" ht="21" x14ac:dyDescent="0.4">
      <c r="B97" s="150" t="s">
        <v>456</v>
      </c>
      <c r="C97" s="152">
        <f>IF(C13="Maalämpö, ym.",Tausta!C78,C95/C24)</f>
        <v>13174.86880934854</v>
      </c>
      <c r="D97" s="150" t="s">
        <v>370</v>
      </c>
      <c r="E97" s="150" t="s">
        <v>457</v>
      </c>
      <c r="F97" s="150"/>
    </row>
    <row r="98" spans="2:15" ht="21" x14ac:dyDescent="0.4">
      <c r="B98" s="150"/>
      <c r="C98" s="150"/>
      <c r="D98" s="150"/>
      <c r="E98" s="150"/>
      <c r="F98" s="150"/>
    </row>
    <row r="99" spans="2:15" ht="21" x14ac:dyDescent="0.4">
      <c r="B99" s="149" t="s">
        <v>458</v>
      </c>
      <c r="C99" s="150"/>
      <c r="D99" s="150"/>
      <c r="E99" s="150"/>
      <c r="F99" s="150"/>
      <c r="G99" s="156" t="s">
        <v>663</v>
      </c>
      <c r="H99" s="156"/>
    </row>
    <row r="100" spans="2:15" ht="21" x14ac:dyDescent="0.4">
      <c r="B100" s="150" t="s">
        <v>459</v>
      </c>
      <c r="C100" s="153">
        <f>IF(C13="maalämpö, ym.",Tausta!C79,G83+E84+E85)</f>
        <v>4719.1011235955057</v>
      </c>
      <c r="D100" s="150" t="s">
        <v>370</v>
      </c>
      <c r="E100" s="150" t="s">
        <v>460</v>
      </c>
      <c r="F100" s="295">
        <f>200*G100*1000</f>
        <v>1000</v>
      </c>
      <c r="G100" s="156">
        <v>5.0000000000000001E-3</v>
      </c>
      <c r="H100" t="s">
        <v>686</v>
      </c>
      <c r="I100" s="385" t="s">
        <v>664</v>
      </c>
      <c r="J100" s="157"/>
    </row>
    <row r="101" spans="2:15" ht="21" x14ac:dyDescent="0.4">
      <c r="B101" s="150" t="s">
        <v>461</v>
      </c>
      <c r="C101" s="150">
        <f>IF(C47="kyllä",F100*24*(365/1000),0)</f>
        <v>0</v>
      </c>
      <c r="D101" s="150" t="s">
        <v>370</v>
      </c>
      <c r="E101" s="150" t="s">
        <v>457</v>
      </c>
      <c r="F101" s="150"/>
    </row>
    <row r="102" spans="2:15" ht="21" x14ac:dyDescent="0.4">
      <c r="B102" s="150"/>
      <c r="C102" s="150"/>
      <c r="D102" s="150"/>
      <c r="E102" s="150"/>
      <c r="F102" s="150"/>
    </row>
    <row r="103" spans="2:15" ht="21" x14ac:dyDescent="0.4">
      <c r="B103" s="149" t="s">
        <v>462</v>
      </c>
      <c r="C103" s="150"/>
      <c r="D103" s="150"/>
      <c r="E103" s="150"/>
      <c r="F103" s="150"/>
      <c r="G103" s="160"/>
    </row>
    <row r="104" spans="2:15" ht="21" x14ac:dyDescent="0.4">
      <c r="B104" s="150" t="s">
        <v>463</v>
      </c>
      <c r="C104" s="153">
        <f>IF(C12="kaukolämpö",E86/C24,E86)</f>
        <v>2656.2816000000003</v>
      </c>
      <c r="D104" s="150" t="s">
        <v>370</v>
      </c>
      <c r="E104" s="150" t="s">
        <v>457</v>
      </c>
      <c r="F104" s="150"/>
      <c r="G104" s="159"/>
    </row>
    <row r="106" spans="2:15" ht="15" thickBot="1" x14ac:dyDescent="0.35"/>
    <row r="107" spans="2:15" x14ac:dyDescent="0.3">
      <c r="B107" s="172" t="s">
        <v>464</v>
      </c>
      <c r="C107" s="173"/>
      <c r="D107" s="17"/>
      <c r="E107" s="17">
        <f>C108/C9</f>
        <v>122.07357318472023</v>
      </c>
      <c r="G107" t="s">
        <v>465</v>
      </c>
      <c r="H107" t="s">
        <v>466</v>
      </c>
      <c r="J107" s="12" t="s">
        <v>466</v>
      </c>
      <c r="L107" t="s">
        <v>62</v>
      </c>
      <c r="M107" s="156" t="str">
        <f>_xlfn.XLOOKUP(H108,Aloitustaulukot!C433:C439,Aloitustaulukot!B433:B439,,1,)</f>
        <v>B</v>
      </c>
      <c r="N107" t="s">
        <v>467</v>
      </c>
      <c r="O107" t="s">
        <v>671</v>
      </c>
    </row>
    <row r="108" spans="2:15" x14ac:dyDescent="0.3">
      <c r="B108" s="174" t="s">
        <v>468</v>
      </c>
      <c r="C108" s="175">
        <f>SUM(C110:C127)</f>
        <v>24414.714636944045</v>
      </c>
      <c r="D108" t="s">
        <v>370</v>
      </c>
      <c r="E108" s="17">
        <f>SUM(E111:E127)</f>
        <v>121.1735731847202</v>
      </c>
      <c r="F108" t="s">
        <v>375</v>
      </c>
      <c r="H108" s="160">
        <f>SUM(H111:H127)</f>
        <v>74.040226592360099</v>
      </c>
      <c r="I108" t="s">
        <v>399</v>
      </c>
      <c r="J108" s="158" t="str">
        <f>VLOOKUP(C7,L107:M117,2,FALSE)</f>
        <v>B</v>
      </c>
      <c r="L108" t="s">
        <v>62</v>
      </c>
      <c r="M108" s="156" t="str">
        <f>_xlfn.XLOOKUP(H108,Aloitustaulukot!D433:D439,Aloitustaulukot!B433:B439,,1,)</f>
        <v>A</v>
      </c>
      <c r="N108" t="s">
        <v>469</v>
      </c>
      <c r="O108" t="s">
        <v>671</v>
      </c>
    </row>
    <row r="109" spans="2:15" ht="15" thickBot="1" x14ac:dyDescent="0.35">
      <c r="B109" s="176"/>
      <c r="C109" s="173"/>
      <c r="E109" s="17"/>
      <c r="J109" s="14"/>
      <c r="L109" t="s">
        <v>62</v>
      </c>
      <c r="M109" s="156" t="str">
        <f>_xlfn.XLOOKUP(H108,Aloitustaulukot!E433:E439,Aloitustaulukot!B433:B439,,1,)</f>
        <v>B</v>
      </c>
      <c r="N109" t="s">
        <v>470</v>
      </c>
      <c r="O109" t="s">
        <v>671</v>
      </c>
    </row>
    <row r="110" spans="2:15" x14ac:dyDescent="0.3">
      <c r="B110" s="177" t="s">
        <v>369</v>
      </c>
      <c r="C110" s="173"/>
      <c r="E110" s="17"/>
      <c r="L110" t="s">
        <v>62</v>
      </c>
      <c r="M110" s="156" t="str">
        <f>_xlfn.XLOOKUP($H$108,Aloitustaulukot!F433:F439,Aloitustaulukot!$B$433:$B$439,,1,)</f>
        <v>A</v>
      </c>
      <c r="N110" t="s">
        <v>471</v>
      </c>
    </row>
    <row r="111" spans="2:15" x14ac:dyDescent="0.3">
      <c r="B111" s="173" t="s">
        <v>472</v>
      </c>
      <c r="C111" s="178">
        <f>C97</f>
        <v>13174.86880934854</v>
      </c>
      <c r="D111" t="s">
        <v>370</v>
      </c>
      <c r="E111" s="17">
        <f>C111/$C$9</f>
        <v>65.874344046742692</v>
      </c>
      <c r="F111" t="s">
        <v>375</v>
      </c>
      <c r="G111">
        <f>IF(C12="sähkökattila",Aloitustaulukot!C423,IF(C12="kaukolämpö",Aloitustaulukot!C424,IF(C12="pellettikattila",Aloitustaulukot!C427,Aloitustaulukot!C426)))</f>
        <v>0.5</v>
      </c>
      <c r="H111" s="17">
        <f>E111*G111</f>
        <v>32.937172023371346</v>
      </c>
      <c r="I111" t="s">
        <v>399</v>
      </c>
      <c r="L111" t="s">
        <v>64</v>
      </c>
      <c r="M111" s="156" t="str">
        <f>_xlfn.XLOOKUP($H$108,Aloitustaulukot!G433:G439,Aloitustaulukot!$B$433:$B$439,,1,)</f>
        <v>A</v>
      </c>
      <c r="N111" t="s">
        <v>624</v>
      </c>
    </row>
    <row r="112" spans="2:15" x14ac:dyDescent="0.3">
      <c r="B112" s="173" t="s">
        <v>473</v>
      </c>
      <c r="C112" s="173">
        <f>C96</f>
        <v>180</v>
      </c>
      <c r="E112" s="17"/>
      <c r="L112" t="s">
        <v>65</v>
      </c>
      <c r="M112" s="156" t="str">
        <f>_xlfn.XLOOKUP($H$108,Aloitustaulukot!H433:H439,Aloitustaulukot!$B$433:$B$439,,1,)</f>
        <v>A</v>
      </c>
      <c r="N112" t="s">
        <v>644</v>
      </c>
    </row>
    <row r="113" spans="2:14" x14ac:dyDescent="0.3">
      <c r="B113" s="173"/>
      <c r="C113" s="173"/>
      <c r="E113" s="17"/>
      <c r="L113" t="s">
        <v>67</v>
      </c>
      <c r="M113" s="156" t="str">
        <f>_xlfn.XLOOKUP($H$108,Aloitustaulukot!I433:I439,Aloitustaulukot!$B$433:$B$439,,1,)</f>
        <v>A</v>
      </c>
      <c r="N113" t="s">
        <v>645</v>
      </c>
    </row>
    <row r="114" spans="2:14" x14ac:dyDescent="0.3">
      <c r="B114" s="177" t="s">
        <v>282</v>
      </c>
      <c r="C114" s="173"/>
      <c r="E114" s="17"/>
      <c r="L114" t="s">
        <v>69</v>
      </c>
      <c r="M114" s="156" t="str">
        <f>_xlfn.XLOOKUP($H$108,Aloitustaulukot!J433:J439,Aloitustaulukot!$B$433:$B$439,,1,)</f>
        <v>A</v>
      </c>
      <c r="N114" t="s">
        <v>646</v>
      </c>
    </row>
    <row r="115" spans="2:14" x14ac:dyDescent="0.3">
      <c r="B115" s="173" t="s">
        <v>472</v>
      </c>
      <c r="C115" s="178">
        <f>C100</f>
        <v>4719.1011235955057</v>
      </c>
      <c r="D115" t="s">
        <v>370</v>
      </c>
      <c r="E115" s="17">
        <f>C115/$C$9</f>
        <v>23.59550561797753</v>
      </c>
      <c r="F115" t="s">
        <v>375</v>
      </c>
      <c r="G115">
        <f>IF(C13="maalämpö, ym.",Aloitustaulukot!C423,IF(C13="sähkö",Aloitustaulukot!C423,IF(C13="kauko- tai aluelämpö",Aloitustaulukot!C424,IF(C13="puu",Aloitustaulukot!C427,Aloitustaulukot!C426))))</f>
        <v>0.5</v>
      </c>
      <c r="H115" s="17">
        <f>E115*G115</f>
        <v>11.797752808988765</v>
      </c>
      <c r="I115" t="s">
        <v>399</v>
      </c>
      <c r="L115" t="s">
        <v>70</v>
      </c>
      <c r="M115" s="156" t="str">
        <f>_xlfn.XLOOKUP($H$108,Aloitustaulukot!K433:K439,Aloitustaulukot!$B$433:$B$439,,1,)</f>
        <v>A</v>
      </c>
      <c r="N115" t="s">
        <v>647</v>
      </c>
    </row>
    <row r="116" spans="2:14" x14ac:dyDescent="0.3">
      <c r="B116" s="173" t="s">
        <v>473</v>
      </c>
      <c r="C116" s="173">
        <f>C101</f>
        <v>0</v>
      </c>
      <c r="D116" t="s">
        <v>370</v>
      </c>
      <c r="E116" s="17">
        <f>C116/$C$9</f>
        <v>0</v>
      </c>
      <c r="F116" t="s">
        <v>375</v>
      </c>
      <c r="G116">
        <f>Aloitustaulukot!C423</f>
        <v>1.2</v>
      </c>
      <c r="H116" s="17">
        <f>E116*G116</f>
        <v>0</v>
      </c>
      <c r="I116" t="s">
        <v>399</v>
      </c>
      <c r="L116" t="s">
        <v>72</v>
      </c>
      <c r="M116" s="156" t="str">
        <f>_xlfn.XLOOKUP($H$108,Aloitustaulukot!L433:L439,Aloitustaulukot!$B$433:$B$439,,1,)</f>
        <v>A</v>
      </c>
      <c r="N116" t="s">
        <v>648</v>
      </c>
    </row>
    <row r="117" spans="2:14" x14ac:dyDescent="0.3">
      <c r="B117" s="173"/>
      <c r="C117" s="173"/>
      <c r="E117" s="17"/>
      <c r="L117" t="s">
        <v>74</v>
      </c>
      <c r="M117" s="156" t="str">
        <f>_xlfn.XLOOKUP($H$108,Aloitustaulukot!M433:M439,Aloitustaulukot!$B$433:$B$439,,1,)</f>
        <v>A</v>
      </c>
      <c r="N117" t="s">
        <v>649</v>
      </c>
    </row>
    <row r="118" spans="2:14" x14ac:dyDescent="0.3">
      <c r="B118" s="177" t="s">
        <v>474</v>
      </c>
      <c r="C118" s="173"/>
      <c r="E118" s="17"/>
    </row>
    <row r="119" spans="2:14" x14ac:dyDescent="0.3">
      <c r="B119" s="173" t="s">
        <v>472</v>
      </c>
      <c r="C119" s="178">
        <f>E86</f>
        <v>2496.904704</v>
      </c>
      <c r="D119" t="s">
        <v>370</v>
      </c>
      <c r="E119" s="17">
        <f t="shared" ref="E119:E127" si="5">C119/$C$9</f>
        <v>12.48452352</v>
      </c>
      <c r="F119" t="s">
        <v>375</v>
      </c>
      <c r="G119">
        <f>IF(C12="sähkökattila",Aloitustaulukot!C423,IF(C12="kaukolämpö",Aloitustaulukot!C424,IF(C12="pellettikattila",Aloitustaulukot!C427,Aloitustaulukot!C426)))</f>
        <v>0.5</v>
      </c>
      <c r="H119" s="17">
        <f>E119*G119</f>
        <v>6.2422617599999999</v>
      </c>
      <c r="I119" t="s">
        <v>399</v>
      </c>
    </row>
    <row r="120" spans="2:14" x14ac:dyDescent="0.3">
      <c r="B120" s="173" t="s">
        <v>473</v>
      </c>
      <c r="C120" s="173"/>
      <c r="E120" s="17"/>
    </row>
    <row r="121" spans="2:14" x14ac:dyDescent="0.3">
      <c r="B121" s="173"/>
      <c r="C121" s="173"/>
      <c r="E121" s="17"/>
    </row>
    <row r="122" spans="2:14" x14ac:dyDescent="0.3">
      <c r="B122" s="177" t="s">
        <v>475</v>
      </c>
      <c r="C122" s="173"/>
      <c r="E122" s="17"/>
    </row>
    <row r="123" spans="2:14" x14ac:dyDescent="0.3">
      <c r="B123" s="173" t="s">
        <v>476</v>
      </c>
      <c r="C123" s="178">
        <f>E82</f>
        <v>1261.44</v>
      </c>
      <c r="D123" t="s">
        <v>370</v>
      </c>
      <c r="E123" s="17">
        <f t="shared" si="5"/>
        <v>6.3071999999999999</v>
      </c>
      <c r="F123" t="s">
        <v>375</v>
      </c>
      <c r="G123">
        <f>Aloitustaulukot!C423</f>
        <v>1.2</v>
      </c>
      <c r="H123" s="17">
        <f>E123*G123</f>
        <v>7.5686399999999994</v>
      </c>
      <c r="I123" t="s">
        <v>399</v>
      </c>
    </row>
    <row r="124" spans="2:14" x14ac:dyDescent="0.3">
      <c r="B124" s="173"/>
      <c r="C124" s="173"/>
      <c r="E124" s="17"/>
    </row>
    <row r="125" spans="2:14" x14ac:dyDescent="0.3">
      <c r="B125" s="177" t="s">
        <v>477</v>
      </c>
      <c r="C125" s="173"/>
      <c r="E125" s="17"/>
    </row>
    <row r="126" spans="2:14" x14ac:dyDescent="0.3">
      <c r="B126" s="173" t="s">
        <v>439</v>
      </c>
      <c r="C126" s="178">
        <f>IF(C15="kyllä",E80-Aurinkosähkö!G24,E80)</f>
        <v>1531.1999999999998</v>
      </c>
      <c r="D126" t="s">
        <v>370</v>
      </c>
      <c r="E126" s="17">
        <f t="shared" si="5"/>
        <v>7.6559999999999988</v>
      </c>
      <c r="F126" t="s">
        <v>375</v>
      </c>
      <c r="G126">
        <f>Aloitustaulukot!C423</f>
        <v>1.2</v>
      </c>
      <c r="H126" s="17">
        <f>E126*G126</f>
        <v>9.1871999999999989</v>
      </c>
      <c r="I126" t="s">
        <v>399</v>
      </c>
    </row>
    <row r="127" spans="2:14" x14ac:dyDescent="0.3">
      <c r="B127" s="173" t="s">
        <v>441</v>
      </c>
      <c r="C127" s="178">
        <f>E81</f>
        <v>1051.2</v>
      </c>
      <c r="D127" t="s">
        <v>370</v>
      </c>
      <c r="E127" s="17">
        <f t="shared" si="5"/>
        <v>5.2560000000000002</v>
      </c>
      <c r="F127" t="s">
        <v>375</v>
      </c>
      <c r="G127">
        <f>Aloitustaulukot!C423</f>
        <v>1.2</v>
      </c>
      <c r="H127" s="17">
        <f>E127*G127</f>
        <v>6.3071999999999999</v>
      </c>
      <c r="I127" t="s">
        <v>399</v>
      </c>
    </row>
    <row r="128" spans="2:14" x14ac:dyDescent="0.3">
      <c r="B128" s="282"/>
      <c r="C128" s="282"/>
    </row>
    <row r="129" spans="2:18" x14ac:dyDescent="0.3">
      <c r="B129" s="277"/>
      <c r="C129" s="277"/>
    </row>
    <row r="130" spans="2:18" x14ac:dyDescent="0.3">
      <c r="B130" s="277"/>
      <c r="C130" s="277"/>
    </row>
    <row r="131" spans="2:18" x14ac:dyDescent="0.3">
      <c r="B131" s="277"/>
      <c r="C131" s="277"/>
    </row>
    <row r="132" spans="2:18" x14ac:dyDescent="0.3">
      <c r="B132" s="277"/>
      <c r="C132" s="277"/>
    </row>
    <row r="133" spans="2:18" x14ac:dyDescent="0.3">
      <c r="B133" s="277"/>
      <c r="C133" s="277"/>
    </row>
    <row r="134" spans="2:18" x14ac:dyDescent="0.3">
      <c r="B134" s="277"/>
      <c r="C134" s="277"/>
      <c r="E134" s="33"/>
    </row>
    <row r="136" spans="2:18" x14ac:dyDescent="0.3">
      <c r="B136" t="s">
        <v>478</v>
      </c>
      <c r="C136">
        <f>IF(C138="MLP",20,IF(C138="IVLP",20,IF(C138="ILP",15)))</f>
        <v>20</v>
      </c>
      <c r="G136" t="s">
        <v>479</v>
      </c>
      <c r="H136" s="160">
        <f>L139/H140</f>
        <v>144.4295935821209</v>
      </c>
      <c r="I136" t="s">
        <v>590</v>
      </c>
    </row>
    <row r="137" spans="2:18" x14ac:dyDescent="0.3">
      <c r="B137" s="254" t="s">
        <v>480</v>
      </c>
      <c r="C137" s="254"/>
      <c r="D137" s="254"/>
      <c r="E137" s="254"/>
      <c r="F137" s="254"/>
      <c r="G137" s="254"/>
      <c r="H137" s="254"/>
      <c r="I137" s="254"/>
      <c r="J137" s="254"/>
      <c r="K137" s="254"/>
      <c r="L137" s="254"/>
      <c r="M137" s="254"/>
      <c r="N137" s="254"/>
      <c r="O137" s="254"/>
      <c r="P137" s="254"/>
      <c r="Q137" s="254"/>
      <c r="R137" s="254"/>
    </row>
    <row r="138" spans="2:18" ht="15" thickBot="1" x14ac:dyDescent="0.35">
      <c r="B138" s="173"/>
      <c r="C138" s="173" t="s">
        <v>159</v>
      </c>
      <c r="D138" s="173"/>
      <c r="E138" s="173"/>
      <c r="F138" s="173"/>
      <c r="G138" s="173"/>
      <c r="H138" s="173"/>
      <c r="I138" s="173"/>
      <c r="J138" s="173"/>
      <c r="K138" s="173"/>
      <c r="L138" s="362" t="s">
        <v>481</v>
      </c>
      <c r="M138" s="173"/>
      <c r="N138" s="173"/>
      <c r="O138" s="173" t="s">
        <v>482</v>
      </c>
      <c r="P138" s="173"/>
      <c r="Q138" s="173"/>
      <c r="R138" s="173"/>
    </row>
    <row r="139" spans="2:18" ht="58.2" thickBot="1" x14ac:dyDescent="0.35">
      <c r="B139" s="173" t="s">
        <v>478</v>
      </c>
      <c r="C139" s="358" t="s">
        <v>662</v>
      </c>
      <c r="D139" s="358" t="s">
        <v>682</v>
      </c>
      <c r="E139" s="358" t="s">
        <v>660</v>
      </c>
      <c r="F139" s="359" t="s">
        <v>681</v>
      </c>
      <c r="G139" s="358" t="s">
        <v>661</v>
      </c>
      <c r="H139" s="358" t="s">
        <v>485</v>
      </c>
      <c r="I139" s="358" t="s">
        <v>486</v>
      </c>
      <c r="J139" s="358" t="s">
        <v>487</v>
      </c>
      <c r="K139" s="360" t="s">
        <v>488</v>
      </c>
      <c r="L139" s="364">
        <v>20000</v>
      </c>
      <c r="M139" s="361" t="s">
        <v>489</v>
      </c>
      <c r="N139" s="358" t="s">
        <v>490</v>
      </c>
      <c r="O139" s="358">
        <v>0</v>
      </c>
      <c r="P139" s="358" t="s">
        <v>491</v>
      </c>
      <c r="Q139" s="173"/>
      <c r="R139" s="173"/>
    </row>
    <row r="140" spans="2:18" x14ac:dyDescent="0.3">
      <c r="B140" s="173">
        <v>1</v>
      </c>
      <c r="C140" s="262">
        <f>IF(C138="MLP",Tausta!C77,IF(C138="IVLP",Tausta!C87,IF(C138="ILP",C97-Tausta!C71,0)))</f>
        <v>7200.6512591057881</v>
      </c>
      <c r="D140" s="263">
        <f>20/100</f>
        <v>0.2</v>
      </c>
      <c r="E140" s="262">
        <f>IF(B140="","",IF($C$138="ILP",(G140-(($C$18-$G$20)*F140))+(D140*Tausta!$C$71),C140*D140))</f>
        <v>1440.1302518211578</v>
      </c>
      <c r="F140" s="264">
        <f>IF(C12="Kaukolämpö",0.08822,IF(C12="Sähkökattila",0.2,IF(C12="Öljy, standardikattila",0.1399,IF(C12="Kaasu, standardikattila",0.07135,IF(C12="Öljy, kondenssikattila",0.1399,IF(C12="Kaasu, kondenssikattila",0.07135,IF(C12="Pellettikattila",0.0357,IF(C12="Puukattila energiavaraajalla",0.0357,IF(C12="Huonekohtainen sähkölämmitys",0.16,0)))))))))</f>
        <v>8.8220000000000007E-2</v>
      </c>
      <c r="G140" s="262">
        <f>IF(B140="","",F140*($C$97+$C$100))</f>
        <v>1578.6060274843237</v>
      </c>
      <c r="H140" s="262">
        <f>IF(B140="","",G140-E140)</f>
        <v>138.4757756631659</v>
      </c>
      <c r="I140" s="173">
        <v>1</v>
      </c>
      <c r="J140" s="262">
        <f>IF(B140="","",IF(I140="",0,H140))</f>
        <v>138.4757756631659</v>
      </c>
      <c r="K140" s="270">
        <f>IF(B140="","",L139*$E$164)</f>
        <v>400</v>
      </c>
      <c r="L140" s="363">
        <f>IF(B140="","",MAX(0,L139-H140))</f>
        <v>19861.524224336834</v>
      </c>
      <c r="M140" s="173">
        <v>0</v>
      </c>
      <c r="N140" s="262">
        <f>IF(B140="","",K140+J140+M140)</f>
        <v>538.4757756631659</v>
      </c>
      <c r="O140" s="262">
        <f>IF(B140="","",H140-N140)</f>
        <v>-400</v>
      </c>
      <c r="P140" s="265">
        <f>IF(B140="","",NPV(2%,$O$140:O140))</f>
        <v>-392.15686274509801</v>
      </c>
      <c r="Q140" s="173">
        <f>IF(P140&gt;0,0,1)</f>
        <v>1</v>
      </c>
      <c r="R140" s="173"/>
    </row>
    <row r="141" spans="2:18" x14ac:dyDescent="0.3">
      <c r="B141" s="173">
        <f>IF(B140&gt;$C$136,"",B140+1)</f>
        <v>2</v>
      </c>
      <c r="C141" s="262">
        <f>IF(B141="","",C140)</f>
        <v>7200.6512591057881</v>
      </c>
      <c r="D141" s="263">
        <f>IF(B140="","",D140*(1+$D$166))</f>
        <v>0.20200000000000001</v>
      </c>
      <c r="E141" s="262">
        <f>IF(B141="","",IF($C$138="ILP",(G141-(($C$18-$G$20)*F141))+(D141*Tausta!$C$71),C141*D141))</f>
        <v>1454.5315543393692</v>
      </c>
      <c r="F141" s="264">
        <f>IF(B141="","",F140*(1+$D$166))</f>
        <v>8.9102200000000006E-2</v>
      </c>
      <c r="G141" s="262">
        <f t="shared" ref="G141:G159" si="6">IF(B141="","",F141*($C$97+$C$100))</f>
        <v>1594.392087759167</v>
      </c>
      <c r="H141" s="262">
        <f t="shared" ref="H141:H159" si="7">IF(B141="","",G141-E141)</f>
        <v>139.86053341979778</v>
      </c>
      <c r="I141" s="173">
        <f>IF(B140="","",IF(L141&lt;=0,"",I140+1))</f>
        <v>2</v>
      </c>
      <c r="J141" s="262">
        <f t="shared" ref="J141:J159" si="8">IF(B141="","",IF(I141="",0,H141))</f>
        <v>139.86053341979778</v>
      </c>
      <c r="K141" s="270">
        <f t="shared" ref="K141:K159" si="9">IF(B141="","",L140*$E$164)</f>
        <v>397.23048448673671</v>
      </c>
      <c r="L141" s="270">
        <f t="shared" ref="L141:L159" si="10">IF(B141="","",MAX(0,L140-H141))</f>
        <v>19721.663690917037</v>
      </c>
      <c r="M141" s="173">
        <v>0</v>
      </c>
      <c r="N141" s="262">
        <f t="shared" ref="N141:N159" si="11">IF(B141="","",K141+J141+M141)</f>
        <v>537.09101790653449</v>
      </c>
      <c r="O141" s="262">
        <f t="shared" ref="O141:O159" si="12">IF(B141="","",H141-N141)</f>
        <v>-397.23048448673671</v>
      </c>
      <c r="P141" s="265">
        <f>IF(B141="","",NPV(2%,$O$140:O141))</f>
        <v>-773.9624033897893</v>
      </c>
      <c r="Q141" s="173">
        <f t="shared" ref="Q141:Q159" si="13">IF(P141&gt;0,0,1)</f>
        <v>1</v>
      </c>
      <c r="R141" s="173"/>
    </row>
    <row r="142" spans="2:18" x14ac:dyDescent="0.3">
      <c r="B142" s="173">
        <f t="shared" ref="B142:B159" si="14">IF(B141&gt;$C$136,"",B141+1)</f>
        <v>3</v>
      </c>
      <c r="C142" s="262">
        <f t="shared" ref="C142:C159" si="15">IF(B142="","",C141)</f>
        <v>7200.6512591057881</v>
      </c>
      <c r="D142" s="263">
        <f t="shared" ref="D142:D159" si="16">IF(B141="","",D141*(1+$D$166))</f>
        <v>0.20402000000000001</v>
      </c>
      <c r="E142" s="262">
        <f>IF(B142="","",IF($C$138="ILP",(G142-(($C$18-$G$20)*F142))+(D142*Tausta!$C$71),C142*D142))</f>
        <v>1469.0768698827628</v>
      </c>
      <c r="F142" s="264">
        <f t="shared" ref="F142:F159" si="17">IF(B142="","",F141*(1+$D$166))</f>
        <v>8.9993222000000012E-2</v>
      </c>
      <c r="G142" s="262">
        <f t="shared" si="6"/>
        <v>1610.3360086367588</v>
      </c>
      <c r="H142" s="262">
        <f t="shared" si="7"/>
        <v>141.25913875399601</v>
      </c>
      <c r="I142" s="173">
        <f t="shared" ref="I142:I159" si="18">IF(B141="","",IF(L142&lt;=0,"",I141+1))</f>
        <v>3</v>
      </c>
      <c r="J142" s="262">
        <f t="shared" si="8"/>
        <v>141.25913875399601</v>
      </c>
      <c r="K142" s="270">
        <f>IF(B142="","",L141*$E$164)</f>
        <v>394.43327381834075</v>
      </c>
      <c r="L142" s="270">
        <f t="shared" si="10"/>
        <v>19580.40455216304</v>
      </c>
      <c r="M142" s="173">
        <v>0</v>
      </c>
      <c r="N142" s="262">
        <f t="shared" si="11"/>
        <v>535.69241257233671</v>
      </c>
      <c r="O142" s="262">
        <f t="shared" si="12"/>
        <v>-394.43327381834069</v>
      </c>
      <c r="P142" s="265">
        <f>IF(B142="","",NPV(2%,$O$140:O142))</f>
        <v>-1145.6456867973218</v>
      </c>
      <c r="Q142" s="173">
        <f t="shared" si="13"/>
        <v>1</v>
      </c>
      <c r="R142" s="173"/>
    </row>
    <row r="143" spans="2:18" x14ac:dyDescent="0.3">
      <c r="B143" s="173">
        <f t="shared" si="14"/>
        <v>4</v>
      </c>
      <c r="C143" s="262">
        <f t="shared" si="15"/>
        <v>7200.6512591057881</v>
      </c>
      <c r="D143" s="263">
        <f t="shared" si="16"/>
        <v>0.2060602</v>
      </c>
      <c r="E143" s="262">
        <f>IF(B143="","",IF($C$138="ILP",(G143-(($C$18-$G$20)*F143))+(D143*Tausta!$C$71),C143*D143))</f>
        <v>1483.7676385815905</v>
      </c>
      <c r="F143" s="264">
        <f t="shared" si="17"/>
        <v>9.0893154220000008E-2</v>
      </c>
      <c r="G143" s="262">
        <f t="shared" si="6"/>
        <v>1626.4393687231263</v>
      </c>
      <c r="H143" s="262">
        <f t="shared" si="7"/>
        <v>142.67173014153582</v>
      </c>
      <c r="I143" s="173">
        <f t="shared" si="18"/>
        <v>4</v>
      </c>
      <c r="J143" s="262">
        <f t="shared" si="8"/>
        <v>142.67173014153582</v>
      </c>
      <c r="K143" s="270">
        <f t="shared" si="9"/>
        <v>391.6080910432608</v>
      </c>
      <c r="L143" s="270">
        <f t="shared" si="10"/>
        <v>19437.732822021502</v>
      </c>
      <c r="M143" s="173">
        <v>0</v>
      </c>
      <c r="N143" s="262">
        <f t="shared" si="11"/>
        <v>534.27982118479667</v>
      </c>
      <c r="O143" s="262">
        <f t="shared" si="12"/>
        <v>-391.60809104326086</v>
      </c>
      <c r="P143" s="265">
        <f>IF(B143="","",NPV(2%,$O$140:O143))</f>
        <v>-1507.4310305026129</v>
      </c>
      <c r="Q143" s="173">
        <f t="shared" si="13"/>
        <v>1</v>
      </c>
      <c r="R143" s="173"/>
    </row>
    <row r="144" spans="2:18" x14ac:dyDescent="0.3">
      <c r="B144" s="173">
        <f t="shared" si="14"/>
        <v>5</v>
      </c>
      <c r="C144" s="262">
        <f t="shared" si="15"/>
        <v>7200.6512591057881</v>
      </c>
      <c r="D144" s="263">
        <f t="shared" si="16"/>
        <v>0.20812080199999999</v>
      </c>
      <c r="E144" s="262">
        <f>IF(B144="","",IF($C$138="ILP",(G144-(($C$18-$G$20)*F144))+(D144*Tausta!$C$71),C144*D144))</f>
        <v>1498.6053149674065</v>
      </c>
      <c r="F144" s="264">
        <f t="shared" si="17"/>
        <v>9.1802085762200003E-2</v>
      </c>
      <c r="G144" s="262">
        <f t="shared" si="6"/>
        <v>1642.7037624103575</v>
      </c>
      <c r="H144" s="262">
        <f t="shared" si="7"/>
        <v>144.09844744295106</v>
      </c>
      <c r="I144" s="173">
        <f t="shared" si="18"/>
        <v>5</v>
      </c>
      <c r="J144" s="262">
        <f t="shared" si="8"/>
        <v>144.09844744295106</v>
      </c>
      <c r="K144" s="270">
        <f t="shared" si="9"/>
        <v>388.75465644043004</v>
      </c>
      <c r="L144" s="270">
        <f t="shared" si="10"/>
        <v>19293.634374578553</v>
      </c>
      <c r="M144" s="173">
        <v>0</v>
      </c>
      <c r="N144" s="262">
        <f t="shared" si="11"/>
        <v>532.8531038833811</v>
      </c>
      <c r="O144" s="262">
        <f t="shared" si="12"/>
        <v>-388.75465644043004</v>
      </c>
      <c r="P144" s="265">
        <f>IF(B144="","",NPV(2%,$O$140:O144))</f>
        <v>-1859.5381003055545</v>
      </c>
      <c r="Q144" s="173">
        <f t="shared" si="13"/>
        <v>1</v>
      </c>
      <c r="R144" s="173"/>
    </row>
    <row r="145" spans="2:18" x14ac:dyDescent="0.3">
      <c r="B145" s="173">
        <f t="shared" si="14"/>
        <v>6</v>
      </c>
      <c r="C145" s="262">
        <f t="shared" si="15"/>
        <v>7200.6512591057881</v>
      </c>
      <c r="D145" s="263">
        <f t="shared" si="16"/>
        <v>0.21020201002</v>
      </c>
      <c r="E145" s="262">
        <f>IF(B145="","",IF($C$138="ILP",(G145-(($C$18-$G$20)*F145))+(D145*Tausta!$C$71),C145*D145))</f>
        <v>1513.5913681170805</v>
      </c>
      <c r="F145" s="264">
        <f t="shared" si="17"/>
        <v>9.272010661982201E-2</v>
      </c>
      <c r="G145" s="262">
        <f t="shared" si="6"/>
        <v>1659.1308000344611</v>
      </c>
      <c r="H145" s="262">
        <f t="shared" si="7"/>
        <v>145.53943191738063</v>
      </c>
      <c r="I145" s="173">
        <f t="shared" si="18"/>
        <v>6</v>
      </c>
      <c r="J145" s="262">
        <f t="shared" si="8"/>
        <v>145.53943191738063</v>
      </c>
      <c r="K145" s="270">
        <f t="shared" si="9"/>
        <v>385.87268749157107</v>
      </c>
      <c r="L145" s="270">
        <f t="shared" si="10"/>
        <v>19148.094942661173</v>
      </c>
      <c r="M145" s="173">
        <v>0</v>
      </c>
      <c r="N145" s="262">
        <f t="shared" si="11"/>
        <v>531.41211940895164</v>
      </c>
      <c r="O145" s="262">
        <f t="shared" si="12"/>
        <v>-385.87268749157101</v>
      </c>
      <c r="P145" s="265">
        <f>IF(B145="","",NPV(2%,$O$140:O145))</f>
        <v>-2202.1820039653453</v>
      </c>
      <c r="Q145" s="173">
        <f t="shared" si="13"/>
        <v>1</v>
      </c>
      <c r="R145" s="173"/>
    </row>
    <row r="146" spans="2:18" x14ac:dyDescent="0.3">
      <c r="B146" s="173">
        <f t="shared" si="14"/>
        <v>7</v>
      </c>
      <c r="C146" s="262">
        <f t="shared" si="15"/>
        <v>7200.6512591057881</v>
      </c>
      <c r="D146" s="263">
        <f t="shared" si="16"/>
        <v>0.21230403012019999</v>
      </c>
      <c r="E146" s="262">
        <f>IF(B146="","",IF($C$138="ILP",(G146-(($C$18-$G$20)*F146))+(D146*Tausta!$C$71),C146*D146))</f>
        <v>1528.7272817982512</v>
      </c>
      <c r="F146" s="264">
        <f t="shared" si="17"/>
        <v>9.3647307686020226E-2</v>
      </c>
      <c r="G146" s="262">
        <f t="shared" si="6"/>
        <v>1675.7221080348056</v>
      </c>
      <c r="H146" s="262">
        <f t="shared" si="7"/>
        <v>146.99482623655445</v>
      </c>
      <c r="I146" s="173">
        <f t="shared" si="18"/>
        <v>7</v>
      </c>
      <c r="J146" s="262">
        <f t="shared" si="8"/>
        <v>146.99482623655445</v>
      </c>
      <c r="K146" s="270">
        <f t="shared" si="9"/>
        <v>382.96189885322349</v>
      </c>
      <c r="L146" s="270">
        <f t="shared" si="10"/>
        <v>19001.100116424619</v>
      </c>
      <c r="M146" s="173">
        <v>0</v>
      </c>
      <c r="N146" s="262">
        <f t="shared" si="11"/>
        <v>529.95672508977793</v>
      </c>
      <c r="O146" s="262">
        <f t="shared" si="12"/>
        <v>-382.96189885322349</v>
      </c>
      <c r="P146" s="265">
        <f>IF(B146="","",NPV(2%,$O$140:O146))</f>
        <v>-2535.5733830333311</v>
      </c>
      <c r="Q146" s="173">
        <f t="shared" si="13"/>
        <v>1</v>
      </c>
      <c r="R146" s="173"/>
    </row>
    <row r="147" spans="2:18" x14ac:dyDescent="0.3">
      <c r="B147" s="173">
        <f t="shared" si="14"/>
        <v>8</v>
      </c>
      <c r="C147" s="262">
        <f t="shared" si="15"/>
        <v>7200.6512591057881</v>
      </c>
      <c r="D147" s="263">
        <f t="shared" si="16"/>
        <v>0.21442707042140199</v>
      </c>
      <c r="E147" s="262">
        <f>IF(B147="","",IF($C$138="ILP",(G147-(($C$18-$G$20)*F147))+(D147*Tausta!$C$71),C147*D147))</f>
        <v>1544.0145546162337</v>
      </c>
      <c r="F147" s="264">
        <f t="shared" si="17"/>
        <v>9.4583780762880432E-2</v>
      </c>
      <c r="G147" s="262">
        <f t="shared" si="6"/>
        <v>1692.4793291151539</v>
      </c>
      <c r="H147" s="262">
        <f t="shared" si="7"/>
        <v>148.46477449892018</v>
      </c>
      <c r="I147" s="173">
        <f t="shared" si="18"/>
        <v>8</v>
      </c>
      <c r="J147" s="262">
        <f t="shared" si="8"/>
        <v>148.46477449892018</v>
      </c>
      <c r="K147" s="270">
        <f t="shared" si="9"/>
        <v>380.02200232849236</v>
      </c>
      <c r="L147" s="270">
        <f t="shared" si="10"/>
        <v>18852.635341925699</v>
      </c>
      <c r="M147" s="173">
        <v>0</v>
      </c>
      <c r="N147" s="262">
        <f t="shared" si="11"/>
        <v>528.48677682741254</v>
      </c>
      <c r="O147" s="262">
        <f t="shared" si="12"/>
        <v>-380.02200232849236</v>
      </c>
      <c r="P147" s="265">
        <f>IF(B147="","",NPV(2%,$O$140:O147))</f>
        <v>-2859.9185028610855</v>
      </c>
      <c r="Q147" s="173">
        <f t="shared" si="13"/>
        <v>1</v>
      </c>
      <c r="R147" s="173"/>
    </row>
    <row r="148" spans="2:18" x14ac:dyDescent="0.3">
      <c r="B148" s="173">
        <f t="shared" si="14"/>
        <v>9</v>
      </c>
      <c r="C148" s="262">
        <f t="shared" si="15"/>
        <v>7200.6512591057881</v>
      </c>
      <c r="D148" s="263">
        <f t="shared" si="16"/>
        <v>0.21657134112561602</v>
      </c>
      <c r="E148" s="262">
        <f>IF(B148="","",IF($C$138="ILP",(G148-(($C$18-$G$20)*F148))+(D148*Tausta!$C$71),C148*D148))</f>
        <v>1559.4547001623962</v>
      </c>
      <c r="F148" s="264">
        <f t="shared" si="17"/>
        <v>9.5529618570509234E-2</v>
      </c>
      <c r="G148" s="262">
        <f t="shared" si="6"/>
        <v>1709.4041224063053</v>
      </c>
      <c r="H148" s="262">
        <f t="shared" si="7"/>
        <v>149.94942224390911</v>
      </c>
      <c r="I148" s="173">
        <f t="shared" si="18"/>
        <v>9</v>
      </c>
      <c r="J148" s="262">
        <f t="shared" si="8"/>
        <v>149.94942224390911</v>
      </c>
      <c r="K148" s="270">
        <f t="shared" si="9"/>
        <v>377.05270683851398</v>
      </c>
      <c r="L148" s="270">
        <f t="shared" si="10"/>
        <v>18702.68591968179</v>
      </c>
      <c r="M148" s="173">
        <v>0</v>
      </c>
      <c r="N148" s="262">
        <f t="shared" si="11"/>
        <v>527.00212908242315</v>
      </c>
      <c r="O148" s="262">
        <f t="shared" si="12"/>
        <v>-377.05270683851404</v>
      </c>
      <c r="P148" s="265">
        <f>IF(B148="","",NPV(2%,$O$140:O148))</f>
        <v>-3175.4193408197516</v>
      </c>
      <c r="Q148" s="173">
        <f t="shared" si="13"/>
        <v>1</v>
      </c>
      <c r="R148" s="173"/>
    </row>
    <row r="149" spans="2:18" x14ac:dyDescent="0.3">
      <c r="B149" s="173">
        <f t="shared" si="14"/>
        <v>10</v>
      </c>
      <c r="C149" s="262">
        <f t="shared" si="15"/>
        <v>7200.6512591057881</v>
      </c>
      <c r="D149" s="263">
        <f t="shared" si="16"/>
        <v>0.21873705453687217</v>
      </c>
      <c r="E149" s="262">
        <f>IF(B149="","",IF($C$138="ILP",(G149-(($C$18-$G$20)*F149))+(D149*Tausta!$C$71),C149*D149))</f>
        <v>1575.04924716402</v>
      </c>
      <c r="F149" s="264">
        <f t="shared" si="17"/>
        <v>9.6484914756214332E-2</v>
      </c>
      <c r="G149" s="262">
        <f t="shared" si="6"/>
        <v>1726.4981636303685</v>
      </c>
      <c r="H149" s="262">
        <f t="shared" si="7"/>
        <v>151.44891646634846</v>
      </c>
      <c r="I149" s="173">
        <f t="shared" si="18"/>
        <v>10</v>
      </c>
      <c r="J149" s="262">
        <f t="shared" si="8"/>
        <v>151.44891646634846</v>
      </c>
      <c r="K149" s="270">
        <f t="shared" si="9"/>
        <v>374.05371839363579</v>
      </c>
      <c r="L149" s="270">
        <f t="shared" si="10"/>
        <v>18551.237003215439</v>
      </c>
      <c r="M149" s="173">
        <v>0</v>
      </c>
      <c r="N149" s="262">
        <f t="shared" si="11"/>
        <v>525.50263485998425</v>
      </c>
      <c r="O149" s="262">
        <f t="shared" si="12"/>
        <v>-374.05371839363579</v>
      </c>
      <c r="P149" s="265">
        <f>IF(B149="","",NPV(2%,$O$140:O149))</f>
        <v>-3482.2736727659508</v>
      </c>
      <c r="Q149" s="173">
        <f t="shared" si="13"/>
        <v>1</v>
      </c>
      <c r="R149" s="173"/>
    </row>
    <row r="150" spans="2:18" x14ac:dyDescent="0.3">
      <c r="B150" s="173">
        <f t="shared" si="14"/>
        <v>11</v>
      </c>
      <c r="C150" s="262">
        <f t="shared" si="15"/>
        <v>7200.6512591057881</v>
      </c>
      <c r="D150" s="263">
        <f t="shared" si="16"/>
        <v>0.22092442508224089</v>
      </c>
      <c r="E150" s="262">
        <f>IF(B150="","",IF($C$138="ILP",(G150-(($C$18-$G$20)*F150))+(D150*Tausta!$C$71),C150*D150))</f>
        <v>1590.7997396356602</v>
      </c>
      <c r="F150" s="264">
        <f t="shared" si="17"/>
        <v>9.7449763903776479E-2</v>
      </c>
      <c r="G150" s="262">
        <f t="shared" si="6"/>
        <v>1743.7631452666722</v>
      </c>
      <c r="H150" s="262">
        <f t="shared" si="7"/>
        <v>152.96340563101194</v>
      </c>
      <c r="I150" s="173">
        <f t="shared" si="18"/>
        <v>11</v>
      </c>
      <c r="J150" s="262">
        <f t="shared" si="8"/>
        <v>152.96340563101194</v>
      </c>
      <c r="K150" s="270">
        <f t="shared" si="9"/>
        <v>371.02474006430879</v>
      </c>
      <c r="L150" s="270">
        <f t="shared" si="10"/>
        <v>18398.273597584426</v>
      </c>
      <c r="M150" s="173">
        <v>0</v>
      </c>
      <c r="N150" s="262">
        <f t="shared" si="11"/>
        <v>523.98814569532078</v>
      </c>
      <c r="O150" s="262">
        <f t="shared" si="12"/>
        <v>-371.02474006430884</v>
      </c>
      <c r="P150" s="265">
        <f>IF(B150="","",NPV(2%,$O$140:O150))</f>
        <v>-3780.6751577888695</v>
      </c>
      <c r="Q150" s="173">
        <f t="shared" si="13"/>
        <v>1</v>
      </c>
      <c r="R150" s="173"/>
    </row>
    <row r="151" spans="2:18" x14ac:dyDescent="0.3">
      <c r="B151" s="173">
        <f t="shared" si="14"/>
        <v>12</v>
      </c>
      <c r="C151" s="262">
        <f t="shared" si="15"/>
        <v>7200.6512591057881</v>
      </c>
      <c r="D151" s="263">
        <f t="shared" si="16"/>
        <v>0.22313366933306331</v>
      </c>
      <c r="E151" s="262">
        <f>IF(B151="","",IF($C$138="ILP",(G151-(($C$18-$G$20)*F151))+(D151*Tausta!$C$71),C151*D151))</f>
        <v>1606.7077370320169</v>
      </c>
      <c r="F151" s="264">
        <f t="shared" si="17"/>
        <v>9.8424261542814251E-2</v>
      </c>
      <c r="G151" s="262">
        <f t="shared" si="6"/>
        <v>1761.200776719339</v>
      </c>
      <c r="H151" s="262">
        <f t="shared" si="7"/>
        <v>154.49303968732215</v>
      </c>
      <c r="I151" s="173">
        <f t="shared" si="18"/>
        <v>12</v>
      </c>
      <c r="J151" s="262">
        <f t="shared" si="8"/>
        <v>154.49303968732215</v>
      </c>
      <c r="K151" s="270">
        <f t="shared" si="9"/>
        <v>367.96547195168853</v>
      </c>
      <c r="L151" s="270">
        <f t="shared" si="10"/>
        <v>18243.780557897106</v>
      </c>
      <c r="M151" s="173">
        <v>0</v>
      </c>
      <c r="N151" s="262">
        <f t="shared" si="11"/>
        <v>522.45851163901068</v>
      </c>
      <c r="O151" s="262">
        <f t="shared" si="12"/>
        <v>-367.96547195168853</v>
      </c>
      <c r="P151" s="265">
        <f>IF(B151="","",NPV(2%,$O$140:O151))</f>
        <v>-4070.8134212724594</v>
      </c>
      <c r="Q151" s="173">
        <f t="shared" si="13"/>
        <v>1</v>
      </c>
      <c r="R151" s="173"/>
    </row>
    <row r="152" spans="2:18" x14ac:dyDescent="0.3">
      <c r="B152" s="173">
        <f t="shared" si="14"/>
        <v>13</v>
      </c>
      <c r="C152" s="262">
        <f t="shared" si="15"/>
        <v>7200.6512591057881</v>
      </c>
      <c r="D152" s="263">
        <f t="shared" si="16"/>
        <v>0.22536500602639395</v>
      </c>
      <c r="E152" s="262">
        <f>IF(B152="","",IF($C$138="ILP",(G152-(($C$18-$G$20)*F152))+(D152*Tausta!$C$71),C152*D152))</f>
        <v>1622.7748144023371</v>
      </c>
      <c r="F152" s="264">
        <f t="shared" si="17"/>
        <v>9.94085041582424E-2</v>
      </c>
      <c r="G152" s="262">
        <f t="shared" si="6"/>
        <v>1778.8127844865326</v>
      </c>
      <c r="H152" s="262">
        <f t="shared" si="7"/>
        <v>156.03797008419542</v>
      </c>
      <c r="I152" s="173">
        <f t="shared" si="18"/>
        <v>13</v>
      </c>
      <c r="J152" s="262">
        <f t="shared" si="8"/>
        <v>156.03797008419542</v>
      </c>
      <c r="K152" s="270">
        <f t="shared" si="9"/>
        <v>364.8756111579421</v>
      </c>
      <c r="L152" s="270">
        <f t="shared" si="10"/>
        <v>18087.742587812911</v>
      </c>
      <c r="M152" s="173">
        <v>0</v>
      </c>
      <c r="N152" s="262">
        <f t="shared" si="11"/>
        <v>520.91358124213752</v>
      </c>
      <c r="O152" s="262">
        <f t="shared" si="12"/>
        <v>-364.8756111579421</v>
      </c>
      <c r="P152" s="265">
        <f>IF(B152="","",NPV(2%,$O$140:O152))</f>
        <v>-4352.8741363060117</v>
      </c>
      <c r="Q152" s="173">
        <f t="shared" si="13"/>
        <v>1</v>
      </c>
      <c r="R152" s="173"/>
    </row>
    <row r="153" spans="2:18" x14ac:dyDescent="0.3">
      <c r="B153" s="173">
        <f t="shared" si="14"/>
        <v>14</v>
      </c>
      <c r="C153" s="262">
        <f t="shared" si="15"/>
        <v>7200.6512591057881</v>
      </c>
      <c r="D153" s="263">
        <f t="shared" si="16"/>
        <v>0.22761865608665788</v>
      </c>
      <c r="E153" s="262">
        <f>IF(B153="","",IF($C$138="ILP",(G153-(($C$18-$G$20)*F153))+(D153*Tausta!$C$71),C153*D153))</f>
        <v>1639.0025625463604</v>
      </c>
      <c r="F153" s="264">
        <f t="shared" si="17"/>
        <v>0.10040258919982482</v>
      </c>
      <c r="G153" s="262">
        <f t="shared" si="6"/>
        <v>1796.6009123313979</v>
      </c>
      <c r="H153" s="262">
        <f t="shared" si="7"/>
        <v>157.5983497850375</v>
      </c>
      <c r="I153" s="173">
        <f t="shared" si="18"/>
        <v>14</v>
      </c>
      <c r="J153" s="262">
        <f t="shared" si="8"/>
        <v>157.5983497850375</v>
      </c>
      <c r="K153" s="270">
        <f t="shared" si="9"/>
        <v>361.75485175625823</v>
      </c>
      <c r="L153" s="270">
        <f t="shared" si="10"/>
        <v>17930.144238027875</v>
      </c>
      <c r="M153" s="173">
        <v>0</v>
      </c>
      <c r="N153" s="262">
        <f t="shared" si="11"/>
        <v>519.35320154129568</v>
      </c>
      <c r="O153" s="262">
        <f t="shared" si="12"/>
        <v>-361.75485175625818</v>
      </c>
      <c r="P153" s="265">
        <f>IF(B153="","",NPV(2%,$O$140:O153))</f>
        <v>-4627.0391034757195</v>
      </c>
      <c r="Q153" s="173">
        <f t="shared" si="13"/>
        <v>1</v>
      </c>
      <c r="R153" s="173"/>
    </row>
    <row r="154" spans="2:18" x14ac:dyDescent="0.3">
      <c r="B154" s="173">
        <f t="shared" si="14"/>
        <v>15</v>
      </c>
      <c r="C154" s="262">
        <f t="shared" si="15"/>
        <v>7200.6512591057881</v>
      </c>
      <c r="D154" s="263">
        <f t="shared" si="16"/>
        <v>0.22989484264752447</v>
      </c>
      <c r="E154" s="262">
        <f>IF(B154="","",IF($C$138="ILP",(G154-(($C$18-$G$20)*F154))+(D154*Tausta!$C$71),C154*D154))</f>
        <v>1655.3925881718242</v>
      </c>
      <c r="F154" s="264">
        <f t="shared" si="17"/>
        <v>0.10140661509182307</v>
      </c>
      <c r="G154" s="262">
        <f t="shared" si="6"/>
        <v>1814.5669214547117</v>
      </c>
      <c r="H154" s="262">
        <f t="shared" si="7"/>
        <v>159.17433328288757</v>
      </c>
      <c r="I154" s="173">
        <f t="shared" si="18"/>
        <v>15</v>
      </c>
      <c r="J154" s="262">
        <f t="shared" si="8"/>
        <v>159.17433328288757</v>
      </c>
      <c r="K154" s="270">
        <f t="shared" si="9"/>
        <v>358.60288476055752</v>
      </c>
      <c r="L154" s="270">
        <f t="shared" si="10"/>
        <v>17770.969904744987</v>
      </c>
      <c r="M154" s="173">
        <v>0</v>
      </c>
      <c r="N154" s="262">
        <f t="shared" si="11"/>
        <v>517.77721804344515</v>
      </c>
      <c r="O154" s="262">
        <f t="shared" si="12"/>
        <v>-358.60288476055757</v>
      </c>
      <c r="P154" s="265">
        <f>IF(B154="","",NPV(2%,$O$140:O154))</f>
        <v>-4893.4863290691892</v>
      </c>
      <c r="Q154" s="173">
        <f t="shared" si="13"/>
        <v>1</v>
      </c>
      <c r="R154" s="173"/>
    </row>
    <row r="155" spans="2:18" x14ac:dyDescent="0.3">
      <c r="B155" s="173">
        <f t="shared" si="14"/>
        <v>16</v>
      </c>
      <c r="C155" s="262">
        <f t="shared" si="15"/>
        <v>7200.6512591057881</v>
      </c>
      <c r="D155" s="263">
        <f t="shared" si="16"/>
        <v>0.23219379107399971</v>
      </c>
      <c r="E155" s="262">
        <f>IF(B155="","",IF($C$138="ILP",(G155-(($C$18-$G$20)*F155))+(D155*Tausta!$C$71),C155*D155))</f>
        <v>1671.9465140535424</v>
      </c>
      <c r="F155" s="264">
        <f t="shared" si="17"/>
        <v>0.1024206812427413</v>
      </c>
      <c r="G155" s="262">
        <f t="shared" si="6"/>
        <v>1832.7125906692588</v>
      </c>
      <c r="H155" s="262">
        <f t="shared" si="7"/>
        <v>160.76607661571643</v>
      </c>
      <c r="I155" s="173">
        <f t="shared" si="18"/>
        <v>16</v>
      </c>
      <c r="J155" s="262">
        <f t="shared" si="8"/>
        <v>160.76607661571643</v>
      </c>
      <c r="K155" s="270">
        <f t="shared" si="9"/>
        <v>355.41939809489975</v>
      </c>
      <c r="L155" s="270">
        <f t="shared" si="10"/>
        <v>17610.20382812927</v>
      </c>
      <c r="M155" s="173">
        <v>0</v>
      </c>
      <c r="N155" s="262">
        <f t="shared" si="11"/>
        <v>516.18547471061618</v>
      </c>
      <c r="O155" s="262">
        <f t="shared" si="12"/>
        <v>-355.41939809489975</v>
      </c>
      <c r="P155" s="265">
        <f>IF(B155="","",NPV(2%,$O$140:O155))</f>
        <v>-5152.3901017242515</v>
      </c>
      <c r="Q155" s="173">
        <f t="shared" si="13"/>
        <v>1</v>
      </c>
      <c r="R155" s="173"/>
    </row>
    <row r="156" spans="2:18" x14ac:dyDescent="0.3">
      <c r="B156" s="173">
        <f t="shared" si="14"/>
        <v>17</v>
      </c>
      <c r="C156" s="262">
        <f t="shared" si="15"/>
        <v>7200.6512591057881</v>
      </c>
      <c r="D156" s="263">
        <f t="shared" si="16"/>
        <v>0.23451572898473971</v>
      </c>
      <c r="E156" s="262">
        <f>IF(B156="","",IF($C$138="ILP",(G156-(($C$18-$G$20)*F156))+(D156*Tausta!$C$71),C156*D156))</f>
        <v>1688.6659791940779</v>
      </c>
      <c r="F156" s="264">
        <f t="shared" si="17"/>
        <v>0.10344488805516872</v>
      </c>
      <c r="G156" s="262">
        <f t="shared" si="6"/>
        <v>1851.0397165759516</v>
      </c>
      <c r="H156" s="262">
        <f t="shared" si="7"/>
        <v>162.37373738187375</v>
      </c>
      <c r="I156" s="173">
        <f>IF(B155="","",IF(L156&lt;=0,"",I155+1))</f>
        <v>17</v>
      </c>
      <c r="J156" s="262">
        <f t="shared" si="8"/>
        <v>162.37373738187375</v>
      </c>
      <c r="K156" s="270">
        <f t="shared" si="9"/>
        <v>352.20407656258539</v>
      </c>
      <c r="L156" s="270">
        <f t="shared" si="10"/>
        <v>17447.830090747397</v>
      </c>
      <c r="M156" s="173">
        <v>0</v>
      </c>
      <c r="N156" s="262">
        <f t="shared" si="11"/>
        <v>514.57781394445919</v>
      </c>
      <c r="O156" s="262">
        <f t="shared" si="12"/>
        <v>-352.20407656258544</v>
      </c>
      <c r="P156" s="265">
        <f>IF(B156="","",NPV(2%,$O$140:O156))</f>
        <v>-5403.9210675527838</v>
      </c>
      <c r="Q156" s="173">
        <f t="shared" si="13"/>
        <v>1</v>
      </c>
      <c r="R156" s="173"/>
    </row>
    <row r="157" spans="2:18" x14ac:dyDescent="0.3">
      <c r="B157" s="173">
        <f t="shared" si="14"/>
        <v>18</v>
      </c>
      <c r="C157" s="262">
        <f t="shared" si="15"/>
        <v>7200.6512591057881</v>
      </c>
      <c r="D157" s="263">
        <f t="shared" si="16"/>
        <v>0.23686088627458712</v>
      </c>
      <c r="E157" s="262">
        <f>IF(B157="","",IF($C$138="ILP",(G157-(($C$18-$G$20)*F157))+(D157*Tausta!$C$71),C157*D157))</f>
        <v>1705.5526389860186</v>
      </c>
      <c r="F157" s="264">
        <f t="shared" si="17"/>
        <v>0.10447933693572041</v>
      </c>
      <c r="G157" s="262">
        <f t="shared" si="6"/>
        <v>1869.5501137417111</v>
      </c>
      <c r="H157" s="262">
        <f t="shared" si="7"/>
        <v>163.99747475569256</v>
      </c>
      <c r="I157" s="173">
        <f>IF(B156="","",IF(L157&lt;=0,"",I156+1))</f>
        <v>18</v>
      </c>
      <c r="J157" s="262">
        <f t="shared" si="8"/>
        <v>163.99747475569256</v>
      </c>
      <c r="K157" s="270">
        <f t="shared" si="9"/>
        <v>348.95660181494793</v>
      </c>
      <c r="L157" s="270">
        <f t="shared" si="10"/>
        <v>17283.832615991705</v>
      </c>
      <c r="M157" s="173">
        <v>0</v>
      </c>
      <c r="N157" s="262">
        <f t="shared" si="11"/>
        <v>512.9540765706405</v>
      </c>
      <c r="O157" s="262">
        <f>IF(B157="","",H157-N157)</f>
        <v>-348.95660181494793</v>
      </c>
      <c r="P157" s="265">
        <f>IF(B157="","",NPV(2%,$O$140:O157))</f>
        <v>-5648.2463037696662</v>
      </c>
      <c r="Q157" s="173">
        <f t="shared" si="13"/>
        <v>1</v>
      </c>
      <c r="R157" s="173"/>
    </row>
    <row r="158" spans="2:18" x14ac:dyDescent="0.3">
      <c r="B158" s="173">
        <f t="shared" si="14"/>
        <v>19</v>
      </c>
      <c r="C158" s="262">
        <f t="shared" si="15"/>
        <v>7200.6512591057881</v>
      </c>
      <c r="D158" s="263">
        <f t="shared" si="16"/>
        <v>0.23922949513733299</v>
      </c>
      <c r="E158" s="262">
        <f>IF(B158="","",IF($C$138="ILP",(G158-(($C$18-$G$20)*F158))+(D158*Tausta!$C$71),C158*D158))</f>
        <v>1722.6081653758788</v>
      </c>
      <c r="F158" s="264">
        <f t="shared" si="17"/>
        <v>0.10552413030507761</v>
      </c>
      <c r="G158" s="262">
        <f t="shared" si="6"/>
        <v>1888.2456148791282</v>
      </c>
      <c r="H158" s="262">
        <f t="shared" si="7"/>
        <v>165.6374495032494</v>
      </c>
      <c r="I158" s="173">
        <f t="shared" si="18"/>
        <v>19</v>
      </c>
      <c r="J158" s="262">
        <f t="shared" si="8"/>
        <v>165.6374495032494</v>
      </c>
      <c r="K158" s="270">
        <f t="shared" si="9"/>
        <v>345.67665231983409</v>
      </c>
      <c r="L158" s="270">
        <f t="shared" si="10"/>
        <v>17118.195166488455</v>
      </c>
      <c r="M158" s="173">
        <v>0</v>
      </c>
      <c r="N158" s="262">
        <f t="shared" si="11"/>
        <v>511.31410182308349</v>
      </c>
      <c r="O158" s="262">
        <f t="shared" si="12"/>
        <v>-345.67665231983409</v>
      </c>
      <c r="P158" s="265">
        <f>IF(B158="","",NPV(2%,$O$140:O158))</f>
        <v>-5885.5293908563954</v>
      </c>
      <c r="Q158" s="173">
        <f>IF(P158&gt;0,0,1)</f>
        <v>1</v>
      </c>
      <c r="R158" s="173"/>
    </row>
    <row r="159" spans="2:18" x14ac:dyDescent="0.3">
      <c r="B159" s="173">
        <f t="shared" si="14"/>
        <v>20</v>
      </c>
      <c r="C159" s="262">
        <f t="shared" si="15"/>
        <v>7200.6512591057881</v>
      </c>
      <c r="D159" s="263">
        <f t="shared" si="16"/>
        <v>0.24162179008870632</v>
      </c>
      <c r="E159" s="262">
        <f>IF(B159="","",IF($C$138="ILP",(G159-(($C$18-$G$20)*F159))+(D159*Tausta!$C$71),C159*D159))</f>
        <v>1739.8342470296377</v>
      </c>
      <c r="F159" s="264">
        <f t="shared" si="17"/>
        <v>0.10657937160812839</v>
      </c>
      <c r="G159" s="262">
        <f t="shared" si="6"/>
        <v>1907.1280710279195</v>
      </c>
      <c r="H159" s="262">
        <f t="shared" si="7"/>
        <v>167.29382399828182</v>
      </c>
      <c r="I159" s="173">
        <f t="shared" si="18"/>
        <v>20</v>
      </c>
      <c r="J159" s="262">
        <f t="shared" si="8"/>
        <v>167.29382399828182</v>
      </c>
      <c r="K159" s="270">
        <f t="shared" si="9"/>
        <v>342.36390332976907</v>
      </c>
      <c r="L159" s="270">
        <f t="shared" si="10"/>
        <v>16950.901342490171</v>
      </c>
      <c r="M159" s="173">
        <v>0</v>
      </c>
      <c r="N159" s="262">
        <f t="shared" si="11"/>
        <v>509.6577273280509</v>
      </c>
      <c r="O159" s="262">
        <f t="shared" si="12"/>
        <v>-342.36390332976907</v>
      </c>
      <c r="P159" s="265">
        <f>IF(B159="","",NPV(2%,$O$140:O159))</f>
        <v>-6115.9304832883081</v>
      </c>
      <c r="Q159" s="173">
        <f t="shared" si="13"/>
        <v>1</v>
      </c>
      <c r="R159" s="173"/>
    </row>
    <row r="160" spans="2:18" x14ac:dyDescent="0.3">
      <c r="B160" s="173"/>
      <c r="C160" s="262"/>
      <c r="D160" s="263"/>
      <c r="E160" s="262"/>
      <c r="F160" s="264"/>
      <c r="G160" s="262"/>
      <c r="H160" s="262"/>
      <c r="I160" s="173"/>
      <c r="J160" s="173"/>
      <c r="K160" s="173" t="str">
        <f t="shared" ref="K160" si="19">IF(B160="","",L159*2%)</f>
        <v/>
      </c>
      <c r="L160" s="262"/>
      <c r="M160" s="173"/>
      <c r="N160" s="262"/>
      <c r="O160" s="173"/>
      <c r="P160" s="265"/>
      <c r="Q160" s="176">
        <f>SUM(Q140:Q159)</f>
        <v>20</v>
      </c>
      <c r="R160" s="173"/>
    </row>
    <row r="161" spans="2:18" x14ac:dyDescent="0.3">
      <c r="B161" s="173"/>
      <c r="C161" s="262"/>
      <c r="D161" s="263"/>
      <c r="E161" s="262"/>
      <c r="F161" s="264"/>
      <c r="G161" s="262"/>
      <c r="H161" s="262"/>
      <c r="I161" s="173"/>
      <c r="J161" s="173"/>
      <c r="K161" s="173"/>
      <c r="L161" s="173"/>
      <c r="M161" s="173"/>
      <c r="N161" s="262"/>
      <c r="O161" s="176" t="s">
        <v>492</v>
      </c>
      <c r="P161" s="268">
        <f>P159</f>
        <v>-6115.9304832883081</v>
      </c>
      <c r="Q161" s="176"/>
      <c r="R161" s="173"/>
    </row>
    <row r="162" spans="2:18" x14ac:dyDescent="0.3">
      <c r="B162" s="173"/>
      <c r="C162" s="262" t="s">
        <v>493</v>
      </c>
      <c r="D162" s="263"/>
      <c r="E162" s="262"/>
      <c r="F162" s="264"/>
      <c r="G162" s="262"/>
      <c r="H162" s="262"/>
      <c r="I162" s="173"/>
      <c r="J162" s="173"/>
      <c r="K162" s="173"/>
      <c r="L162" s="173"/>
      <c r="M162" s="173"/>
      <c r="N162" s="262"/>
      <c r="O162" s="176" t="s">
        <v>494</v>
      </c>
      <c r="P162" s="269" t="e">
        <f>IRR(O140:O159)</f>
        <v>#NUM!</v>
      </c>
      <c r="Q162" s="176" t="s">
        <v>495</v>
      </c>
      <c r="R162" s="173"/>
    </row>
    <row r="163" spans="2:18" x14ac:dyDescent="0.3">
      <c r="B163" s="173"/>
      <c r="C163" s="262" t="s">
        <v>478</v>
      </c>
      <c r="D163" s="263" t="s">
        <v>496</v>
      </c>
      <c r="E163" s="262" t="s">
        <v>497</v>
      </c>
      <c r="F163" s="264" t="s">
        <v>484</v>
      </c>
      <c r="G163" s="262" t="s">
        <v>483</v>
      </c>
      <c r="H163" s="262" t="s">
        <v>651</v>
      </c>
      <c r="I163" s="173"/>
      <c r="J163" s="173"/>
      <c r="K163" s="173"/>
      <c r="L163" s="173"/>
      <c r="M163" s="173"/>
      <c r="N163" s="262"/>
      <c r="O163" s="173"/>
      <c r="P163" s="173"/>
      <c r="Q163" s="173"/>
      <c r="R163" s="173"/>
    </row>
    <row r="164" spans="2:18" x14ac:dyDescent="0.3">
      <c r="B164" s="173"/>
      <c r="C164" s="262">
        <f>C136</f>
        <v>20</v>
      </c>
      <c r="D164" s="263">
        <f>L139</f>
        <v>20000</v>
      </c>
      <c r="E164" s="266">
        <v>0.02</v>
      </c>
      <c r="F164" s="267">
        <f>G140</f>
        <v>1578.6060274843237</v>
      </c>
      <c r="G164" s="267">
        <f>E140</f>
        <v>1440.1302518211578</v>
      </c>
      <c r="H164" s="262">
        <f>Q160</f>
        <v>20</v>
      </c>
      <c r="I164" s="173"/>
      <c r="J164" s="173"/>
      <c r="K164" s="173"/>
      <c r="L164" s="173"/>
      <c r="M164" s="173"/>
      <c r="N164" s="262"/>
      <c r="O164" s="262"/>
      <c r="P164" s="265"/>
      <c r="Q164" s="173"/>
      <c r="R164" s="173"/>
    </row>
    <row r="166" spans="2:18" x14ac:dyDescent="0.3">
      <c r="C166" t="s">
        <v>680</v>
      </c>
      <c r="D166" s="159">
        <v>0.01</v>
      </c>
    </row>
  </sheetData>
  <mergeCells count="5">
    <mergeCell ref="E79:F79"/>
    <mergeCell ref="C79:D79"/>
    <mergeCell ref="E18:G18"/>
    <mergeCell ref="E2:F2"/>
    <mergeCell ref="E67:F68"/>
  </mergeCells>
  <phoneticPr fontId="6" type="noConversion"/>
  <pageMargins left="0.25" right="0.25" top="0.75" bottom="0.75" header="0.3" footer="0.3"/>
  <pageSetup paperSize="9" scale="42" fitToHeight="0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3D4B34E0-E0C0-44BD-91CF-A8304F52CAE2}">
          <x14:formula1>
            <xm:f>Aloitustaulukot!$B$5:$B$73</xm:f>
          </x14:formula1>
          <xm:sqref>C4</xm:sqref>
        </x14:dataValidation>
        <x14:dataValidation type="list" allowBlank="1" showInputMessage="1" showErrorMessage="1" xr:uid="{E12EEF29-096B-4610-971B-764D45DC16A8}">
          <x14:formula1>
            <xm:f>Aloitustaulukot!$B$79:$B$86</xm:f>
          </x14:formula1>
          <xm:sqref>C7</xm:sqref>
        </x14:dataValidation>
        <x14:dataValidation type="list" allowBlank="1" showInputMessage="1" showErrorMessage="1" xr:uid="{E7CDD08A-2E5A-4BF5-B8C7-E0C145056A28}">
          <x14:formula1>
            <xm:f>Aloitustaulukot!$B$144:$B$152</xm:f>
          </x14:formula1>
          <xm:sqref>C8</xm:sqref>
        </x14:dataValidation>
        <x14:dataValidation type="list" allowBlank="1" showInputMessage="1" showErrorMessage="1" xr:uid="{A0D00244-324E-4994-9DCF-EF7F531FAC56}">
          <x14:formula1>
            <xm:f>Aloitustaulukot!$B$130:$B$138</xm:f>
          </x14:formula1>
          <xm:sqref>C12</xm:sqref>
        </x14:dataValidation>
        <x14:dataValidation type="list" allowBlank="1" showInputMessage="1" showErrorMessage="1" xr:uid="{57F8BD2A-354C-480C-99F5-66A2E73C322E}">
          <x14:formula1>
            <xm:f>Aloitustaulukot!$B$171:$B$174</xm:f>
          </x14:formula1>
          <xm:sqref>E22:E23</xm:sqref>
        </x14:dataValidation>
        <x14:dataValidation type="list" allowBlank="1" showInputMessage="1" showErrorMessage="1" xr:uid="{25ACFF64-5FEF-45A0-BABA-51BCA86A5517}">
          <x14:formula1>
            <xm:f>Aloitustaulukot!$J$113:$J$117</xm:f>
          </x14:formula1>
          <xm:sqref>C14</xm:sqref>
        </x14:dataValidation>
        <x14:dataValidation type="list" allowBlank="1" showInputMessage="1" showErrorMessage="1" xr:uid="{922A3326-B38B-45BF-B59F-1106C558634B}">
          <x14:formula1>
            <xm:f>Aloitustaulukot!$B$193:$B$198</xm:f>
          </x14:formula1>
          <xm:sqref>C49</xm:sqref>
        </x14:dataValidation>
        <x14:dataValidation type="list" allowBlank="1" showInputMessage="1" showErrorMessage="1" xr:uid="{1CACDC92-DC21-4224-91B5-A42571F39BCF}">
          <x14:formula1>
            <xm:f>Aloitustaulukot!$B$172:$B$175</xm:f>
          </x14:formula1>
          <xm:sqref>E21 C138</xm:sqref>
        </x14:dataValidation>
        <x14:dataValidation type="list" allowBlank="1" showInputMessage="1" showErrorMessage="1" xr:uid="{63041CCB-95BA-45F2-B675-D64E19347078}">
          <x14:formula1>
            <xm:f>Aloitustaulukot!$F$141:$F$143</xm:f>
          </x14:formula1>
          <xm:sqref>C28</xm:sqref>
        </x14:dataValidation>
        <x14:dataValidation type="list" allowBlank="1" showInputMessage="1" showErrorMessage="1" xr:uid="{F88A9F0B-51F7-4641-8F1B-44872842BC75}">
          <x14:formula1>
            <xm:f>Aloitustaulukot!$F$146:$F$149</xm:f>
          </x14:formula1>
          <xm:sqref>C29</xm:sqref>
        </x14:dataValidation>
        <x14:dataValidation type="list" allowBlank="1" showInputMessage="1" showErrorMessage="1" xr:uid="{319F3D64-FFDF-4CC8-BACA-935F91655A73}">
          <x14:formula1>
            <xm:f>Aloitustaulukot!$B$179:$B$188</xm:f>
          </x14:formula1>
          <xm:sqref>E43</xm:sqref>
        </x14:dataValidation>
        <x14:dataValidation type="list" allowBlank="1" showInputMessage="1" showErrorMessage="1" xr:uid="{113E8031-4C00-4D0E-986A-5F4FB08850BB}">
          <x14:formula1>
            <xm:f>Aloitustaulukot!$C$178:$D$178</xm:f>
          </x14:formula1>
          <xm:sqref>H43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57FE5-F2D1-4D78-AD18-C594AAD35C11}">
  <sheetPr codeName="Sheet4">
    <pageSetUpPr fitToPage="1"/>
  </sheetPr>
  <dimension ref="A2:AS90"/>
  <sheetViews>
    <sheetView zoomScale="115" zoomScaleNormal="115" workbookViewId="0">
      <selection activeCell="G21" sqref="G21"/>
    </sheetView>
  </sheetViews>
  <sheetFormatPr defaultRowHeight="14.4" x14ac:dyDescent="0.3"/>
  <cols>
    <col min="2" max="2" width="13.33203125" bestFit="1" customWidth="1"/>
    <col min="3" max="3" width="14.33203125" bestFit="1" customWidth="1"/>
    <col min="10" max="10" width="9.33203125" bestFit="1" customWidth="1"/>
    <col min="11" max="11" width="15.33203125" bestFit="1" customWidth="1"/>
    <col min="15" max="15" width="13.44140625" bestFit="1" customWidth="1"/>
    <col min="17" max="17" width="14" bestFit="1" customWidth="1"/>
    <col min="18" max="18" width="14.6640625" bestFit="1" customWidth="1"/>
    <col min="19" max="19" width="9.33203125" bestFit="1" customWidth="1"/>
  </cols>
  <sheetData>
    <row r="2" spans="2:18" ht="15" thickBot="1" x14ac:dyDescent="0.35"/>
    <row r="3" spans="2:18" ht="15" customHeight="1" thickBot="1" x14ac:dyDescent="0.35">
      <c r="B3" s="406" t="s">
        <v>498</v>
      </c>
      <c r="C3" s="407"/>
      <c r="D3" s="408"/>
      <c r="E3" s="408"/>
      <c r="F3" s="309"/>
      <c r="G3" s="330"/>
      <c r="H3" s="309"/>
      <c r="I3" s="309"/>
      <c r="J3" s="309"/>
      <c r="K3" s="310"/>
      <c r="L3" s="278"/>
      <c r="M3" s="275"/>
      <c r="N3" s="275"/>
      <c r="O3" s="16"/>
      <c r="P3" s="16" t="s">
        <v>499</v>
      </c>
      <c r="Q3" s="16" t="s">
        <v>500</v>
      </c>
      <c r="R3" s="16" t="s">
        <v>92</v>
      </c>
    </row>
    <row r="4" spans="2:18" x14ac:dyDescent="0.3">
      <c r="B4" s="297"/>
      <c r="C4" s="316" t="s">
        <v>501</v>
      </c>
      <c r="D4" s="272" t="s">
        <v>502</v>
      </c>
      <c r="E4" s="272" t="s">
        <v>503</v>
      </c>
      <c r="F4" s="272" t="s">
        <v>504</v>
      </c>
      <c r="G4" s="316" t="s">
        <v>505</v>
      </c>
      <c r="H4" s="272" t="s">
        <v>506</v>
      </c>
      <c r="I4" s="272"/>
      <c r="J4" s="272"/>
      <c r="K4" s="298" t="s">
        <v>507</v>
      </c>
      <c r="L4" s="278"/>
      <c r="M4" s="275"/>
      <c r="N4" s="275"/>
      <c r="O4" s="16" t="s">
        <v>349</v>
      </c>
      <c r="P4" s="333">
        <f>D38</f>
        <v>267.83999999999997</v>
      </c>
      <c r="Q4" s="333">
        <f>E38</f>
        <v>89.28</v>
      </c>
      <c r="R4" s="333">
        <f>Q4+P4</f>
        <v>357.12</v>
      </c>
    </row>
    <row r="5" spans="2:18" x14ac:dyDescent="0.3">
      <c r="B5" s="297" t="s">
        <v>349</v>
      </c>
      <c r="C5" s="331">
        <f>Energia!F3+Energia!$C$29*(Energia!$C$60-Energia!F3)</f>
        <v>9.7635000000000005</v>
      </c>
      <c r="D5" s="273">
        <f>C5+Energia!$C$35</f>
        <v>10.263500000000001</v>
      </c>
      <c r="E5" s="273">
        <f>IF(C5&gt;=Energia!$C$34-Energia!$C$35,Energia!$C$34-Energia!$C$35,C5)</f>
        <v>9.7635000000000005</v>
      </c>
      <c r="F5" s="273">
        <f>IF(K5="x",E5,Energia!F3)</f>
        <v>9.7635000000000005</v>
      </c>
      <c r="G5" s="331">
        <f>F5+0.5</f>
        <v>10.263500000000001</v>
      </c>
      <c r="H5" s="273">
        <f>IF(G5&gt;Energia!$C$34,Tausta!G5,Energia!$C$34)</f>
        <v>17</v>
      </c>
      <c r="I5" s="272"/>
      <c r="J5" s="272" t="s">
        <v>349</v>
      </c>
      <c r="K5" s="298" t="s">
        <v>508</v>
      </c>
      <c r="L5" s="278"/>
      <c r="M5" s="275"/>
      <c r="N5" s="275"/>
      <c r="O5" s="16" t="s">
        <v>351</v>
      </c>
      <c r="P5" s="333">
        <f t="shared" ref="P5:P15" si="0">D39</f>
        <v>241.92</v>
      </c>
      <c r="Q5" s="333">
        <f t="shared" ref="Q5:Q15" si="1">E39</f>
        <v>80.64</v>
      </c>
      <c r="R5" s="333">
        <f t="shared" ref="R5:R15" si="2">Q5+P5</f>
        <v>322.56</v>
      </c>
    </row>
    <row r="6" spans="2:18" x14ac:dyDescent="0.3">
      <c r="B6" s="297" t="s">
        <v>351</v>
      </c>
      <c r="C6" s="331">
        <f>Energia!F4+Energia!$C$29*(Energia!$C$60-Energia!F4)</f>
        <v>9.5250000000000004</v>
      </c>
      <c r="D6" s="273">
        <f>C6+Energia!$C$35</f>
        <v>10.025</v>
      </c>
      <c r="E6" s="273">
        <f>IF(C6&gt;=Energia!$C$34-Energia!$C$35,Energia!$C$34-Energia!$C$35,C6)</f>
        <v>9.5250000000000004</v>
      </c>
      <c r="F6" s="273">
        <f>IF(K6="x",E6,Energia!F4)</f>
        <v>9.5250000000000004</v>
      </c>
      <c r="G6" s="331">
        <f t="shared" ref="G6:G16" si="3">F6+0.5</f>
        <v>10.025</v>
      </c>
      <c r="H6" s="273">
        <f>IF(G6&gt;Energia!$C$34,Tausta!G6,Energia!$C$34)</f>
        <v>17</v>
      </c>
      <c r="I6" s="272"/>
      <c r="J6" s="272" t="s">
        <v>351</v>
      </c>
      <c r="K6" s="298" t="s">
        <v>508</v>
      </c>
      <c r="L6" s="278"/>
      <c r="M6" s="275"/>
      <c r="N6" s="275"/>
      <c r="O6" s="16" t="s">
        <v>352</v>
      </c>
      <c r="P6" s="333">
        <f t="shared" si="0"/>
        <v>267.83999999999997</v>
      </c>
      <c r="Q6" s="333">
        <f t="shared" si="1"/>
        <v>89.28</v>
      </c>
      <c r="R6" s="333">
        <f t="shared" si="2"/>
        <v>357.12</v>
      </c>
    </row>
    <row r="7" spans="2:18" x14ac:dyDescent="0.3">
      <c r="B7" s="297" t="s">
        <v>352</v>
      </c>
      <c r="C7" s="331">
        <f>Energia!F5+Energia!$C$29*(Energia!$C$60-Energia!F5)</f>
        <v>10.388999999999999</v>
      </c>
      <c r="D7" s="273">
        <f>C7+Energia!$C$35</f>
        <v>10.888999999999999</v>
      </c>
      <c r="E7" s="273">
        <f>IF(C7&gt;=Energia!$C$34-Energia!$C$35,Energia!$C$34-Energia!$C$35,C7)</f>
        <v>10.388999999999999</v>
      </c>
      <c r="F7" s="273">
        <f>IF(K7="x",E7,Energia!F5)</f>
        <v>10.388999999999999</v>
      </c>
      <c r="G7" s="331">
        <f t="shared" si="3"/>
        <v>10.888999999999999</v>
      </c>
      <c r="H7" s="273">
        <f>IF(G7&gt;Energia!$C$34,Tausta!G7,Energia!$C$34)</f>
        <v>17</v>
      </c>
      <c r="I7" s="272"/>
      <c r="J7" s="272" t="s">
        <v>352</v>
      </c>
      <c r="K7" s="298" t="s">
        <v>508</v>
      </c>
      <c r="L7" s="278"/>
      <c r="M7" s="275"/>
      <c r="N7" s="275"/>
      <c r="O7" s="16" t="s">
        <v>353</v>
      </c>
      <c r="P7" s="333">
        <f t="shared" si="0"/>
        <v>259.2</v>
      </c>
      <c r="Q7" s="333">
        <f t="shared" si="1"/>
        <v>86.4</v>
      </c>
      <c r="R7" s="333">
        <f t="shared" si="2"/>
        <v>345.6</v>
      </c>
    </row>
    <row r="8" spans="2:18" x14ac:dyDescent="0.3">
      <c r="B8" s="297" t="s">
        <v>353</v>
      </c>
      <c r="C8" s="331">
        <f>Energia!F6+Energia!$C$29*(Energia!$C$60-Energia!F6)</f>
        <v>13.575000000000001</v>
      </c>
      <c r="D8" s="273">
        <f>C8+Energia!$C$35</f>
        <v>14.075000000000001</v>
      </c>
      <c r="E8" s="273">
        <f>IF(C8&gt;=Energia!$C$34-Energia!$C$35,Energia!$C$34-Energia!$C$35,C8)</f>
        <v>13.575000000000001</v>
      </c>
      <c r="F8" s="273">
        <f>IF(K8="x",E8,Energia!F6)</f>
        <v>13.575000000000001</v>
      </c>
      <c r="G8" s="331">
        <f t="shared" si="3"/>
        <v>14.075000000000001</v>
      </c>
      <c r="H8" s="273">
        <f>IF(G8&gt;Energia!$C$34,Tausta!G8,Energia!$C$34)</f>
        <v>17</v>
      </c>
      <c r="I8" s="272"/>
      <c r="J8" s="272" t="s">
        <v>353</v>
      </c>
      <c r="K8" s="298" t="s">
        <v>508</v>
      </c>
      <c r="L8" s="278"/>
      <c r="M8" s="275"/>
      <c r="N8" s="275"/>
      <c r="O8" s="16" t="s">
        <v>355</v>
      </c>
      <c r="P8" s="333">
        <f t="shared" si="0"/>
        <v>267.83999999999997</v>
      </c>
      <c r="Q8" s="333">
        <f t="shared" si="1"/>
        <v>89.28</v>
      </c>
      <c r="R8" s="333">
        <f t="shared" si="2"/>
        <v>357.12</v>
      </c>
    </row>
    <row r="9" spans="2:18" x14ac:dyDescent="0.3">
      <c r="B9" s="297" t="s">
        <v>355</v>
      </c>
      <c r="C9" s="331">
        <f>Energia!F7+Energia!$C$29*(Energia!$C$60-Energia!F7)</f>
        <v>16.391999999999999</v>
      </c>
      <c r="D9" s="273">
        <f>C9+Energia!$C$35</f>
        <v>16.891999999999999</v>
      </c>
      <c r="E9" s="273">
        <f>IF(C9&gt;=Energia!$C$34-Energia!$C$35,Energia!$C$34-Energia!$C$35,C9)</f>
        <v>16.391999999999999</v>
      </c>
      <c r="F9" s="273">
        <f>IF(K9="x",E9,Energia!F7)</f>
        <v>16.391999999999999</v>
      </c>
      <c r="G9" s="331">
        <f t="shared" si="3"/>
        <v>16.891999999999999</v>
      </c>
      <c r="H9" s="273">
        <f>IF(G9&gt;Energia!$C$34,Tausta!G9,Energia!$C$34)</f>
        <v>17</v>
      </c>
      <c r="I9" s="272"/>
      <c r="J9" s="272" t="s">
        <v>355</v>
      </c>
      <c r="K9" s="298" t="s">
        <v>508</v>
      </c>
      <c r="L9" s="278"/>
      <c r="M9" s="275"/>
      <c r="N9" s="275"/>
      <c r="O9" s="16" t="s">
        <v>356</v>
      </c>
      <c r="P9" s="333">
        <f t="shared" si="0"/>
        <v>259.2</v>
      </c>
      <c r="Q9" s="333">
        <f t="shared" si="1"/>
        <v>86.4</v>
      </c>
      <c r="R9" s="333">
        <f t="shared" si="2"/>
        <v>345.6</v>
      </c>
    </row>
    <row r="10" spans="2:18" x14ac:dyDescent="0.3">
      <c r="B10" s="297" t="s">
        <v>356</v>
      </c>
      <c r="C10" s="331">
        <f>Energia!F8+Energia!$C$29*(Energia!$C$60-Energia!F8)</f>
        <v>17.953500000000002</v>
      </c>
      <c r="D10" s="273">
        <f>C10+Energia!$C$35</f>
        <v>18.453500000000002</v>
      </c>
      <c r="E10" s="273">
        <f>IF(C10&gt;=Energia!$C$34-Energia!$C$35,Energia!$C$34-Energia!$C$35,C10)</f>
        <v>16.5</v>
      </c>
      <c r="F10" s="273">
        <f>IF(K10="x",E10,Energia!F8)</f>
        <v>16.5</v>
      </c>
      <c r="G10" s="331">
        <f t="shared" si="3"/>
        <v>17</v>
      </c>
      <c r="H10" s="273">
        <f>IF(G10&gt;Energia!$C$34,Tausta!G10,Energia!$C$34)</f>
        <v>17</v>
      </c>
      <c r="I10" s="272"/>
      <c r="J10" s="272" t="s">
        <v>356</v>
      </c>
      <c r="K10" s="298" t="s">
        <v>508</v>
      </c>
      <c r="L10" s="278"/>
      <c r="M10" s="275"/>
      <c r="N10" s="275"/>
      <c r="O10" s="16" t="s">
        <v>358</v>
      </c>
      <c r="P10" s="333">
        <f t="shared" si="0"/>
        <v>267.83999999999997</v>
      </c>
      <c r="Q10" s="333">
        <f t="shared" si="1"/>
        <v>89.28</v>
      </c>
      <c r="R10" s="333">
        <f t="shared" si="2"/>
        <v>357.12</v>
      </c>
    </row>
    <row r="11" spans="2:18" x14ac:dyDescent="0.3">
      <c r="B11" s="297" t="s">
        <v>358</v>
      </c>
      <c r="C11" s="331">
        <f>Energia!F9+Energia!$C$29*(Energia!$C$60-Energia!F9)</f>
        <v>19.335000000000001</v>
      </c>
      <c r="D11" s="273">
        <f>C11+Energia!$C$35</f>
        <v>19.835000000000001</v>
      </c>
      <c r="E11" s="273">
        <f>IF(C11&gt;=Energia!$C$34-Energia!$C$35,Energia!$C$34-Energia!$C$35,C11)</f>
        <v>16.5</v>
      </c>
      <c r="F11" s="273">
        <f>IF(K11="x",E11,Energia!F9)</f>
        <v>17.3</v>
      </c>
      <c r="G11" s="331">
        <f t="shared" si="3"/>
        <v>17.8</v>
      </c>
      <c r="H11" s="273">
        <f>IF(G11&gt;Energia!$C$34,Tausta!G11,Energia!$C$34)</f>
        <v>17.8</v>
      </c>
      <c r="I11" s="272"/>
      <c r="J11" s="272" t="s">
        <v>358</v>
      </c>
      <c r="K11" s="298" t="s">
        <v>509</v>
      </c>
      <c r="L11" s="278"/>
      <c r="M11" s="275"/>
      <c r="N11" s="275"/>
      <c r="O11" s="16" t="s">
        <v>360</v>
      </c>
      <c r="P11" s="333">
        <f t="shared" si="0"/>
        <v>267.83999999999997</v>
      </c>
      <c r="Q11" s="333">
        <f t="shared" si="1"/>
        <v>89.28</v>
      </c>
      <c r="R11" s="333">
        <f t="shared" si="2"/>
        <v>357.12</v>
      </c>
    </row>
    <row r="12" spans="2:18" x14ac:dyDescent="0.3">
      <c r="B12" s="297" t="s">
        <v>360</v>
      </c>
      <c r="C12" s="331">
        <f>Energia!F10+Energia!$C$29*(Energia!$C$60-Energia!F10)</f>
        <v>18.772500000000001</v>
      </c>
      <c r="D12" s="273">
        <f>C12+Energia!$C$35</f>
        <v>19.272500000000001</v>
      </c>
      <c r="E12" s="273">
        <f>IF(C12&gt;=Energia!$C$34-Energia!$C$35,Energia!$C$34-Energia!$C$35,C12)</f>
        <v>16.5</v>
      </c>
      <c r="F12" s="273">
        <f>IF(K12="x",E12,Energia!F10)</f>
        <v>16.05</v>
      </c>
      <c r="G12" s="331">
        <f t="shared" si="3"/>
        <v>16.55</v>
      </c>
      <c r="H12" s="273">
        <f>IF(G12&gt;Energia!$C$34,Tausta!G12,Energia!$C$34)</f>
        <v>17</v>
      </c>
      <c r="I12" s="272"/>
      <c r="J12" s="272" t="s">
        <v>360</v>
      </c>
      <c r="K12" s="298" t="s">
        <v>509</v>
      </c>
      <c r="L12" s="278"/>
      <c r="M12" s="275"/>
      <c r="N12" s="275"/>
      <c r="O12" s="16" t="s">
        <v>361</v>
      </c>
      <c r="P12" s="333">
        <f t="shared" si="0"/>
        <v>259.2</v>
      </c>
      <c r="Q12" s="333">
        <f t="shared" si="1"/>
        <v>86.4</v>
      </c>
      <c r="R12" s="333">
        <f t="shared" si="2"/>
        <v>345.6</v>
      </c>
    </row>
    <row r="13" spans="2:18" x14ac:dyDescent="0.3">
      <c r="B13" s="297" t="s">
        <v>361</v>
      </c>
      <c r="C13" s="331">
        <f>Energia!F11+Energia!$C$29*(Energia!$C$60-Energia!F11)</f>
        <v>16.288499999999999</v>
      </c>
      <c r="D13" s="273">
        <f>C13+Energia!$C$35</f>
        <v>16.788499999999999</v>
      </c>
      <c r="E13" s="273">
        <f>IF(C13&gt;=Energia!$C$34-Energia!$C$35,Energia!$C$34-Energia!$C$35,C13)</f>
        <v>16.288499999999999</v>
      </c>
      <c r="F13" s="273">
        <f>IF(K13="x",E13,Energia!F11)</f>
        <v>16.288499999999999</v>
      </c>
      <c r="G13" s="331">
        <f t="shared" si="3"/>
        <v>16.788499999999999</v>
      </c>
      <c r="H13" s="273">
        <f>IF(G13&gt;Energia!$C$34,Tausta!G13,Energia!$C$34)</f>
        <v>17</v>
      </c>
      <c r="I13" s="272"/>
      <c r="J13" s="272" t="s">
        <v>361</v>
      </c>
      <c r="K13" s="298" t="s">
        <v>508</v>
      </c>
      <c r="L13" s="278"/>
      <c r="M13" s="275"/>
      <c r="N13" s="275"/>
      <c r="O13" s="16" t="s">
        <v>362</v>
      </c>
      <c r="P13" s="333">
        <f t="shared" si="0"/>
        <v>267.83999999999997</v>
      </c>
      <c r="Q13" s="333">
        <f t="shared" si="1"/>
        <v>89.28</v>
      </c>
      <c r="R13" s="333">
        <f t="shared" si="2"/>
        <v>357.12</v>
      </c>
    </row>
    <row r="14" spans="2:18" x14ac:dyDescent="0.3">
      <c r="B14" s="297" t="s">
        <v>362</v>
      </c>
      <c r="C14" s="331">
        <f>Energia!F12+Energia!$C$29*(Energia!$C$60-Energia!F12)</f>
        <v>14.34</v>
      </c>
      <c r="D14" s="273">
        <f>C14+Energia!$C$35</f>
        <v>14.84</v>
      </c>
      <c r="E14" s="273">
        <f>IF(C14&gt;=Energia!$C$34-Energia!$C$35,Energia!$C$34-Energia!$C$35,C14)</f>
        <v>14.34</v>
      </c>
      <c r="F14" s="273">
        <f>IF(K14="x",E14,Energia!F12)</f>
        <v>14.34</v>
      </c>
      <c r="G14" s="331">
        <f t="shared" si="3"/>
        <v>14.84</v>
      </c>
      <c r="H14" s="273">
        <f>IF(G14&gt;Energia!$C$34,Tausta!G14,Energia!$C$34)</f>
        <v>17</v>
      </c>
      <c r="I14" s="272"/>
      <c r="J14" s="272" t="s">
        <v>362</v>
      </c>
      <c r="K14" s="298" t="s">
        <v>508</v>
      </c>
      <c r="L14" s="278"/>
      <c r="M14" s="275"/>
      <c r="N14" s="275"/>
      <c r="O14" s="16" t="s">
        <v>364</v>
      </c>
      <c r="P14" s="333">
        <f t="shared" si="0"/>
        <v>259.2</v>
      </c>
      <c r="Q14" s="333">
        <f t="shared" si="1"/>
        <v>86.4</v>
      </c>
      <c r="R14" s="333">
        <f t="shared" si="2"/>
        <v>345.6</v>
      </c>
    </row>
    <row r="15" spans="2:18" x14ac:dyDescent="0.3">
      <c r="B15" s="297" t="s">
        <v>364</v>
      </c>
      <c r="C15" s="331">
        <f>Energia!F13+Energia!$C$29*(Energia!$C$60-Energia!F13)</f>
        <v>11.775</v>
      </c>
      <c r="D15" s="273">
        <f>C15+Energia!$C$35</f>
        <v>12.275</v>
      </c>
      <c r="E15" s="273">
        <f>IF(C15&gt;=Energia!$C$34-Energia!$C$35,Energia!$C$34-Energia!$C$35,C15)</f>
        <v>11.775</v>
      </c>
      <c r="F15" s="273">
        <f>IF(K15="x",E15,Energia!F13)</f>
        <v>11.775</v>
      </c>
      <c r="G15" s="331">
        <f t="shared" si="3"/>
        <v>12.275</v>
      </c>
      <c r="H15" s="273">
        <f>IF(G15&gt;Energia!$C$34,Tausta!G15,Energia!$C$34)</f>
        <v>17</v>
      </c>
      <c r="I15" s="272"/>
      <c r="J15" s="272" t="s">
        <v>364</v>
      </c>
      <c r="K15" s="298" t="s">
        <v>508</v>
      </c>
      <c r="L15" s="278"/>
      <c r="M15" s="275"/>
      <c r="N15" s="275"/>
      <c r="O15" s="16" t="s">
        <v>366</v>
      </c>
      <c r="P15" s="333">
        <f t="shared" si="0"/>
        <v>267.83999999999997</v>
      </c>
      <c r="Q15" s="333">
        <f t="shared" si="1"/>
        <v>89.28</v>
      </c>
      <c r="R15" s="333">
        <f t="shared" si="2"/>
        <v>357.12</v>
      </c>
    </row>
    <row r="16" spans="2:18" ht="15" thickBot="1" x14ac:dyDescent="0.35">
      <c r="B16" s="304" t="s">
        <v>366</v>
      </c>
      <c r="C16" s="331">
        <f>Energia!F14+Energia!$C$29*(Energia!$C$60-Energia!F14)</f>
        <v>10.564500000000002</v>
      </c>
      <c r="D16" s="332">
        <f>C16+Energia!$C$35</f>
        <v>11.064500000000002</v>
      </c>
      <c r="E16" s="332">
        <f>IF(C16&gt;=Energia!$C$34-Energia!$C$35,Energia!$C$34-Energia!$C$35,C16)</f>
        <v>10.564500000000002</v>
      </c>
      <c r="F16" s="332">
        <f>IF(K16="x",E16,Energia!F14)</f>
        <v>10.564500000000002</v>
      </c>
      <c r="G16" s="331">
        <f t="shared" si="3"/>
        <v>11.064500000000002</v>
      </c>
      <c r="H16" s="332">
        <f>IF(G16&gt;Energia!$C$34,Tausta!G16,Energia!$C$34)</f>
        <v>17</v>
      </c>
      <c r="I16" s="305"/>
      <c r="J16" s="305" t="s">
        <v>366</v>
      </c>
      <c r="K16" s="308" t="s">
        <v>508</v>
      </c>
      <c r="L16" s="278"/>
      <c r="M16" s="275"/>
      <c r="N16" s="275"/>
      <c r="Q16" t="s">
        <v>92</v>
      </c>
      <c r="R16" s="33">
        <f>SUM(R4:R15)</f>
        <v>4204.7999999999993</v>
      </c>
    </row>
    <row r="17" spans="2:45" ht="15" thickBot="1" x14ac:dyDescent="0.35">
      <c r="AH17" s="272"/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</row>
    <row r="18" spans="2:45" ht="15" customHeight="1" thickBot="1" x14ac:dyDescent="0.35">
      <c r="B18" s="315"/>
      <c r="C18" s="325" t="s">
        <v>447</v>
      </c>
      <c r="D18" s="326"/>
      <c r="E18" s="327" t="s">
        <v>448</v>
      </c>
      <c r="F18" s="328"/>
      <c r="G18" s="328"/>
      <c r="H18" s="328"/>
      <c r="I18" s="328"/>
      <c r="J18" s="328"/>
      <c r="K18" s="328"/>
      <c r="L18" s="327" t="s">
        <v>449</v>
      </c>
      <c r="M18" s="328"/>
      <c r="N18" s="326"/>
      <c r="O18" s="290" t="str">
        <f>IF(Energia!C32="ei","Qtulo","Qkorvaus")</f>
        <v>Qtulo</v>
      </c>
      <c r="P18" s="326"/>
      <c r="Q18" s="329" t="s">
        <v>450</v>
      </c>
      <c r="R18" s="329" t="s">
        <v>510</v>
      </c>
      <c r="S18" s="278"/>
      <c r="T18" s="275"/>
      <c r="AH18" s="272"/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</row>
    <row r="19" spans="2:45" x14ac:dyDescent="0.3">
      <c r="B19" s="297"/>
      <c r="C19" s="316" t="s">
        <v>511</v>
      </c>
      <c r="D19" s="298"/>
      <c r="E19" s="297" t="s">
        <v>512</v>
      </c>
      <c r="F19" s="272" t="s">
        <v>513</v>
      </c>
      <c r="G19" s="272" t="s">
        <v>514</v>
      </c>
      <c r="H19" s="272" t="s">
        <v>515</v>
      </c>
      <c r="I19" s="272" t="s">
        <v>516</v>
      </c>
      <c r="J19" s="272" t="s">
        <v>517</v>
      </c>
      <c r="K19" s="272"/>
      <c r="L19" s="297" t="s">
        <v>518</v>
      </c>
      <c r="M19" s="272">
        <f>(Energia!F62*Energia!C58)/(3600*Energia!C63)</f>
        <v>1.9629629629629632E-2</v>
      </c>
      <c r="N19" s="298" t="s">
        <v>421</v>
      </c>
      <c r="O19" s="297"/>
      <c r="P19" s="298"/>
      <c r="Q19" s="317"/>
      <c r="R19" s="317"/>
      <c r="S19" s="278"/>
      <c r="T19" s="275"/>
      <c r="AH19" s="272"/>
      <c r="AI19" s="272"/>
      <c r="AJ19" s="272"/>
      <c r="AK19" s="272"/>
      <c r="AL19" s="272"/>
      <c r="AM19" s="272"/>
      <c r="AN19" s="272"/>
      <c r="AO19" s="272"/>
      <c r="AP19" s="272"/>
      <c r="AQ19" s="272"/>
      <c r="AR19" s="272"/>
      <c r="AS19" s="272"/>
    </row>
    <row r="20" spans="2:45" x14ac:dyDescent="0.3">
      <c r="B20" s="297" t="s">
        <v>349</v>
      </c>
      <c r="C20" s="318">
        <f>IF(K5="x",(Energia!$C$36*Energia!$C$37*1.2*(Energia!$C$30/1000)*(Tausta!H5-Energia!$C$35-Tausta!F5)*Aloitustaulukot!C93),0)</f>
        <v>481.14777599999996</v>
      </c>
      <c r="D20" s="298" t="s">
        <v>519</v>
      </c>
      <c r="E20" s="319">
        <f>(Energia!$D$53*Energia!$C$53*(Energia!$C$60-Energia!F3)*Aloitustaulukot!C93)/1000</f>
        <v>565.95044352000014</v>
      </c>
      <c r="F20" s="299">
        <f>(Energia!$C$54*Energia!$D$54*(Energia!$C$60-Energia!F3)*Aloitustaulukot!C93)/1000</f>
        <v>167.19911999999999</v>
      </c>
      <c r="G20" s="299">
        <f>(Energia!$C$55*Energia!$D$55*(Energia!$C$60-Aloitustaulukot!C205)*Aloitustaulukot!C93)/1000</f>
        <v>124.15872</v>
      </c>
      <c r="H20" s="299">
        <f>(Energia!$C$56*Energia!$D$56*(Energia!$C$60-Energia!F3)*Aloitustaulukot!C93)/1000</f>
        <v>624.21004799999992</v>
      </c>
      <c r="I20" s="299">
        <f>(Energia!$C$57*Energia!$D$57*(Energia!$C$60-Energia!F3)*Aloitustaulukot!C93)/1000</f>
        <v>208.07001600000001</v>
      </c>
      <c r="J20" s="299">
        <f>SUM(E20:I20)*10%</f>
        <v>168.95883475200003</v>
      </c>
      <c r="K20" s="272" t="s">
        <v>519</v>
      </c>
      <c r="L20" s="319">
        <f>(1.2*1000*$M$19*(Energia!$C$60-Energia!F3)*Aloitustaulukot!C93)/1000</f>
        <v>437.60757333333328</v>
      </c>
      <c r="M20" s="272" t="s">
        <v>519</v>
      </c>
      <c r="N20" s="298"/>
      <c r="O20" s="319">
        <f>IF($O$18="Qtulo",(Energia!$C$36*Energia!$C$37*1.2*1000*(Energia!$C$31/1000)*(Energia!$C$60-Energia!$C$34)*Aloitustaulukot!C93)/1000,(Energia!$C$36*Energia!$C$37*1.2*1000*(Energia!$E$32/1000)*(Energia!$C$60-Energia!F3)*Aloitustaulukot!C93)/1000)</f>
        <v>285.69600000000003</v>
      </c>
      <c r="P20" s="298" t="s">
        <v>519</v>
      </c>
      <c r="Q20" s="320">
        <f>O20+J20+I20+H20+G20+F20+E20+L20</f>
        <v>2581.8507556053332</v>
      </c>
      <c r="R20" s="320">
        <f>Q20-R38</f>
        <v>1996.8220566636564</v>
      </c>
      <c r="S20" s="278"/>
      <c r="T20" s="275"/>
      <c r="AH20" s="272"/>
      <c r="AI20" s="272"/>
      <c r="AJ20" s="272"/>
      <c r="AK20" s="273"/>
      <c r="AL20" s="272"/>
      <c r="AM20" s="273"/>
      <c r="AN20" s="273"/>
      <c r="AO20" s="272"/>
      <c r="AP20" s="272"/>
      <c r="AQ20" s="300"/>
      <c r="AR20" s="272"/>
      <c r="AS20" s="272"/>
    </row>
    <row r="21" spans="2:45" x14ac:dyDescent="0.3">
      <c r="B21" s="297" t="s">
        <v>351</v>
      </c>
      <c r="C21" s="318">
        <f>IF(K6="x",(Energia!$C$36*Energia!$C$37*1.2*(Energia!$C$30/1000)*(Tausta!H6-Energia!$C$35-Tausta!F6)*Aloitustaulukot!C94),0)</f>
        <v>449.97119999999995</v>
      </c>
      <c r="D21" s="298" t="s">
        <v>519</v>
      </c>
      <c r="E21" s="319">
        <f>(Energia!$D$53*Energia!$C$53*(Energia!$C$60-Energia!F4)*Aloitustaulukot!C94)/1000</f>
        <v>522.03110400000003</v>
      </c>
      <c r="F21" s="299">
        <f>(Energia!$C$54*Energia!$D$54*(Energia!$C$60-Energia!F4)*Aloitustaulukot!C94)/1000</f>
        <v>154.22399999999999</v>
      </c>
      <c r="G21" s="299">
        <f>(Energia!$C$55*Energia!$D$55*(Energia!$C$60-Aloitustaulukot!C206)*Aloitustaulukot!C94)/1000</f>
        <v>122.89536</v>
      </c>
      <c r="H21" s="299">
        <f>(Energia!$C$56*Energia!$D$56*(Energia!$C$60-Energia!F4)*Aloitustaulukot!C94)/1000</f>
        <v>575.76960000000008</v>
      </c>
      <c r="I21" s="299">
        <f>(Energia!$C$57*Energia!$D$57*(Energia!$C$60-Energia!F4)*Aloitustaulukot!C94)/1000</f>
        <v>191.92320000000001</v>
      </c>
      <c r="J21" s="299">
        <f t="shared" ref="J21:J31" si="4">SUM(E21:I21)*10%</f>
        <v>156.68432640000003</v>
      </c>
      <c r="K21" s="272" t="s">
        <v>519</v>
      </c>
      <c r="L21" s="319">
        <f>(1.2*1000*$M$19*(Energia!$C$60-Energia!F4)*Aloitustaulukot!C94)/1000</f>
        <v>403.64800000000008</v>
      </c>
      <c r="M21" s="272" t="s">
        <v>519</v>
      </c>
      <c r="N21" s="298"/>
      <c r="O21" s="319">
        <f>IF($O$18="Qtulo",(Energia!$C$36*Energia!$C$37*1.2*1000*(Energia!$C$31/1000)*(Energia!$C$60-Energia!$C$34)*Aloitustaulukot!C94)/1000,(Energia!$C$36*Energia!$C$37*1.2*1000*(Energia!$E$32/1000)*(Energia!$C$60-Energia!F4)*Aloitustaulukot!C94)/1000)</f>
        <v>258.048</v>
      </c>
      <c r="P21" s="298" t="s">
        <v>519</v>
      </c>
      <c r="Q21" s="320">
        <f t="shared" ref="Q21:Q31" si="5">O21+J21+I21+H21+G21+F21+E21+L21</f>
        <v>2385.2235904000004</v>
      </c>
      <c r="R21" s="320">
        <f t="shared" ref="R21:R31" si="6">Q21-R39</f>
        <v>1774.9941163805515</v>
      </c>
      <c r="S21" s="278"/>
      <c r="T21" s="275"/>
      <c r="AH21" s="272"/>
      <c r="AI21" s="272"/>
      <c r="AJ21" s="272"/>
      <c r="AK21" s="273"/>
      <c r="AL21" s="272"/>
      <c r="AM21" s="273"/>
      <c r="AN21" s="273"/>
      <c r="AO21" s="272"/>
      <c r="AP21" s="272"/>
      <c r="AQ21" s="272"/>
      <c r="AR21" s="272"/>
      <c r="AS21" s="272"/>
    </row>
    <row r="22" spans="2:45" x14ac:dyDescent="0.3">
      <c r="B22" s="297" t="s">
        <v>352</v>
      </c>
      <c r="C22" s="318">
        <f>IF(K7="x",(Energia!$C$36*Energia!$C$37*1.2*(Energia!$C$30/1000)*(Tausta!H7-Energia!$C$35-Tausta!F7)*Aloitustaulukot!C95),0)</f>
        <v>436.47206400000005</v>
      </c>
      <c r="D22" s="298" t="s">
        <v>519</v>
      </c>
      <c r="E22" s="319">
        <f>(Energia!$D$53*Energia!$C$53*(Energia!$C$60-Energia!F5)*Aloitustaulukot!C95)/1000</f>
        <v>534.44579327999998</v>
      </c>
      <c r="F22" s="299">
        <f>(Energia!$C$54*Energia!$D$54*(Energia!$C$60-Energia!F5)*Aloitustaulukot!C95)/1000</f>
        <v>157.89167999999995</v>
      </c>
      <c r="G22" s="299">
        <f>(Energia!$C$55*Energia!$D$55*(Energia!$C$60-Aloitustaulukot!C207)*Aloitustaulukot!C95)/1000</f>
        <v>147.96672000000001</v>
      </c>
      <c r="H22" s="299">
        <f>(Energia!$C$56*Energia!$D$56*(Energia!$C$60-Energia!F5)*Aloitustaulukot!C95)/1000</f>
        <v>589.46227199999998</v>
      </c>
      <c r="I22" s="299">
        <f>(Energia!$C$57*Energia!$D$57*(Energia!$C$60-Energia!F5)*Aloitustaulukot!C95)/1000</f>
        <v>196.487424</v>
      </c>
      <c r="J22" s="299">
        <f t="shared" si="4"/>
        <v>162.62538892800001</v>
      </c>
      <c r="K22" s="272" t="s">
        <v>519</v>
      </c>
      <c r="L22" s="319">
        <f>(1.2*1000*$M$19*(Energia!$C$60-Energia!F5)*Aloitustaulukot!C95)/1000</f>
        <v>413.2473599999999</v>
      </c>
      <c r="M22" s="272" t="s">
        <v>519</v>
      </c>
      <c r="N22" s="298"/>
      <c r="O22" s="319">
        <f>IF($O$18="Qtulo",(Energia!$C$36*Energia!$C$37*1.2*1000*(Energia!$C$31/1000)*(Energia!$C$60-Energia!$C$34)*Aloitustaulukot!C95)/1000,(Energia!$C$36*Energia!$C$37*1.2*1000*(Energia!$E$32/1000)*(Energia!$C$60-Energia!F5)*Aloitustaulukot!C95)/1000)</f>
        <v>285.69600000000003</v>
      </c>
      <c r="P22" s="298" t="s">
        <v>519</v>
      </c>
      <c r="Q22" s="320">
        <f t="shared" si="5"/>
        <v>2487.8226382079997</v>
      </c>
      <c r="R22" s="320">
        <f t="shared" si="6"/>
        <v>1586.1434992554209</v>
      </c>
      <c r="S22" s="278"/>
      <c r="T22" s="275"/>
      <c r="AH22" s="272"/>
      <c r="AI22" s="272"/>
      <c r="AJ22" s="272"/>
      <c r="AK22" s="273"/>
      <c r="AL22" s="272"/>
      <c r="AM22" s="273"/>
      <c r="AN22" s="273"/>
      <c r="AO22" s="272"/>
      <c r="AP22" s="272"/>
      <c r="AQ22" s="272"/>
      <c r="AR22" s="272"/>
      <c r="AS22" s="272"/>
    </row>
    <row r="23" spans="2:45" x14ac:dyDescent="0.3">
      <c r="B23" s="297" t="s">
        <v>353</v>
      </c>
      <c r="C23" s="318">
        <f>IF(K8="x",(Energia!$C$36*Energia!$C$37*1.2*(Energia!$C$30/1000)*(Tausta!H8-Energia!$C$35-Tausta!F8)*Aloitustaulukot!C96),0)</f>
        <v>202.1759999999999</v>
      </c>
      <c r="D23" s="298" t="s">
        <v>519</v>
      </c>
      <c r="E23" s="319">
        <f>(Energia!$D$53*Energia!$C$53*(Energia!$C$60-Energia!F6)*Aloitustaulukot!C96)/1000</f>
        <v>361.91232000000008</v>
      </c>
      <c r="F23" s="299">
        <f>(Energia!$C$54*Energia!$D$54*(Energia!$C$60-Energia!F6)*Aloitustaulukot!C96)/1000</f>
        <v>106.92</v>
      </c>
      <c r="G23" s="299">
        <f>(Energia!$C$55*Energia!$D$55*(Energia!$C$60-Aloitustaulukot!C208)*Aloitustaulukot!C96)/1000</f>
        <v>154.71360000000001</v>
      </c>
      <c r="H23" s="299">
        <f>(Energia!$C$56*Energia!$D$56*(Energia!$C$60-Energia!F6)*Aloitustaulukot!C96)/1000</f>
        <v>399.16800000000001</v>
      </c>
      <c r="I23" s="299">
        <f>(Energia!$C$57*Energia!$D$57*(Energia!$C$60-Energia!F6)*Aloitustaulukot!C96)/1000</f>
        <v>133.05600000000001</v>
      </c>
      <c r="J23" s="299">
        <f t="shared" si="4"/>
        <v>115.57699200000002</v>
      </c>
      <c r="K23" s="272" t="s">
        <v>519</v>
      </c>
      <c r="L23" s="319">
        <f>(1.2*1000*$M$19*(Energia!$C$60-Energia!F6)*Aloitustaulukot!C96)/1000</f>
        <v>279.83999999999997</v>
      </c>
      <c r="M23" s="272" t="s">
        <v>519</v>
      </c>
      <c r="N23" s="298"/>
      <c r="O23" s="319">
        <f>IF($O$18="Qtulo",(Energia!$C$36*Energia!$C$37*1.2*1000*(Energia!$C$31/1000)*(Energia!$C$60-Energia!$C$34)*Aloitustaulukot!C96)/1000,(Energia!$C$36*Energia!$C$37*1.2*1000*(Energia!$E$32/1000)*(Energia!$C$60-Energia!F6)*Aloitustaulukot!C96)/1000)</f>
        <v>276.48</v>
      </c>
      <c r="P23" s="298" t="s">
        <v>519</v>
      </c>
      <c r="Q23" s="320">
        <f t="shared" si="5"/>
        <v>1827.6669120000001</v>
      </c>
      <c r="R23" s="320">
        <f t="shared" si="6"/>
        <v>782.91289722314377</v>
      </c>
      <c r="S23" s="278"/>
      <c r="T23" s="275"/>
      <c r="AH23" s="272"/>
      <c r="AI23" s="272"/>
      <c r="AJ23" s="272"/>
      <c r="AK23" s="273"/>
      <c r="AL23" s="272"/>
      <c r="AM23" s="273"/>
      <c r="AN23" s="273"/>
      <c r="AO23" s="272"/>
      <c r="AP23" s="272"/>
      <c r="AQ23" s="272"/>
      <c r="AR23" s="272"/>
      <c r="AS23" s="272"/>
    </row>
    <row r="24" spans="2:45" x14ac:dyDescent="0.3">
      <c r="B24" s="297" t="s">
        <v>355</v>
      </c>
      <c r="C24" s="318">
        <f>IF(K9="x",(Energia!$C$36*Energia!$C$37*1.2*(Energia!$C$30/1000)*(Tausta!H9-Energia!$C$35-Tausta!F9)*Aloitustaulukot!C97),0)</f>
        <v>7.7137920000000388</v>
      </c>
      <c r="D24" s="298" t="s">
        <v>519</v>
      </c>
      <c r="E24" s="319">
        <f>(Energia!$D$53*Energia!$C$53*(Energia!$C$60-Energia!F7)*Aloitustaulukot!C97)/1000</f>
        <v>232.09181184000008</v>
      </c>
      <c r="F24" s="299">
        <f>(Energia!$C$54*Energia!$D$54*(Energia!$C$60-Energia!F7)*Aloitustaulukot!C97)/1000</f>
        <v>68.567039999999992</v>
      </c>
      <c r="G24" s="299">
        <f>(Energia!$C$55*Energia!$D$55*(Energia!$C$60-Aloitustaulukot!C209)*Aloitustaulukot!C97)/1000</f>
        <v>159.87072000000001</v>
      </c>
      <c r="H24" s="299">
        <f>(Energia!$C$56*Energia!$D$56*(Energia!$C$60-Energia!F7)*Aloitustaulukot!C97)/1000</f>
        <v>255.98361600000001</v>
      </c>
      <c r="I24" s="299">
        <f>(Energia!$C$57*Energia!$D$57*(Energia!$C$60-Energia!F7)*Aloitustaulukot!C97)/1000</f>
        <v>85.327872000000013</v>
      </c>
      <c r="J24" s="299">
        <f t="shared" si="4"/>
        <v>80.184105984000013</v>
      </c>
      <c r="K24" s="272" t="s">
        <v>519</v>
      </c>
      <c r="L24" s="319">
        <f>(1.2*1000*$M$19*(Energia!$C$60-Energia!F7)*Aloitustaulukot!C97)/1000</f>
        <v>179.45941333333337</v>
      </c>
      <c r="M24" s="272" t="s">
        <v>519</v>
      </c>
      <c r="N24" s="298"/>
      <c r="O24" s="319">
        <f>IF($O$18="Qtulo",(Energia!$C$36*Energia!$C$37*1.2*1000*(Energia!$C$31/1000)*(Energia!$C$60-Energia!$C$34)*Aloitustaulukot!C97)/1000,(Energia!$C$36*Energia!$C$37*1.2*1000*(Energia!$E$32/1000)*(Energia!$C$60-Energia!F7)*Aloitustaulukot!C97)/1000)</f>
        <v>285.69600000000003</v>
      </c>
      <c r="P24" s="298" t="s">
        <v>519</v>
      </c>
      <c r="Q24" s="320">
        <f t="shared" si="5"/>
        <v>1347.1805791573333</v>
      </c>
      <c r="R24" s="320">
        <f>Q24-R42</f>
        <v>179.54791539941743</v>
      </c>
      <c r="S24" s="278"/>
      <c r="T24" s="275"/>
      <c r="AH24" s="272"/>
      <c r="AI24" s="272"/>
      <c r="AJ24" s="272"/>
      <c r="AK24" s="273"/>
      <c r="AL24" s="272"/>
      <c r="AM24" s="273"/>
      <c r="AN24" s="273"/>
      <c r="AO24" s="272"/>
      <c r="AP24" s="272"/>
      <c r="AQ24" s="272"/>
      <c r="AR24" s="272"/>
      <c r="AS24" s="272"/>
    </row>
    <row r="25" spans="2:45" x14ac:dyDescent="0.3">
      <c r="B25" s="297" t="s">
        <v>356</v>
      </c>
      <c r="C25" s="318">
        <f>IF(K10="x",(Energia!$C$36*Energia!$C$37*1.2*(Energia!$C$30/1000)*(Tausta!H10-Energia!$C$35-Tausta!F10)*Aloitustaulukot!C98),0)</f>
        <v>0</v>
      </c>
      <c r="D25" s="298" t="s">
        <v>519</v>
      </c>
      <c r="E25" s="319">
        <f>(Energia!$D$53*Energia!$C$53*(Energia!$C$60-Energia!F8)*Aloitustaulukot!C98)/1000</f>
        <v>148.49372160000001</v>
      </c>
      <c r="F25" s="299">
        <f>(Energia!$C$54*Energia!$D$54*(Energia!$C$60-Energia!F8)*Aloitustaulukot!C98)/1000</f>
        <v>43.869599999999991</v>
      </c>
      <c r="G25" s="299">
        <f>(Energia!$C$55*Energia!$D$55*(Energia!$C$60-Aloitustaulukot!C210)*Aloitustaulukot!C98)/1000</f>
        <v>143.1936</v>
      </c>
      <c r="H25" s="299">
        <f>(Energia!$C$56*Energia!$D$56*(Energia!$C$60-Energia!F8)*Aloitustaulukot!C98)/1000</f>
        <v>163.77984000000001</v>
      </c>
      <c r="I25" s="299">
        <f>(Energia!$C$57*Energia!$D$57*(Energia!$C$60-Energia!F8)*Aloitustaulukot!C98)/1000</f>
        <v>54.59328</v>
      </c>
      <c r="J25" s="299">
        <f>SUM(E25:I25)*10%</f>
        <v>55.393004160000011</v>
      </c>
      <c r="K25" s="272" t="s">
        <v>519</v>
      </c>
      <c r="L25" s="319">
        <f>(1.2*1000*$M$19*(Energia!$C$60-Energia!F8)*Aloitustaulukot!C98)/1000</f>
        <v>114.8192</v>
      </c>
      <c r="M25" s="272" t="s">
        <v>519</v>
      </c>
      <c r="N25" s="298"/>
      <c r="O25" s="319">
        <f>IF($O$18="Qtulo",(Energia!$C$36*Energia!$C$37*1.2*1000*(Energia!$C$31/1000)*(Energia!$C$60-Energia!$C$34)*Aloitustaulukot!C98)/1000,(Energia!$C$36*Energia!$C$37*1.2*1000*(Energia!$E$32/1000)*(Energia!$C$60-Energia!F8)*Aloitustaulukot!C98)/1000)</f>
        <v>276.48</v>
      </c>
      <c r="P25" s="298" t="s">
        <v>519</v>
      </c>
      <c r="Q25" s="320">
        <f t="shared" si="5"/>
        <v>1000.6222457600001</v>
      </c>
      <c r="R25" s="320">
        <f t="shared" si="6"/>
        <v>60.779287095729387</v>
      </c>
      <c r="S25" s="278"/>
      <c r="T25" s="275"/>
      <c r="AH25" s="272"/>
      <c r="AI25" s="272"/>
      <c r="AJ25" s="272"/>
      <c r="AK25" s="273"/>
      <c r="AL25" s="272"/>
      <c r="AM25" s="273"/>
      <c r="AN25" s="273"/>
      <c r="AO25" s="272"/>
      <c r="AP25" s="272"/>
      <c r="AQ25" s="272"/>
      <c r="AR25" s="272"/>
      <c r="AS25" s="272"/>
    </row>
    <row r="26" spans="2:45" x14ac:dyDescent="0.3">
      <c r="B26" s="297" t="s">
        <v>358</v>
      </c>
      <c r="C26" s="318">
        <f>IF(K11="x",(Energia!$C$36*Energia!$C$37*1.2*(Energia!$C$30/1000)*(Tausta!H11-Energia!$C$35-Tausta!F11)*Aloitustaulukot!C99),0)</f>
        <v>0</v>
      </c>
      <c r="D26" s="298" t="s">
        <v>519</v>
      </c>
      <c r="E26" s="319">
        <f>(Energia!$D$53*Energia!$C$53*(Energia!$C$60-Energia!F9)*Aloitustaulukot!C99)/1000</f>
        <v>83.861299200000005</v>
      </c>
      <c r="F26" s="299">
        <f>(Energia!$C$54*Energia!$D$54*(Energia!$C$60-Energia!F9)*Aloitustaulukot!C99)/1000</f>
        <v>24.775199999999998</v>
      </c>
      <c r="G26" s="299">
        <f>(Energia!$C$55*Energia!$D$55*(Energia!$C$60-Aloitustaulukot!C211)*Aloitustaulukot!C99)/1000</f>
        <v>124.15872</v>
      </c>
      <c r="H26" s="299">
        <f>(Energia!$C$56*Energia!$D$56*(Energia!$C$60-Energia!F9)*Aloitustaulukot!C99)/1000</f>
        <v>92.494079999999983</v>
      </c>
      <c r="I26" s="299">
        <f>(Energia!$C$57*Energia!$D$57*(Energia!$C$60-Energia!F9)*Aloitustaulukot!C99)/1000</f>
        <v>30.831359999999997</v>
      </c>
      <c r="J26" s="299">
        <f t="shared" si="4"/>
        <v>35.612065920000006</v>
      </c>
      <c r="K26" s="272" t="s">
        <v>519</v>
      </c>
      <c r="L26" s="319">
        <f>(1.2*1000*$M$19*(Energia!$C$60-Energia!F9)*Aloitustaulukot!C99)/1000</f>
        <v>64.843733333333333</v>
      </c>
      <c r="M26" s="272" t="s">
        <v>519</v>
      </c>
      <c r="N26" s="298"/>
      <c r="O26" s="319">
        <f>IF($O$18="Qtulo",(Energia!$C$36*Energia!$C$37*1.2*1000*(Energia!$C$31/1000)*(Energia!$C$60-Energia!$C$34)*Aloitustaulukot!C99)/1000,(Energia!$C$36*Energia!$C$37*1.2*1000*(Energia!$E$32/1000)*(Energia!$C$60-Energia!F9)*Aloitustaulukot!C99)/1000)</f>
        <v>285.69600000000003</v>
      </c>
      <c r="P26" s="298" t="s">
        <v>519</v>
      </c>
      <c r="Q26" s="320">
        <f t="shared" si="5"/>
        <v>742.27245845333346</v>
      </c>
      <c r="R26" s="320">
        <f>Q26-R44</f>
        <v>20.606072740131026</v>
      </c>
      <c r="S26" s="278"/>
      <c r="T26" s="275"/>
      <c r="AH26" s="272"/>
      <c r="AI26" s="272"/>
      <c r="AJ26" s="272"/>
      <c r="AK26" s="273"/>
      <c r="AL26" s="272"/>
      <c r="AM26" s="273"/>
      <c r="AN26" s="273"/>
      <c r="AO26" s="272"/>
      <c r="AP26" s="272"/>
      <c r="AQ26" s="272"/>
      <c r="AR26" s="272"/>
      <c r="AS26" s="272"/>
    </row>
    <row r="27" spans="2:45" x14ac:dyDescent="0.3">
      <c r="B27" s="297" t="s">
        <v>360</v>
      </c>
      <c r="C27" s="318">
        <f>IF(K12="x",(Energia!$C$36*Energia!$C$37*1.2*(Energia!$C$30/1000)*(Tausta!H12-Energia!$C$35-Tausta!F12)*Aloitustaulukot!C100),0)</f>
        <v>0</v>
      </c>
      <c r="D27" s="298" t="s">
        <v>519</v>
      </c>
      <c r="E27" s="319">
        <f>(Energia!$D$53*Energia!$C$53*(Energia!$C$60-Energia!F10)*Aloitustaulukot!C100)/1000</f>
        <v>112.19281920000002</v>
      </c>
      <c r="F27" s="299">
        <f>(Energia!$C$54*Energia!$D$54*(Energia!$C$60-Energia!F10)*Aloitustaulukot!C100)/1000</f>
        <v>33.145199999999996</v>
      </c>
      <c r="G27" s="299">
        <f>(Energia!$C$55*Energia!$D$55*(Energia!$C$60-Aloitustaulukot!C212)*Aloitustaulukot!C100)/1000</f>
        <v>112.25472000000001</v>
      </c>
      <c r="H27" s="299">
        <f>(Energia!$C$56*Energia!$D$56*(Energia!$C$60-Energia!F10)*Aloitustaulukot!C100)/1000</f>
        <v>123.74208</v>
      </c>
      <c r="I27" s="299">
        <f>(Energia!$C$57*Energia!$D$57*(Energia!$C$60-Energia!F10)*Aloitustaulukot!C100)/1000</f>
        <v>41.24736</v>
      </c>
      <c r="J27" s="299">
        <f t="shared" si="4"/>
        <v>42.258217920000007</v>
      </c>
      <c r="K27" s="272" t="s">
        <v>519</v>
      </c>
      <c r="L27" s="319">
        <f>(1.2*1000*$M$19*(Energia!$C$60-Energia!F10)*Aloitustaulukot!C100)/1000</f>
        <v>86.750399999999999</v>
      </c>
      <c r="M27" s="272" t="s">
        <v>519</v>
      </c>
      <c r="N27" s="298"/>
      <c r="O27" s="319">
        <f>IF($O$18="Qtulo",(Energia!$C$36*Energia!$C$37*1.2*1000*(Energia!$C$31/1000)*(Energia!$C$60-Energia!$C$34)*Aloitustaulukot!C100)/1000,(Energia!$C$36*Energia!$C$37*1.2*1000*(Energia!$E$32/1000)*(Energia!$C$60-Energia!F10)*Aloitustaulukot!C100)/1000)</f>
        <v>285.69600000000003</v>
      </c>
      <c r="P27" s="298" t="s">
        <v>519</v>
      </c>
      <c r="Q27" s="320">
        <f t="shared" si="5"/>
        <v>837.28679712000007</v>
      </c>
      <c r="R27" s="320">
        <f t="shared" si="6"/>
        <v>64.103361242137908</v>
      </c>
      <c r="S27" s="278"/>
      <c r="T27" s="275"/>
      <c r="AH27" s="272"/>
      <c r="AI27" s="272"/>
      <c r="AJ27" s="272"/>
      <c r="AK27" s="273"/>
      <c r="AL27" s="272"/>
      <c r="AM27" s="273"/>
      <c r="AN27" s="273"/>
      <c r="AO27" s="272"/>
      <c r="AP27" s="272"/>
      <c r="AQ27" s="272"/>
      <c r="AR27" s="272"/>
      <c r="AS27" s="272"/>
    </row>
    <row r="28" spans="2:45" x14ac:dyDescent="0.3">
      <c r="B28" s="297" t="s">
        <v>361</v>
      </c>
      <c r="C28" s="318">
        <f>IF(K13="x",(Energia!$C$36*Energia!$C$37*1.2*(Energia!$C$30/1000)*(Tausta!H13-Energia!$C$35-Tausta!F13)*Aloitustaulukot!C101),0)</f>
        <v>14.618880000000065</v>
      </c>
      <c r="D28" s="298" t="s">
        <v>519</v>
      </c>
      <c r="E28" s="319">
        <f>(Energia!$D$53*Energia!$C$53*(Energia!$C$60-Energia!F11)*Aloitustaulukot!C101)/1000</f>
        <v>229.64981760000003</v>
      </c>
      <c r="F28" s="299">
        <f>(Energia!$C$54*Energia!$D$54*(Energia!$C$60-Energia!F11)*Aloitustaulukot!C101)/1000</f>
        <v>67.845600000000005</v>
      </c>
      <c r="G28" s="299">
        <f>(Energia!$C$55*Energia!$D$55*(Energia!$C$60-Aloitustaulukot!C213)*Aloitustaulukot!C101)/1000</f>
        <v>97.113599999999991</v>
      </c>
      <c r="H28" s="299">
        <f>(Energia!$C$56*Energia!$D$56*(Energia!$C$60-Energia!F11)*Aloitustaulukot!C101)/1000</f>
        <v>253.29024000000001</v>
      </c>
      <c r="I28" s="299">
        <f>(Energia!$C$57*Energia!$D$57*(Energia!$C$60-Energia!F11)*Aloitustaulukot!C101)/1000</f>
        <v>84.430080000000018</v>
      </c>
      <c r="J28" s="299">
        <f t="shared" si="4"/>
        <v>73.232933760000009</v>
      </c>
      <c r="K28" s="272" t="s">
        <v>519</v>
      </c>
      <c r="L28" s="319">
        <f>(1.2*1000*$M$19*(Energia!$C$60-Energia!F11)*Aloitustaulukot!C101)/1000</f>
        <v>177.5712</v>
      </c>
      <c r="M28" s="272" t="s">
        <v>519</v>
      </c>
      <c r="N28" s="298"/>
      <c r="O28" s="319">
        <f>IF($O$18="Qtulo",(Energia!$C$36*Energia!$C$37*1.2*1000*(Energia!$C$31/1000)*(Energia!$C$60-Energia!$C$34)*Aloitustaulukot!C101)/1000,(Energia!$C$36*Energia!$C$37*1.2*1000*(Energia!$E$32/1000)*(Energia!$C$60-Energia!F11)*Aloitustaulukot!C101)/1000)</f>
        <v>276.48</v>
      </c>
      <c r="P28" s="298" t="s">
        <v>519</v>
      </c>
      <c r="Q28" s="320">
        <f t="shared" si="5"/>
        <v>1259.6134713600002</v>
      </c>
      <c r="R28" s="320">
        <f t="shared" si="6"/>
        <v>378.79686433749009</v>
      </c>
      <c r="S28" s="278"/>
      <c r="T28" s="275"/>
      <c r="AH28" s="272"/>
      <c r="AI28" s="272"/>
      <c r="AJ28" s="272"/>
      <c r="AK28" s="273"/>
      <c r="AL28" s="272"/>
      <c r="AM28" s="273"/>
      <c r="AN28" s="273"/>
      <c r="AO28" s="272"/>
      <c r="AP28" s="272"/>
      <c r="AQ28" s="272"/>
      <c r="AR28" s="272"/>
      <c r="AS28" s="272"/>
    </row>
    <row r="29" spans="2:45" x14ac:dyDescent="0.3">
      <c r="B29" s="297" t="s">
        <v>362</v>
      </c>
      <c r="C29" s="318">
        <f>IF(K14="x",(Energia!$C$36*Energia!$C$37*1.2*(Energia!$C$30/1000)*(Tausta!H14-Energia!$C$35-Tausta!F14)*Aloitustaulukot!C102),0)</f>
        <v>154.27584000000002</v>
      </c>
      <c r="D29" s="298" t="s">
        <v>519</v>
      </c>
      <c r="E29" s="319">
        <f>(Energia!$D$53*Energia!$C$53*(Energia!$C$60-Energia!F12)*Aloitustaulukot!C102)/1000</f>
        <v>335.44519680000002</v>
      </c>
      <c r="F29" s="299">
        <f>(Energia!$C$54*Energia!$D$54*(Energia!$C$60-Energia!F12)*Aloitustaulukot!C102)/1000</f>
        <v>99.100800000000021</v>
      </c>
      <c r="G29" s="299">
        <f>(Energia!$C$55*Energia!$D$55*(Energia!$C$60-Aloitustaulukot!C214)*Aloitustaulukot!C102)/1000</f>
        <v>88.446719999999999</v>
      </c>
      <c r="H29" s="299">
        <f>(Energia!$C$56*Energia!$D$56*(Energia!$C$60-Energia!F12)*Aloitustaulukot!C102)/1000</f>
        <v>369.97631999999999</v>
      </c>
      <c r="I29" s="299">
        <f>(Energia!$C$57*Energia!$D$57*(Energia!$C$60-Energia!F12)*Aloitustaulukot!C102)/1000</f>
        <v>123.32544000000001</v>
      </c>
      <c r="J29" s="299">
        <f t="shared" si="4"/>
        <v>101.62944768</v>
      </c>
      <c r="K29" s="272" t="s">
        <v>519</v>
      </c>
      <c r="L29" s="319">
        <f>(1.2*1000*$M$19*(Energia!$C$60-Energia!F12)*Aloitustaulukot!C102)/1000</f>
        <v>259.37493333333333</v>
      </c>
      <c r="M29" s="272" t="s">
        <v>519</v>
      </c>
      <c r="N29" s="298"/>
      <c r="O29" s="319">
        <f>IF($O$18="Qtulo",(Energia!$C$36*Energia!$C$37*1.2*1000*(Energia!$C$31/1000)*(Energia!$C$60-Energia!$C$34)*Aloitustaulukot!C102)/1000,(Energia!$C$36*Energia!$C$37*1.2*1000*(Energia!$E$32/1000)*(Energia!$C$60-Energia!F12)*Aloitustaulukot!C102)/1000)</f>
        <v>285.69600000000003</v>
      </c>
      <c r="P29" s="298" t="s">
        <v>519</v>
      </c>
      <c r="Q29" s="320">
        <f t="shared" si="5"/>
        <v>1662.9948578133335</v>
      </c>
      <c r="R29" s="320">
        <f t="shared" si="6"/>
        <v>954.61313714910125</v>
      </c>
      <c r="S29" s="278"/>
      <c r="T29" s="275"/>
      <c r="AH29" s="272"/>
      <c r="AI29" s="272"/>
      <c r="AJ29" s="272"/>
      <c r="AK29" s="273"/>
      <c r="AL29" s="272"/>
      <c r="AM29" s="273"/>
      <c r="AN29" s="273"/>
      <c r="AO29" s="272"/>
      <c r="AP29" s="272"/>
      <c r="AQ29" s="272"/>
      <c r="AR29" s="272"/>
      <c r="AS29" s="272"/>
    </row>
    <row r="30" spans="2:45" x14ac:dyDescent="0.3">
      <c r="B30" s="297" t="s">
        <v>364</v>
      </c>
      <c r="C30" s="318">
        <f>IF(K15="x",(Energia!$C$36*Energia!$C$37*1.2*(Energia!$C$30/1000)*(Tausta!H15-Energia!$C$35-Tausta!F15)*Aloitustaulukot!C103),0)</f>
        <v>326.59199999999998</v>
      </c>
      <c r="D30" s="298" t="s">
        <v>519</v>
      </c>
      <c r="E30" s="319">
        <f>(Energia!$D$53*Energia!$C$53*(Energia!$C$60-Energia!F13)*Aloitustaulukot!C103)/1000</f>
        <v>449.64864000000011</v>
      </c>
      <c r="F30" s="299">
        <f>(Energia!$C$54*Energia!$D$54*(Energia!$C$60-Energia!F13)*Aloitustaulukot!C103)/1000</f>
        <v>132.84</v>
      </c>
      <c r="G30" s="299">
        <f>(Energia!$C$55*Energia!$D$55*(Energia!$C$60-Aloitustaulukot!C215)*Aloitustaulukot!C103)/1000</f>
        <v>85.593599999999995</v>
      </c>
      <c r="H30" s="299">
        <f>(Energia!$C$56*Energia!$D$56*(Energia!$C$60-Energia!F13)*Aloitustaulukot!C103)/1000</f>
        <v>495.93600000000004</v>
      </c>
      <c r="I30" s="299">
        <f>(Energia!$C$57*Energia!$D$57*(Energia!$C$60-Energia!F13)*Aloitustaulukot!C103)/1000</f>
        <v>165.31200000000004</v>
      </c>
      <c r="J30" s="299">
        <f t="shared" si="4"/>
        <v>132.93302400000005</v>
      </c>
      <c r="K30" s="272" t="s">
        <v>519</v>
      </c>
      <c r="L30" s="319">
        <f>(1.2*1000*$M$19*(Energia!$C$60-Energia!F13)*Aloitustaulukot!C103)/1000</f>
        <v>347.68</v>
      </c>
      <c r="M30" s="272" t="s">
        <v>519</v>
      </c>
      <c r="N30" s="298"/>
      <c r="O30" s="319">
        <f>IF($O$18="Qtulo",(Energia!$C$36*Energia!$C$37*1.2*1000*(Energia!$C$31/1000)*(Energia!$C$60-Energia!$C$34)*Aloitustaulukot!C103)/1000,(Energia!$C$36*Energia!$C$37*1.2*1000*(Energia!$E$32/1000)*(Energia!$C$60-Energia!F13)*Aloitustaulukot!C103)/1000)</f>
        <v>276.48</v>
      </c>
      <c r="P30" s="298" t="s">
        <v>519</v>
      </c>
      <c r="Q30" s="320">
        <f t="shared" si="5"/>
        <v>2086.423264</v>
      </c>
      <c r="R30" s="320">
        <f t="shared" si="6"/>
        <v>1510.3584793689156</v>
      </c>
      <c r="S30" s="278"/>
      <c r="T30" s="275"/>
      <c r="AH30" s="272"/>
      <c r="AI30" s="272"/>
      <c r="AJ30" s="272"/>
      <c r="AK30" s="273"/>
      <c r="AL30" s="272"/>
      <c r="AM30" s="273"/>
      <c r="AN30" s="273"/>
      <c r="AO30" s="272"/>
      <c r="AP30" s="272"/>
      <c r="AQ30" s="272"/>
      <c r="AR30" s="272"/>
      <c r="AS30" s="272"/>
    </row>
    <row r="31" spans="2:45" x14ac:dyDescent="0.3">
      <c r="B31" s="297" t="s">
        <v>366</v>
      </c>
      <c r="C31" s="318">
        <f>IF(K16="x",(Energia!$C$36*Energia!$C$37*1.2*(Energia!$C$30/1000)*(Tausta!H16-Energia!$C$35-Tausta!F16)*Aloitustaulukot!C104),0)</f>
        <v>423.9371519999998</v>
      </c>
      <c r="D31" s="298" t="s">
        <v>519</v>
      </c>
      <c r="E31" s="319">
        <f>(Energia!$D$53*Energia!$C$53*(Energia!$C$60-Energia!F14)*Aloitustaulukot!C104)/1000</f>
        <v>525.60635904000014</v>
      </c>
      <c r="F31" s="299">
        <f>(Energia!$C$54*Energia!$D$54*(Energia!$C$60-Energia!F14)*Aloitustaulukot!C104)/1000</f>
        <v>155.28024000000002</v>
      </c>
      <c r="G31" s="299">
        <f>(Energia!$C$55*Energia!$D$55*(Energia!$C$60-Aloitustaulukot!C216)*Aloitustaulukot!C104)/1000</f>
        <v>100.35072</v>
      </c>
      <c r="H31" s="299">
        <f>(Energia!$C$56*Energia!$D$56*(Energia!$C$60-Energia!F14)*Aloitustaulukot!C104)/1000</f>
        <v>579.71289600000011</v>
      </c>
      <c r="I31" s="299">
        <f>(Energia!$C$57*Energia!$D$57*(Energia!$C$60-Energia!F14)*Aloitustaulukot!C104)/1000</f>
        <v>193.23763200000005</v>
      </c>
      <c r="J31" s="299">
        <f t="shared" si="4"/>
        <v>155.41878470400005</v>
      </c>
      <c r="K31" s="272" t="s">
        <v>519</v>
      </c>
      <c r="L31" s="319">
        <f>(1.2*1000*$M$19*(Energia!$C$60-Energia!F14)*Aloitustaulukot!C104)/1000</f>
        <v>406.41248000000007</v>
      </c>
      <c r="M31" s="272" t="s">
        <v>519</v>
      </c>
      <c r="N31" s="298"/>
      <c r="O31" s="319">
        <f>IF($O$18="Qtulo",(Energia!$C$36*Energia!$C$37*1.2*1000*(Energia!$C$31/1000)*(Energia!$C$60-Energia!$C$34)*Aloitustaulukot!C104)/1000,(Energia!$C$36*Energia!$C$37*1.2*1000*(Energia!$E$32/1000)*(Energia!$C$60-Energia!F14)*Aloitustaulukot!C104)/1000)</f>
        <v>285.69600000000003</v>
      </c>
      <c r="P31" s="298" t="s">
        <v>519</v>
      </c>
      <c r="Q31" s="320">
        <f t="shared" si="5"/>
        <v>2401.7151117440003</v>
      </c>
      <c r="R31" s="320">
        <f t="shared" si="6"/>
        <v>1836.2613258531715</v>
      </c>
      <c r="S31" s="278"/>
      <c r="T31" s="275"/>
      <c r="AH31" s="272"/>
      <c r="AI31" s="272"/>
      <c r="AJ31" s="272"/>
      <c r="AK31" s="273"/>
      <c r="AL31" s="272"/>
      <c r="AM31" s="273"/>
      <c r="AN31" s="273"/>
      <c r="AO31" s="272"/>
      <c r="AP31" s="272"/>
      <c r="AQ31" s="272"/>
      <c r="AR31" s="272"/>
      <c r="AS31" s="272"/>
    </row>
    <row r="32" spans="2:45" ht="15" thickBot="1" x14ac:dyDescent="0.35">
      <c r="B32" s="304" t="s">
        <v>520</v>
      </c>
      <c r="C32" s="321">
        <f>SUM(C20:C31)</f>
        <v>2496.904704</v>
      </c>
      <c r="D32" s="308" t="s">
        <v>519</v>
      </c>
      <c r="E32" s="322">
        <f>SUM(E20:E31)</f>
        <v>4101.3293260800001</v>
      </c>
      <c r="F32" s="306">
        <f t="shared" ref="F32:J32" si="7">SUM(F20:F31)</f>
        <v>1211.6584800000001</v>
      </c>
      <c r="G32" s="306">
        <f t="shared" si="7"/>
        <v>1460.7167999999997</v>
      </c>
      <c r="H32" s="306">
        <f t="shared" si="7"/>
        <v>4523.5249920000006</v>
      </c>
      <c r="I32" s="306">
        <f t="shared" si="7"/>
        <v>1507.8416640000005</v>
      </c>
      <c r="J32" s="306">
        <f t="shared" si="7"/>
        <v>1280.5071262080003</v>
      </c>
      <c r="K32" s="307">
        <f>SUM(E32:J32)</f>
        <v>14085.578388288</v>
      </c>
      <c r="L32" s="323">
        <f>SUM(L20:L31)</f>
        <v>3171.254293333333</v>
      </c>
      <c r="M32" s="305"/>
      <c r="N32" s="308"/>
      <c r="O32" s="323">
        <f>SUM(O20:O31)</f>
        <v>3363.8399999999997</v>
      </c>
      <c r="P32" s="308" t="s">
        <v>519</v>
      </c>
      <c r="Q32" s="324">
        <f>SUM(Q20:Q31)</f>
        <v>20620.672681621334</v>
      </c>
      <c r="R32" s="324">
        <f>SUM(R20:R31)</f>
        <v>11145.939012708865</v>
      </c>
      <c r="S32" s="278"/>
      <c r="T32" s="275"/>
      <c r="AH32" s="272"/>
      <c r="AI32" s="272"/>
      <c r="AJ32" s="272"/>
      <c r="AK32" s="273"/>
      <c r="AL32" s="272"/>
      <c r="AM32" s="272"/>
      <c r="AN32" s="273"/>
      <c r="AO32" s="272"/>
      <c r="AP32" s="272"/>
      <c r="AQ32" s="272"/>
      <c r="AR32" s="272"/>
      <c r="AS32" s="272"/>
    </row>
    <row r="33" spans="2:45" x14ac:dyDescent="0.3">
      <c r="AH33" s="272"/>
      <c r="AI33" s="272"/>
      <c r="AJ33" s="272"/>
      <c r="AK33" s="272"/>
      <c r="AL33" s="272"/>
      <c r="AM33" s="272"/>
      <c r="AN33" s="272"/>
      <c r="AO33" s="272"/>
      <c r="AP33" s="272"/>
      <c r="AQ33" s="272"/>
      <c r="AR33" s="272"/>
      <c r="AS33" s="272"/>
    </row>
    <row r="34" spans="2:45" ht="15" thickBot="1" x14ac:dyDescent="0.35">
      <c r="AH34" s="272"/>
      <c r="AI34" s="272"/>
      <c r="AJ34" s="272"/>
      <c r="AK34" s="272"/>
      <c r="AL34" s="272"/>
      <c r="AM34" s="272"/>
      <c r="AN34" s="272"/>
      <c r="AO34" s="272"/>
      <c r="AP34" s="272"/>
      <c r="AQ34" s="272"/>
      <c r="AR34" s="272"/>
      <c r="AS34" s="272"/>
    </row>
    <row r="35" spans="2:45" ht="15" thickBot="1" x14ac:dyDescent="0.35">
      <c r="B35" s="406" t="s">
        <v>451</v>
      </c>
      <c r="C35" s="408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5"/>
      <c r="T35" s="278"/>
      <c r="U35" s="275"/>
      <c r="AH35" s="272"/>
      <c r="AI35" s="272"/>
      <c r="AJ35" s="272"/>
      <c r="AK35" s="272"/>
      <c r="AL35" s="272"/>
      <c r="AM35" s="272"/>
      <c r="AN35" s="272"/>
      <c r="AO35" s="272"/>
      <c r="AP35" s="272"/>
      <c r="AQ35" s="272"/>
      <c r="AR35" s="272"/>
      <c r="AS35" s="272"/>
    </row>
    <row r="36" spans="2:45" x14ac:dyDescent="0.3">
      <c r="B36" s="297" t="s">
        <v>521</v>
      </c>
      <c r="C36" s="272">
        <f>Energia!C74*Energia!C9</f>
        <v>400</v>
      </c>
      <c r="D36" s="272" t="s">
        <v>440</v>
      </c>
      <c r="E36" s="272"/>
      <c r="F36" s="272"/>
      <c r="G36" s="272"/>
      <c r="H36" s="272"/>
      <c r="I36" s="272"/>
      <c r="J36" s="272"/>
      <c r="K36" s="272"/>
      <c r="L36" s="272"/>
      <c r="M36" s="272"/>
      <c r="N36" s="272"/>
      <c r="O36" s="272"/>
      <c r="P36" s="272"/>
      <c r="Q36" s="272"/>
      <c r="R36" s="272"/>
      <c r="S36" s="298"/>
      <c r="T36" s="278"/>
      <c r="U36" s="275"/>
    </row>
    <row r="37" spans="2:45" x14ac:dyDescent="0.3">
      <c r="B37" s="297"/>
      <c r="C37" s="272" t="s">
        <v>522</v>
      </c>
      <c r="D37" s="272" t="s">
        <v>523</v>
      </c>
      <c r="E37" s="272" t="s">
        <v>441</v>
      </c>
      <c r="F37" s="272" t="s">
        <v>524</v>
      </c>
      <c r="G37" s="272" t="s">
        <v>525</v>
      </c>
      <c r="H37" s="272" t="s">
        <v>526</v>
      </c>
      <c r="I37" s="272"/>
      <c r="J37" s="272" t="s">
        <v>527</v>
      </c>
      <c r="K37" s="272"/>
      <c r="L37" s="272" t="s">
        <v>528</v>
      </c>
      <c r="M37" s="272"/>
      <c r="N37" s="272" t="s">
        <v>529</v>
      </c>
      <c r="O37" s="272" t="s">
        <v>530</v>
      </c>
      <c r="P37" s="272" t="s">
        <v>531</v>
      </c>
      <c r="Q37" s="272" t="s">
        <v>532</v>
      </c>
      <c r="R37" s="272" t="s">
        <v>533</v>
      </c>
      <c r="S37" s="298"/>
      <c r="T37" s="278"/>
      <c r="U37" s="275"/>
    </row>
    <row r="38" spans="2:45" x14ac:dyDescent="0.3">
      <c r="B38" s="297" t="s">
        <v>349</v>
      </c>
      <c r="C38" s="299">
        <f>($C$36/1000)*Energia!$C$69*Energia!$C$68*Energia!$C$75*Aloitustaulukot!C93</f>
        <v>178.56</v>
      </c>
      <c r="D38" s="299">
        <f>Energia!$E$80/8760*Aloitustaulukot!C93</f>
        <v>267.83999999999997</v>
      </c>
      <c r="E38" s="299">
        <f>Energia!$E$81/8760*Aloitustaulukot!C93</f>
        <v>89.28</v>
      </c>
      <c r="F38" s="299">
        <f>Energia!$E$85/8760*Aloitustaulukot!C93*50%</f>
        <v>0</v>
      </c>
      <c r="G38" s="299">
        <f>Energia!$E$84/8760*Aloitustaulukot!C93*50%</f>
        <v>0</v>
      </c>
      <c r="H38" s="300">
        <f>SUM(C55:F55)</f>
        <v>49.353494400000002</v>
      </c>
      <c r="I38" s="272" t="s">
        <v>519</v>
      </c>
      <c r="J38" s="301">
        <f>(Q20*1000)/((Energia!$C$60-Energia!F3)*Aloitustaulukot!C93)</f>
        <v>138.97595155074976</v>
      </c>
      <c r="K38" s="272" t="s">
        <v>534</v>
      </c>
      <c r="L38" s="272">
        <f>Energia!C9*Energia!C64</f>
        <v>14000</v>
      </c>
      <c r="M38" s="272" t="s">
        <v>535</v>
      </c>
      <c r="N38" s="301">
        <f t="shared" ref="N38:N49" si="8">$L$38/J38</f>
        <v>100.73685298630699</v>
      </c>
      <c r="O38" s="272">
        <f>SUM(C38:H38)/Q20</f>
        <v>0.22659462136990746</v>
      </c>
      <c r="P38" s="302">
        <f>1+(N38/15)</f>
        <v>7.7157901990871327</v>
      </c>
      <c r="Q38" s="301">
        <f>((1-(O38)^P38))/((1-O38^(P38+1)))</f>
        <v>0.99999180310466163</v>
      </c>
      <c r="R38" s="299">
        <f>Q38*(SUM(C38:H38))</f>
        <v>585.02869894167691</v>
      </c>
      <c r="S38" s="298" t="s">
        <v>519</v>
      </c>
      <c r="T38" s="278"/>
      <c r="U38" s="275"/>
    </row>
    <row r="39" spans="2:45" x14ac:dyDescent="0.3">
      <c r="B39" s="297" t="s">
        <v>351</v>
      </c>
      <c r="C39" s="299">
        <f>($C$36/1000)*Energia!$C$69*Energia!$C$68*Energia!$C$75*Aloitustaulukot!C94</f>
        <v>161.28</v>
      </c>
      <c r="D39" s="299">
        <f>Energia!$E$80/8760*Aloitustaulukot!C94</f>
        <v>241.92</v>
      </c>
      <c r="E39" s="299">
        <f>Energia!$E$81/8760*Aloitustaulukot!C94</f>
        <v>80.64</v>
      </c>
      <c r="F39" s="299">
        <f>Energia!$E$85/8760*Aloitustaulukot!C94*50%</f>
        <v>0</v>
      </c>
      <c r="G39" s="299">
        <f>Energia!$E$84/8760*Aloitustaulukot!C94*50%</f>
        <v>0</v>
      </c>
      <c r="H39" s="300">
        <f t="shared" ref="H39:H49" si="9">SUM(C56:F56)</f>
        <v>126.4019316</v>
      </c>
      <c r="I39" s="272" t="s">
        <v>519</v>
      </c>
      <c r="J39" s="301">
        <f>(Q21*1000)/((Energia!$C$60-Energia!F4)*Aloitustaulukot!C94)</f>
        <v>139.19372026143793</v>
      </c>
      <c r="K39" s="272" t="s">
        <v>534</v>
      </c>
      <c r="L39" s="272"/>
      <c r="M39" s="272"/>
      <c r="N39" s="301">
        <f t="shared" si="8"/>
        <v>100.57925008186267</v>
      </c>
      <c r="O39" s="272">
        <f t="shared" ref="O39:O49" si="10">SUM(C39:H39)/Q21</f>
        <v>0.2558426530980531</v>
      </c>
      <c r="P39" s="302">
        <f t="shared" ref="P39:P49" si="11">1+(N39/15)</f>
        <v>7.7052833387908448</v>
      </c>
      <c r="Q39" s="301">
        <f t="shared" ref="Q39:Q49" si="12">((1-(O39)^P39))/((1-O39^(P39+1)))</f>
        <v>0.99997958583324764</v>
      </c>
      <c r="R39" s="299">
        <f t="shared" ref="R39:R49" si="13">Q39*(SUM(C39:H39))</f>
        <v>610.22947401944896</v>
      </c>
      <c r="S39" s="298" t="s">
        <v>519</v>
      </c>
      <c r="T39" s="278"/>
      <c r="U39" s="275"/>
    </row>
    <row r="40" spans="2:45" x14ac:dyDescent="0.3">
      <c r="B40" s="297" t="s">
        <v>352</v>
      </c>
      <c r="C40" s="299">
        <f>($C$36/1000)*Energia!$C$69*Energia!$C$68*Energia!$C$75*Aloitustaulukot!C95</f>
        <v>178.56</v>
      </c>
      <c r="D40" s="299">
        <f>Energia!$E$80/8760*Aloitustaulukot!C95</f>
        <v>267.83999999999997</v>
      </c>
      <c r="E40" s="299">
        <f>Energia!$E$81/8760*Aloitustaulukot!C95</f>
        <v>89.28</v>
      </c>
      <c r="F40" s="299">
        <f>Energia!$E$85/8760*Aloitustaulukot!C95*50%</f>
        <v>0</v>
      </c>
      <c r="G40" s="299">
        <f>Energia!$E$84/8760*Aloitustaulukot!C95*50%</f>
        <v>0</v>
      </c>
      <c r="H40" s="300">
        <f t="shared" si="9"/>
        <v>366.26151240000002</v>
      </c>
      <c r="I40" s="272" t="s">
        <v>519</v>
      </c>
      <c r="J40" s="301">
        <f>(Q22*1000)/((Energia!$C$60-Energia!F5)*Aloitustaulukot!C95)</f>
        <v>141.80863579304491</v>
      </c>
      <c r="K40" s="272" t="s">
        <v>534</v>
      </c>
      <c r="L40" s="272"/>
      <c r="M40" s="272"/>
      <c r="N40" s="301">
        <f t="shared" si="8"/>
        <v>98.724594039756198</v>
      </c>
      <c r="O40" s="272">
        <f t="shared" si="10"/>
        <v>0.36254252957906852</v>
      </c>
      <c r="P40" s="302">
        <f t="shared" si="11"/>
        <v>7.5816396026504131</v>
      </c>
      <c r="Q40" s="301">
        <f t="shared" si="12"/>
        <v>0.99970910148406089</v>
      </c>
      <c r="R40" s="299">
        <f t="shared" si="13"/>
        <v>901.67913895257891</v>
      </c>
      <c r="S40" s="298" t="s">
        <v>519</v>
      </c>
      <c r="T40" s="278"/>
      <c r="U40" s="275"/>
    </row>
    <row r="41" spans="2:45" x14ac:dyDescent="0.3">
      <c r="B41" s="297" t="s">
        <v>353</v>
      </c>
      <c r="C41" s="299">
        <f>($C$36/1000)*Energia!$C$69*Energia!$C$68*Energia!$C$75*Aloitustaulukot!C96</f>
        <v>172.79999999999998</v>
      </c>
      <c r="D41" s="299">
        <f>Energia!$E$80/8760*Aloitustaulukot!C96</f>
        <v>259.2</v>
      </c>
      <c r="E41" s="299">
        <f>Energia!$E$81/8760*Aloitustaulukot!C96</f>
        <v>86.4</v>
      </c>
      <c r="F41" s="299">
        <f>Energia!$E$85/8760*Aloitustaulukot!C96*50%</f>
        <v>0</v>
      </c>
      <c r="G41" s="299">
        <f>Energia!$E$84/8760*Aloitustaulukot!C96*50%</f>
        <v>0</v>
      </c>
      <c r="H41" s="300">
        <f t="shared" si="9"/>
        <v>535.58515499999999</v>
      </c>
      <c r="I41" s="272" t="s">
        <v>519</v>
      </c>
      <c r="J41" s="301">
        <f>(Q23*1000)/((Energia!$C$60-Energia!F6)*Aloitustaulukot!C96)</f>
        <v>153.8440161616162</v>
      </c>
      <c r="K41" s="272" t="s">
        <v>534</v>
      </c>
      <c r="L41" s="272"/>
      <c r="M41" s="272"/>
      <c r="N41" s="301">
        <f t="shared" si="8"/>
        <v>91.001264457973605</v>
      </c>
      <c r="O41" s="272">
        <f t="shared" si="10"/>
        <v>0.5766833924058038</v>
      </c>
      <c r="P41" s="302">
        <f t="shared" si="11"/>
        <v>7.0667509638649069</v>
      </c>
      <c r="Q41" s="301">
        <f t="shared" si="12"/>
        <v>0.99124167908878802</v>
      </c>
      <c r="R41" s="299">
        <f t="shared" si="13"/>
        <v>1044.7540147768564</v>
      </c>
      <c r="S41" s="298" t="s">
        <v>519</v>
      </c>
      <c r="T41" s="278"/>
      <c r="U41" s="275"/>
    </row>
    <row r="42" spans="2:45" x14ac:dyDescent="0.3">
      <c r="B42" s="297" t="s">
        <v>355</v>
      </c>
      <c r="C42" s="299">
        <f>($C$36/1000)*Energia!$C$69*Energia!$C$68*Energia!$C$75*Aloitustaulukot!C97</f>
        <v>178.56</v>
      </c>
      <c r="D42" s="299">
        <f>Energia!$E$80/8760*Aloitustaulukot!C97</f>
        <v>267.83999999999997</v>
      </c>
      <c r="E42" s="299">
        <f>Energia!$E$81/8760*Aloitustaulukot!C97</f>
        <v>89.28</v>
      </c>
      <c r="F42" s="299">
        <f>Energia!$E$85/8760*Aloitustaulukot!C97*50%</f>
        <v>0</v>
      </c>
      <c r="G42" s="299">
        <f>Energia!$E$84/8760*Aloitustaulukot!C97*50%</f>
        <v>0</v>
      </c>
      <c r="H42" s="300">
        <f t="shared" si="9"/>
        <v>824.54370600000016</v>
      </c>
      <c r="I42" s="272" t="s">
        <v>519</v>
      </c>
      <c r="J42" s="301">
        <f>(Q24*1000)/((Energia!$C$60-Energia!F7)*Aloitustaulukot!C97)</f>
        <v>176.82876805555554</v>
      </c>
      <c r="K42" s="272" t="s">
        <v>534</v>
      </c>
      <c r="L42" s="272"/>
      <c r="M42" s="272"/>
      <c r="N42" s="301">
        <f t="shared" si="8"/>
        <v>79.172637766732166</v>
      </c>
      <c r="O42" s="272">
        <f t="shared" si="10"/>
        <v>1.0096817954804733</v>
      </c>
      <c r="P42" s="302">
        <f t="shared" si="11"/>
        <v>6.2781758511154777</v>
      </c>
      <c r="Q42" s="301">
        <f t="shared" si="12"/>
        <v>0.85841222925864502</v>
      </c>
      <c r="R42" s="299">
        <f t="shared" si="13"/>
        <v>1167.6326637579159</v>
      </c>
      <c r="S42" s="298" t="s">
        <v>519</v>
      </c>
      <c r="T42" s="278"/>
      <c r="U42" s="275"/>
    </row>
    <row r="43" spans="2:45" x14ac:dyDescent="0.3">
      <c r="B43" s="297" t="s">
        <v>356</v>
      </c>
      <c r="C43" s="299">
        <f>($C$36/1000)*Energia!$C$69*Energia!$C$68*Energia!$C$75*Aloitustaulukot!C98</f>
        <v>172.79999999999998</v>
      </c>
      <c r="D43" s="299">
        <f>Energia!$E$80/8760*Aloitustaulukot!C98</f>
        <v>259.2</v>
      </c>
      <c r="E43" s="299">
        <f>Energia!$E$81/8760*Aloitustaulukot!C98</f>
        <v>86.4</v>
      </c>
      <c r="F43" s="299">
        <f>Energia!$E$85/8760*Aloitustaulukot!C98*50%</f>
        <v>0</v>
      </c>
      <c r="G43" s="299">
        <f>Energia!$E$84/8760*Aloitustaulukot!C98*50%</f>
        <v>0</v>
      </c>
      <c r="H43" s="300">
        <f t="shared" si="9"/>
        <v>810.07986360000018</v>
      </c>
      <c r="I43" s="272" t="s">
        <v>519</v>
      </c>
      <c r="J43" s="301">
        <f>(Q25*1000)/((Energia!$C$60-Energia!F8)*Aloitustaulukot!C98)</f>
        <v>205.28111065156742</v>
      </c>
      <c r="K43" s="272" t="s">
        <v>534</v>
      </c>
      <c r="L43" s="272"/>
      <c r="M43" s="272"/>
      <c r="N43" s="301">
        <f t="shared" si="8"/>
        <v>68.19916335976383</v>
      </c>
      <c r="O43" s="272">
        <f t="shared" si="10"/>
        <v>1.3276537366915955</v>
      </c>
      <c r="P43" s="302">
        <f t="shared" si="11"/>
        <v>5.5466108906509222</v>
      </c>
      <c r="Q43" s="301">
        <f t="shared" si="12"/>
        <v>0.70745743643973935</v>
      </c>
      <c r="R43" s="299">
        <f t="shared" si="13"/>
        <v>939.84295866427067</v>
      </c>
      <c r="S43" s="298" t="s">
        <v>519</v>
      </c>
      <c r="T43" s="278"/>
      <c r="U43" s="275"/>
    </row>
    <row r="44" spans="2:45" x14ac:dyDescent="0.3">
      <c r="B44" s="297" t="s">
        <v>358</v>
      </c>
      <c r="C44" s="299">
        <f>($C$36/1000)*Energia!$C$69*Energia!$C$68*Energia!$C$75*Aloitustaulukot!C99</f>
        <v>178.56</v>
      </c>
      <c r="D44" s="299">
        <f>Energia!$E$80/8760*Aloitustaulukot!C99</f>
        <v>267.83999999999997</v>
      </c>
      <c r="E44" s="299">
        <f>Energia!$E$81/8760*Aloitustaulukot!C99</f>
        <v>89.28</v>
      </c>
      <c r="F44" s="299">
        <f>Energia!$E$85/8760*Aloitustaulukot!C99*50%</f>
        <v>0</v>
      </c>
      <c r="G44" s="299">
        <f>Energia!$E$84/8760*Aloitustaulukot!C99*50%</f>
        <v>0</v>
      </c>
      <c r="H44" s="300">
        <f t="shared" si="9"/>
        <v>876.18625499999996</v>
      </c>
      <c r="I44" s="272" t="s">
        <v>519</v>
      </c>
      <c r="J44" s="301">
        <f>(Q26*1000)/((Energia!$C$60-Energia!F9)*Aloitustaulukot!C99)</f>
        <v>269.64271231231243</v>
      </c>
      <c r="K44" s="272" t="s">
        <v>534</v>
      </c>
      <c r="L44" s="272"/>
      <c r="M44" s="272"/>
      <c r="N44" s="301">
        <f t="shared" si="8"/>
        <v>51.920557688889303</v>
      </c>
      <c r="O44" s="272">
        <f t="shared" si="10"/>
        <v>1.9020862742797882</v>
      </c>
      <c r="P44" s="302">
        <f>1+(N44/15)</f>
        <v>4.4613705125926204</v>
      </c>
      <c r="Q44" s="301">
        <f t="shared" si="12"/>
        <v>0.5111435896689821</v>
      </c>
      <c r="R44" s="299">
        <f>Q44*(SUM(C44:H44))</f>
        <v>721.66638571320243</v>
      </c>
      <c r="S44" s="298" t="s">
        <v>519</v>
      </c>
      <c r="T44" s="278"/>
      <c r="U44" s="275"/>
    </row>
    <row r="45" spans="2:45" x14ac:dyDescent="0.3">
      <c r="B45" s="297" t="s">
        <v>360</v>
      </c>
      <c r="C45" s="299">
        <f>($C$36/1000)*Energia!$C$69*Energia!$C$68*Energia!$C$75*Aloitustaulukot!C100</f>
        <v>178.56</v>
      </c>
      <c r="D45" s="299">
        <f>Energia!$E$80/8760*Aloitustaulukot!C100</f>
        <v>267.83999999999997</v>
      </c>
      <c r="E45" s="299">
        <f>Energia!$E$81/8760*Aloitustaulukot!C100</f>
        <v>89.28</v>
      </c>
      <c r="F45" s="299">
        <f>Energia!$E$85/8760*Aloitustaulukot!C100*50%</f>
        <v>0</v>
      </c>
      <c r="G45" s="299">
        <f>Energia!$E$84/8760*Aloitustaulukot!C100*50%</f>
        <v>0</v>
      </c>
      <c r="H45" s="300">
        <f t="shared" si="9"/>
        <v>549.16565759999992</v>
      </c>
      <c r="I45" s="272" t="s">
        <v>519</v>
      </c>
      <c r="J45" s="301">
        <f>(Q27*1000)/((Energia!$C$60-Energia!F10)*Aloitustaulukot!C100)</f>
        <v>227.3506020202021</v>
      </c>
      <c r="K45" s="272" t="s">
        <v>534</v>
      </c>
      <c r="L45" s="272"/>
      <c r="M45" s="272"/>
      <c r="N45" s="301">
        <f t="shared" si="8"/>
        <v>61.578900058315995</v>
      </c>
      <c r="O45" s="272">
        <f t="shared" si="10"/>
        <v>1.2956679375950073</v>
      </c>
      <c r="P45" s="302">
        <f t="shared" si="11"/>
        <v>5.1052600038877332</v>
      </c>
      <c r="Q45" s="301">
        <f t="shared" si="12"/>
        <v>0.71271284579630723</v>
      </c>
      <c r="R45" s="299">
        <f t="shared" si="13"/>
        <v>773.18343587786217</v>
      </c>
      <c r="S45" s="298" t="s">
        <v>519</v>
      </c>
      <c r="T45" s="278"/>
      <c r="U45" s="275"/>
    </row>
    <row r="46" spans="2:45" x14ac:dyDescent="0.3">
      <c r="B46" s="297" t="s">
        <v>361</v>
      </c>
      <c r="C46" s="299">
        <f>($C$36/1000)*Energia!$C$69*Energia!$C$68*Energia!$C$75*Aloitustaulukot!C101</f>
        <v>172.79999999999998</v>
      </c>
      <c r="D46" s="299">
        <f>Energia!$E$80/8760*Aloitustaulukot!C101</f>
        <v>259.2</v>
      </c>
      <c r="E46" s="299">
        <f>Energia!$E$81/8760*Aloitustaulukot!C101</f>
        <v>86.4</v>
      </c>
      <c r="F46" s="299">
        <f>Energia!$E$85/8760*Aloitustaulukot!C101*50%</f>
        <v>0</v>
      </c>
      <c r="G46" s="299">
        <f>Energia!$E$84/8760*Aloitustaulukot!C101*50%</f>
        <v>0</v>
      </c>
      <c r="H46" s="300">
        <f t="shared" si="9"/>
        <v>395.69119380000001</v>
      </c>
      <c r="I46" s="272" t="s">
        <v>519</v>
      </c>
      <c r="J46" s="301">
        <f>(Q28*1000)/((Energia!$C$60-Energia!F11)*Aloitustaulukot!C101)</f>
        <v>167.09294695956703</v>
      </c>
      <c r="K46" s="272" t="s">
        <v>534</v>
      </c>
      <c r="L46" s="272"/>
      <c r="M46" s="272"/>
      <c r="N46" s="301">
        <f t="shared" si="8"/>
        <v>83.785702836324418</v>
      </c>
      <c r="O46" s="272">
        <f t="shared" si="10"/>
        <v>0.72569182101002694</v>
      </c>
      <c r="P46" s="302">
        <f t="shared" si="11"/>
        <v>6.5857135224216279</v>
      </c>
      <c r="Q46" s="301">
        <f t="shared" si="12"/>
        <v>0.96359817597720976</v>
      </c>
      <c r="R46" s="299">
        <f t="shared" si="13"/>
        <v>880.81660702251008</v>
      </c>
      <c r="S46" s="298" t="s">
        <v>519</v>
      </c>
      <c r="T46" s="278"/>
      <c r="U46" s="275"/>
    </row>
    <row r="47" spans="2:45" x14ac:dyDescent="0.3">
      <c r="B47" s="297" t="s">
        <v>362</v>
      </c>
      <c r="C47" s="299">
        <f>($C$36/1000)*Energia!$C$69*Energia!$C$68*Energia!$C$75*Aloitustaulukot!C102</f>
        <v>178.56</v>
      </c>
      <c r="D47" s="299">
        <f>Energia!$E$80/8760*Aloitustaulukot!C102</f>
        <v>267.83999999999997</v>
      </c>
      <c r="E47" s="299">
        <f>Energia!$E$81/8760*Aloitustaulukot!C102</f>
        <v>89.28</v>
      </c>
      <c r="F47" s="299">
        <f>Energia!$E$85/8760*Aloitustaulukot!C102*50%</f>
        <v>0</v>
      </c>
      <c r="G47" s="299">
        <f>Energia!$E$84/8760*Aloitustaulukot!C102*50%</f>
        <v>0</v>
      </c>
      <c r="H47" s="300">
        <f t="shared" si="9"/>
        <v>173.59845300000001</v>
      </c>
      <c r="I47" s="272" t="s">
        <v>519</v>
      </c>
      <c r="J47" s="301">
        <f>(Q29*1000)/((Energia!$C$60-Energia!F12)*Aloitustaulukot!C102)</f>
        <v>151.02757717717719</v>
      </c>
      <c r="K47" s="272" t="s">
        <v>534</v>
      </c>
      <c r="L47" s="272"/>
      <c r="M47" s="272"/>
      <c r="N47" s="301">
        <f t="shared" si="8"/>
        <v>92.698302268174345</v>
      </c>
      <c r="O47" s="272">
        <f t="shared" si="10"/>
        <v>0.42650670245164068</v>
      </c>
      <c r="P47" s="302">
        <f t="shared" si="11"/>
        <v>7.1798868178782893</v>
      </c>
      <c r="Q47" s="301">
        <f t="shared" si="12"/>
        <v>0.99873571186044807</v>
      </c>
      <c r="R47" s="299">
        <f t="shared" si="13"/>
        <v>708.38172066423226</v>
      </c>
      <c r="S47" s="298" t="s">
        <v>519</v>
      </c>
      <c r="T47" s="278"/>
      <c r="U47" s="275"/>
    </row>
    <row r="48" spans="2:45" x14ac:dyDescent="0.3">
      <c r="B48" s="297" t="s">
        <v>364</v>
      </c>
      <c r="C48" s="299">
        <f>($C$36/1000)*Energia!$C$69*Energia!$C$68*Energia!$C$75*Aloitustaulukot!C103</f>
        <v>172.79999999999998</v>
      </c>
      <c r="D48" s="299">
        <f>Energia!$E$80/8760*Aloitustaulukot!C103</f>
        <v>259.2</v>
      </c>
      <c r="E48" s="299">
        <f>Energia!$E$81/8760*Aloitustaulukot!C103</f>
        <v>86.4</v>
      </c>
      <c r="F48" s="299">
        <f>Energia!$E$85/8760*Aloitustaulukot!C103*50%</f>
        <v>0</v>
      </c>
      <c r="G48" s="299">
        <f>Energia!$E$84/8760*Aloitustaulukot!C103*50%</f>
        <v>0</v>
      </c>
      <c r="H48" s="300">
        <f t="shared" si="9"/>
        <v>57.688276800000004</v>
      </c>
      <c r="I48" s="272" t="s">
        <v>519</v>
      </c>
      <c r="J48" s="301">
        <f>(Q30*1000)/((Energia!$C$60-Energia!F13)*Aloitustaulukot!C103)</f>
        <v>141.35658970189701</v>
      </c>
      <c r="K48" s="272" t="s">
        <v>534</v>
      </c>
      <c r="L48" s="272"/>
      <c r="M48" s="272"/>
      <c r="N48" s="301">
        <f t="shared" si="8"/>
        <v>99.040306713144474</v>
      </c>
      <c r="O48" s="272">
        <f t="shared" si="10"/>
        <v>0.27611285147173281</v>
      </c>
      <c r="P48" s="302">
        <f t="shared" si="11"/>
        <v>7.6026871142096315</v>
      </c>
      <c r="Q48" s="301">
        <f t="shared" si="12"/>
        <v>0.999959221234207</v>
      </c>
      <c r="R48" s="299">
        <f t="shared" si="13"/>
        <v>576.06478463108431</v>
      </c>
      <c r="S48" s="298" t="s">
        <v>519</v>
      </c>
      <c r="T48" s="278"/>
      <c r="U48" s="275"/>
    </row>
    <row r="49" spans="1:21" x14ac:dyDescent="0.3">
      <c r="B49" s="297" t="s">
        <v>366</v>
      </c>
      <c r="C49" s="299">
        <f>($C$36/1000)*Energia!$C$69*Energia!$C$68*Energia!$C$75*Aloitustaulukot!C104</f>
        <v>178.56</v>
      </c>
      <c r="D49" s="299">
        <f>Energia!$E$80/8760*Aloitustaulukot!C104</f>
        <v>267.83999999999997</v>
      </c>
      <c r="E49" s="299">
        <f>Energia!$E$81/8760*Aloitustaulukot!C104</f>
        <v>89.28</v>
      </c>
      <c r="F49" s="299">
        <f>Energia!$E$85/8760*Aloitustaulukot!C104*50%</f>
        <v>0</v>
      </c>
      <c r="G49" s="299">
        <f>Energia!$E$84/8760*Aloitustaulukot!C104*50%</f>
        <v>0</v>
      </c>
      <c r="H49" s="300">
        <f t="shared" si="9"/>
        <v>29.780041199999999</v>
      </c>
      <c r="I49" s="272" t="s">
        <v>519</v>
      </c>
      <c r="J49" s="301">
        <f>(Q31*1000)/((Energia!$C$60-Energia!F14)*Aloitustaulukot!C104)</f>
        <v>139.20274727612477</v>
      </c>
      <c r="K49" s="272" t="s">
        <v>534</v>
      </c>
      <c r="L49" s="272"/>
      <c r="M49" s="272"/>
      <c r="N49" s="301">
        <f t="shared" si="8"/>
        <v>100.57272772231556</v>
      </c>
      <c r="O49" s="272">
        <f t="shared" si="10"/>
        <v>0.23544009796790277</v>
      </c>
      <c r="P49" s="302">
        <f t="shared" si="11"/>
        <v>7.7048485148210375</v>
      </c>
      <c r="Q49" s="301">
        <f t="shared" si="12"/>
        <v>0.99998893766364483</v>
      </c>
      <c r="R49" s="299">
        <f t="shared" si="13"/>
        <v>565.45378589082884</v>
      </c>
      <c r="S49" s="298" t="s">
        <v>519</v>
      </c>
      <c r="T49" s="278"/>
      <c r="U49" s="275"/>
    </row>
    <row r="50" spans="1:21" x14ac:dyDescent="0.3">
      <c r="B50" s="297"/>
      <c r="C50" s="300">
        <f>SUM(C38:C49)</f>
        <v>2102.3999999999996</v>
      </c>
      <c r="D50" s="300">
        <f t="shared" ref="D50:H50" si="14">SUM(D38:D49)</f>
        <v>3153.6</v>
      </c>
      <c r="E50" s="300">
        <f t="shared" si="14"/>
        <v>1051.1999999999998</v>
      </c>
      <c r="F50" s="300">
        <f t="shared" si="14"/>
        <v>0</v>
      </c>
      <c r="G50" s="300">
        <f t="shared" si="14"/>
        <v>0</v>
      </c>
      <c r="H50" s="300">
        <f t="shared" si="14"/>
        <v>4794.3355403999994</v>
      </c>
      <c r="I50" s="272" t="s">
        <v>519</v>
      </c>
      <c r="J50" s="302"/>
      <c r="K50" s="272"/>
      <c r="L50" s="272"/>
      <c r="M50" s="272"/>
      <c r="N50" s="272"/>
      <c r="O50" s="272"/>
      <c r="P50" s="272"/>
      <c r="Q50" s="303">
        <f>AVERAGE(Q38:Q49)</f>
        <v>0.89524419311749515</v>
      </c>
      <c r="R50" s="272"/>
      <c r="S50" s="298"/>
    </row>
    <row r="51" spans="1:21" ht="15" thickBot="1" x14ac:dyDescent="0.35">
      <c r="B51" s="304"/>
      <c r="C51" s="305"/>
      <c r="D51" s="305"/>
      <c r="E51" s="305"/>
      <c r="F51" s="305"/>
      <c r="G51" s="305"/>
      <c r="H51" s="306">
        <f>SUM(C50:H50)</f>
        <v>11101.5355404</v>
      </c>
      <c r="I51" s="305" t="s">
        <v>519</v>
      </c>
      <c r="J51" s="305"/>
      <c r="K51" s="305"/>
      <c r="L51" s="305"/>
      <c r="M51" s="305"/>
      <c r="N51" s="305"/>
      <c r="O51" s="305"/>
      <c r="P51" s="305"/>
      <c r="Q51" s="305" t="s">
        <v>536</v>
      </c>
      <c r="R51" s="307">
        <f>SUM(R38:R49)</f>
        <v>9474.7336689124677</v>
      </c>
      <c r="S51" s="308" t="s">
        <v>519</v>
      </c>
    </row>
    <row r="52" spans="1:21" ht="15" thickBot="1" x14ac:dyDescent="0.35">
      <c r="A52" s="272"/>
      <c r="B52" s="272"/>
      <c r="C52" s="272"/>
      <c r="D52" s="272"/>
      <c r="E52" s="272"/>
      <c r="F52" s="272"/>
      <c r="G52" s="272"/>
      <c r="H52" s="300"/>
      <c r="I52" s="272"/>
      <c r="J52" s="272"/>
      <c r="K52" s="272"/>
      <c r="L52" s="272"/>
      <c r="M52" s="272"/>
      <c r="N52" s="272"/>
      <c r="O52" s="272"/>
      <c r="P52" s="272"/>
      <c r="Q52" s="272"/>
      <c r="R52" s="272"/>
      <c r="S52" s="272"/>
    </row>
    <row r="53" spans="1:21" ht="15" thickBot="1" x14ac:dyDescent="0.35">
      <c r="A53" s="272"/>
      <c r="B53" s="406" t="s">
        <v>537</v>
      </c>
      <c r="C53" s="408"/>
      <c r="D53" s="309"/>
      <c r="E53" s="309"/>
      <c r="F53" s="310"/>
      <c r="G53" s="278"/>
      <c r="H53" s="275"/>
      <c r="R53" s="255"/>
    </row>
    <row r="54" spans="1:21" x14ac:dyDescent="0.3">
      <c r="A54" s="272"/>
      <c r="B54" s="297"/>
      <c r="C54" s="272" t="s">
        <v>233</v>
      </c>
      <c r="D54" s="272" t="s">
        <v>200</v>
      </c>
      <c r="E54" s="272" t="s">
        <v>201</v>
      </c>
      <c r="F54" s="298" t="s">
        <v>202</v>
      </c>
      <c r="G54" s="278"/>
      <c r="H54" s="275"/>
    </row>
    <row r="55" spans="1:21" x14ac:dyDescent="0.3">
      <c r="A55" s="272"/>
      <c r="B55" s="297" t="s">
        <v>349</v>
      </c>
      <c r="C55" s="311">
        <f>Aloitustaulukot!D223*Aloitustaulukot!C263*Energia!$E$56*0.5*Aloitustaulukot!C244</f>
        <v>9.6203268000000008</v>
      </c>
      <c r="D55" s="311">
        <f>Aloitustaulukot!E223*Aloitustaulukot!E263*Energia!$F$56*0.5*Aloitustaulukot!E244</f>
        <v>10.483829999999999</v>
      </c>
      <c r="E55" s="311">
        <f>Aloitustaulukot!F223*Aloitustaulukot!G263*Energia!$G$56*0.5*Aloitustaulukot!G244</f>
        <v>18.206370000000003</v>
      </c>
      <c r="F55" s="312">
        <f>Aloitustaulukot!G223*Aloitustaulukot!I263*Energia!$H$56*0.5*Aloitustaulukot!I244</f>
        <v>11.042967600000001</v>
      </c>
      <c r="G55" s="278"/>
      <c r="H55" s="275"/>
    </row>
    <row r="56" spans="1:21" x14ac:dyDescent="0.3">
      <c r="A56" s="272"/>
      <c r="B56" s="297" t="s">
        <v>351</v>
      </c>
      <c r="C56" s="311">
        <f>Aloitustaulukot!D224*Aloitustaulukot!C264*Energia!$E$56*0.5*Aloitustaulukot!C245</f>
        <v>22.643711999999997</v>
      </c>
      <c r="D56" s="311">
        <f>Aloitustaulukot!E224*Aloitustaulukot!E264*Energia!$F$56*0.5*Aloitustaulukot!E245</f>
        <v>29.204313599999995</v>
      </c>
      <c r="E56" s="311">
        <f>Aloitustaulukot!F224*Aloitustaulukot!G264*Energia!$G$56*0.5*Aloitustaulukot!G245</f>
        <v>45.740721600000001</v>
      </c>
      <c r="F56" s="312">
        <f>Aloitustaulukot!G224*Aloitustaulukot!I264*Energia!$H$56*0.5*Aloitustaulukot!I245</f>
        <v>28.813184400000001</v>
      </c>
      <c r="G56" s="278"/>
      <c r="H56" s="275"/>
    </row>
    <row r="57" spans="1:21" x14ac:dyDescent="0.3">
      <c r="A57" s="272"/>
      <c r="B57" s="297" t="s">
        <v>352</v>
      </c>
      <c r="C57" s="311">
        <f>Aloitustaulukot!D225*Aloitustaulukot!C265*Energia!$E$56*0.5*Aloitustaulukot!C246</f>
        <v>48.596889599999997</v>
      </c>
      <c r="D57" s="311">
        <f>Aloitustaulukot!E225*Aloitustaulukot!E265*Energia!$F$56*0.5*Aloitustaulukot!E246</f>
        <v>86.439553200000006</v>
      </c>
      <c r="E57" s="311">
        <f>Aloitustaulukot!F225*Aloitustaulukot!G265*Energia!$G$56*0.5*Aloitustaulukot!G246</f>
        <v>138.13632000000004</v>
      </c>
      <c r="F57" s="312">
        <f>Aloitustaulukot!G225*Aloitustaulukot!I265*Energia!$H$56*0.5*Aloitustaulukot!I246</f>
        <v>93.0887496</v>
      </c>
      <c r="G57" s="278"/>
      <c r="H57" s="275"/>
    </row>
    <row r="58" spans="1:21" x14ac:dyDescent="0.3">
      <c r="A58" s="272"/>
      <c r="B58" s="297" t="s">
        <v>353</v>
      </c>
      <c r="C58" s="311">
        <f>Aloitustaulukot!D226*Aloitustaulukot!C266*Energia!$E$56*0.5*Aloitustaulukot!C247</f>
        <v>69.228772199999995</v>
      </c>
      <c r="D58" s="311">
        <f>Aloitustaulukot!E226*Aloitustaulukot!E266*Energia!$F$56*0.5*Aloitustaulukot!E247</f>
        <v>134.02693920000002</v>
      </c>
      <c r="E58" s="311">
        <f>Aloitustaulukot!F226*Aloitustaulukot!G266*Energia!$G$56*0.5*Aloitustaulukot!G247</f>
        <v>189.56728560000002</v>
      </c>
      <c r="F58" s="312">
        <f>Aloitustaulukot!G226*Aloitustaulukot!I266*Energia!$H$56*0.5*Aloitustaulukot!I247</f>
        <v>142.76215800000003</v>
      </c>
      <c r="G58" s="278"/>
      <c r="H58" s="275"/>
    </row>
    <row r="59" spans="1:21" x14ac:dyDescent="0.3">
      <c r="A59" s="272"/>
      <c r="B59" s="297" t="s">
        <v>355</v>
      </c>
      <c r="C59" s="311">
        <f>Aloitustaulukot!D227*Aloitustaulukot!C267*Energia!$E$56*0.5*Aloitustaulukot!C248</f>
        <v>132.56573400000002</v>
      </c>
      <c r="D59" s="311">
        <f>Aloitustaulukot!E227*Aloitustaulukot!E267*Energia!$F$56*0.5*Aloitustaulukot!E248</f>
        <v>210.97593300000003</v>
      </c>
      <c r="E59" s="311">
        <f>Aloitustaulukot!F227*Aloitustaulukot!G267*Energia!$G$56*0.5*Aloitustaulukot!G248</f>
        <v>278.77689000000004</v>
      </c>
      <c r="F59" s="312">
        <f>Aloitustaulukot!G227*Aloitustaulukot!I267*Energia!$H$56*0.5*Aloitustaulukot!I248</f>
        <v>202.22514900000004</v>
      </c>
      <c r="G59" s="278"/>
      <c r="H59" s="275"/>
    </row>
    <row r="60" spans="1:21" x14ac:dyDescent="0.3">
      <c r="A60" s="272"/>
      <c r="B60" s="297" t="s">
        <v>356</v>
      </c>
      <c r="C60" s="311">
        <f>Aloitustaulukot!D228*Aloitustaulukot!C268*Energia!$E$56*0.5*Aloitustaulukot!C249</f>
        <v>148.31124839999998</v>
      </c>
      <c r="D60" s="311">
        <f>Aloitustaulukot!E228*Aloitustaulukot!E268*Energia!$F$56*0.5*Aloitustaulukot!E249</f>
        <v>196.21648200000001</v>
      </c>
      <c r="E60" s="311">
        <f>Aloitustaulukot!F228*Aloitustaulukot!G268*Energia!$G$56*0.5*Aloitustaulukot!G249</f>
        <v>263.72946600000006</v>
      </c>
      <c r="F60" s="312">
        <f>Aloitustaulukot!G228*Aloitustaulukot!I268*Energia!$H$56*0.5*Aloitustaulukot!I249</f>
        <v>201.82266720000001</v>
      </c>
      <c r="G60" s="278"/>
      <c r="H60" s="275"/>
    </row>
    <row r="61" spans="1:21" x14ac:dyDescent="0.3">
      <c r="A61" s="272"/>
      <c r="B61" s="297" t="s">
        <v>358</v>
      </c>
      <c r="C61" s="311">
        <f>Aloitustaulukot!D229*Aloitustaulukot!C269*Energia!$E$56*0.5*Aloitustaulukot!C250</f>
        <v>153.54927000000004</v>
      </c>
      <c r="D61" s="311">
        <f>Aloitustaulukot!E229*Aloitustaulukot!E269*Energia!$F$56*0.5*Aloitustaulukot!E250</f>
        <v>222.87152999999998</v>
      </c>
      <c r="E61" s="311">
        <f>Aloitustaulukot!F229*Aloitustaulukot!G269*Energia!$G$56*0.5*Aloitustaulukot!G250</f>
        <v>284.41413</v>
      </c>
      <c r="F61" s="312">
        <f>Aloitustaulukot!G229*Aloitustaulukot!I269*Energia!$H$56*0.5*Aloitustaulukot!I250</f>
        <v>215.351325</v>
      </c>
      <c r="G61" s="278"/>
      <c r="H61" s="275"/>
    </row>
    <row r="62" spans="1:21" x14ac:dyDescent="0.3">
      <c r="A62" s="272"/>
      <c r="B62" s="297" t="s">
        <v>360</v>
      </c>
      <c r="C62" s="311">
        <f>Aloitustaulukot!D230*Aloitustaulukot!C270*Energia!$E$56*0.5*Aloitustaulukot!C251</f>
        <v>85.767897599999998</v>
      </c>
      <c r="D62" s="311">
        <f>Aloitustaulukot!E230*Aloitustaulukot!E270*Energia!$F$56*0.5*Aloitustaulukot!E251</f>
        <v>151.8048</v>
      </c>
      <c r="E62" s="311">
        <f>Aloitustaulukot!F230*Aloitustaulukot!G270*Energia!$G$56*0.5*Aloitustaulukot!G251</f>
        <v>177.81119999999999</v>
      </c>
      <c r="F62" s="312">
        <f>Aloitustaulukot!G230*Aloitustaulukot!I270*Energia!$H$56*0.5*Aloitustaulukot!I251</f>
        <v>133.78175999999999</v>
      </c>
      <c r="G62" s="278"/>
      <c r="H62" s="275"/>
    </row>
    <row r="63" spans="1:21" x14ac:dyDescent="0.3">
      <c r="A63" s="272"/>
      <c r="B63" s="297" t="s">
        <v>361</v>
      </c>
      <c r="C63" s="311">
        <f>Aloitustaulukot!D231*Aloitustaulukot!C271*Energia!$E$56*0.5*Aloitustaulukot!C252</f>
        <v>47.816159999999996</v>
      </c>
      <c r="D63" s="311">
        <f>Aloitustaulukot!E231*Aloitustaulukot!E271*Energia!$F$56*0.5*Aloitustaulukot!E252</f>
        <v>99.868322399999997</v>
      </c>
      <c r="E63" s="311">
        <f>Aloitustaulukot!F231*Aloitustaulukot!G271*Energia!$G$56*0.5*Aloitustaulukot!G252</f>
        <v>148.13838900000002</v>
      </c>
      <c r="F63" s="312">
        <f>Aloitustaulukot!G231*Aloitustaulukot!I271*Energia!$H$56*0.5*Aloitustaulukot!I252</f>
        <v>99.868322399999997</v>
      </c>
      <c r="G63" s="278"/>
      <c r="H63" s="275"/>
    </row>
    <row r="64" spans="1:21" x14ac:dyDescent="0.3">
      <c r="A64" s="272"/>
      <c r="B64" s="297" t="s">
        <v>362</v>
      </c>
      <c r="C64" s="311">
        <f>Aloitustaulukot!D232*Aloitustaulukot!C272*Energia!$E$56*0.5*Aloitustaulukot!C253</f>
        <v>26.301542400000002</v>
      </c>
      <c r="D64" s="311">
        <f>Aloitustaulukot!E232*Aloitustaulukot!E272*Energia!$F$56*0.5*Aloitustaulukot!E253</f>
        <v>43.206996000000004</v>
      </c>
      <c r="E64" s="311">
        <f>Aloitustaulukot!F232*Aloitustaulukot!G272*Energia!$G$56*0.5*Aloitustaulukot!G253</f>
        <v>63.207345600000011</v>
      </c>
      <c r="F64" s="312">
        <f>Aloitustaulukot!G232*Aloitustaulukot!I272*Energia!$H$56*0.5*Aloitustaulukot!I253</f>
        <v>40.882568999999997</v>
      </c>
      <c r="G64" s="278"/>
      <c r="H64" s="275"/>
    </row>
    <row r="65" spans="1:10" x14ac:dyDescent="0.3">
      <c r="A65" s="272"/>
      <c r="B65" s="297" t="s">
        <v>364</v>
      </c>
      <c r="C65" s="311">
        <f>Aloitustaulukot!D233*Aloitustaulukot!C273*Energia!$E$56*0.5*Aloitustaulukot!C254</f>
        <v>10.7993088</v>
      </c>
      <c r="D65" s="311">
        <f>Aloitustaulukot!E233*Aloitustaulukot!E273*Energia!$F$56*0.5*Aloitustaulukot!E254</f>
        <v>13.698871200000001</v>
      </c>
      <c r="E65" s="311">
        <f>Aloitustaulukot!F233*Aloitustaulukot!G273*Energia!$G$56*0.5*Aloitustaulukot!G254</f>
        <v>19.7707944</v>
      </c>
      <c r="F65" s="312">
        <f>Aloitustaulukot!G233*Aloitustaulukot!I273*Energia!$H$56*0.5*Aloitustaulukot!I254</f>
        <v>13.419302399999999</v>
      </c>
      <c r="G65" s="278"/>
      <c r="H65" s="275"/>
    </row>
    <row r="66" spans="1:10" ht="15" thickBot="1" x14ac:dyDescent="0.35">
      <c r="A66" s="272"/>
      <c r="B66" s="304" t="s">
        <v>366</v>
      </c>
      <c r="C66" s="313">
        <f>Aloitustaulukot!D234*Aloitustaulukot!C274*Energia!$E$56*0.5*Aloitustaulukot!C255</f>
        <v>5.2639524</v>
      </c>
      <c r="D66" s="313">
        <f>Aloitustaulukot!E234*Aloitustaulukot!E274*Energia!$F$56*0.5*Aloitustaulukot!E255</f>
        <v>6.3827946000000004</v>
      </c>
      <c r="E66" s="313">
        <f>Aloitustaulukot!F234*Aloitustaulukot!G274*Energia!$G$56*0.5*Aloitustaulukot!G255</f>
        <v>11.095854000000001</v>
      </c>
      <c r="F66" s="314">
        <f>Aloitustaulukot!G234*Aloitustaulukot!I274*Energia!$H$56*0.5*Aloitustaulukot!I255</f>
        <v>7.0374401999999998</v>
      </c>
      <c r="G66" s="278"/>
      <c r="H66" s="275"/>
    </row>
    <row r="67" spans="1:10" ht="15" thickBot="1" x14ac:dyDescent="0.35">
      <c r="A67" s="272"/>
      <c r="B67" s="272"/>
      <c r="C67" s="272"/>
      <c r="D67" s="272"/>
      <c r="E67" s="272"/>
      <c r="F67" s="272"/>
      <c r="G67" s="278"/>
      <c r="H67" s="275"/>
    </row>
    <row r="68" spans="1:10" x14ac:dyDescent="0.3">
      <c r="B68" s="1"/>
      <c r="C68" s="2"/>
      <c r="D68" s="2"/>
      <c r="E68" s="2"/>
      <c r="F68" s="2"/>
      <c r="G68" s="2"/>
      <c r="H68" s="2"/>
      <c r="I68" s="2"/>
      <c r="J68" s="3"/>
    </row>
    <row r="69" spans="1:10" ht="14.4" customHeight="1" x14ac:dyDescent="0.3">
      <c r="B69" s="409" t="s">
        <v>538</v>
      </c>
      <c r="C69" s="410"/>
      <c r="G69" s="275"/>
      <c r="H69" s="275"/>
      <c r="I69" s="275"/>
      <c r="J69" s="279"/>
    </row>
    <row r="70" spans="1:10" x14ac:dyDescent="0.3">
      <c r="B70" s="164" t="s">
        <v>162</v>
      </c>
      <c r="C70">
        <f>IF(Energia!C20="kyllä",Energia!E20*Energia!G20,IF(Energia!C21="ILP",3000,3000))</f>
        <v>3000</v>
      </c>
      <c r="D70" t="s">
        <v>370</v>
      </c>
      <c r="E70" t="s">
        <v>539</v>
      </c>
      <c r="G70" s="275"/>
      <c r="H70" s="275"/>
      <c r="I70" s="275"/>
      <c r="J70" s="279"/>
    </row>
    <row r="71" spans="1:10" x14ac:dyDescent="0.3">
      <c r="B71" s="4"/>
      <c r="C71" s="19">
        <f>C70/2.8</f>
        <v>1071.4285714285716</v>
      </c>
      <c r="D71" t="s">
        <v>370</v>
      </c>
      <c r="E71" t="s">
        <v>540</v>
      </c>
      <c r="G71" s="275"/>
      <c r="H71" s="275"/>
      <c r="I71" s="275"/>
      <c r="J71" s="279"/>
    </row>
    <row r="72" spans="1:10" x14ac:dyDescent="0.3">
      <c r="B72" s="164" t="s">
        <v>159</v>
      </c>
      <c r="G72" s="275"/>
      <c r="H72" s="275"/>
      <c r="I72" s="275"/>
      <c r="J72" s="279"/>
    </row>
    <row r="73" spans="1:10" x14ac:dyDescent="0.3">
      <c r="B73" s="4" t="s">
        <v>541</v>
      </c>
      <c r="C73" s="34">
        <f>Energia!G92/Energia!G83</f>
        <v>2.6243083918811876</v>
      </c>
      <c r="G73" s="275"/>
      <c r="H73" s="275"/>
      <c r="I73" s="275"/>
      <c r="J73" s="279"/>
    </row>
    <row r="74" spans="1:10" x14ac:dyDescent="0.3">
      <c r="B74" s="4" t="s">
        <v>508</v>
      </c>
      <c r="C74">
        <f>IF(C73&gt;0.5,(VLOOKUP(C73,Aloitustaulukot!C364:D367,2,TRUE)),0.5)</f>
        <v>0.98</v>
      </c>
      <c r="D74" s="197" t="s">
        <v>653</v>
      </c>
      <c r="G74" s="275"/>
      <c r="H74" s="275"/>
      <c r="I74" s="275"/>
      <c r="J74" s="279"/>
    </row>
    <row r="75" spans="1:10" x14ac:dyDescent="0.3">
      <c r="B75" s="4" t="s">
        <v>542</v>
      </c>
      <c r="C75">
        <f>Aloitustaulukot!C319</f>
        <v>2.5</v>
      </c>
      <c r="G75" s="275"/>
      <c r="H75" s="275"/>
      <c r="I75" s="275"/>
      <c r="J75" s="279"/>
    </row>
    <row r="76" spans="1:10" ht="15" thickBot="1" x14ac:dyDescent="0.35">
      <c r="B76" s="4" t="s">
        <v>543</v>
      </c>
      <c r="C76">
        <f>Aloitustaulukot!C321</f>
        <v>2.2999999999999998</v>
      </c>
      <c r="G76" s="275"/>
      <c r="H76" s="275"/>
      <c r="I76" s="275"/>
      <c r="J76" s="279"/>
    </row>
    <row r="77" spans="1:10" ht="15" thickBot="1" x14ac:dyDescent="0.35">
      <c r="B77" s="162" t="s">
        <v>544</v>
      </c>
      <c r="C77" s="163">
        <f>C74*((Energia!G92/Tausta!C75)+((Energia!G83/Tausta!C76))+(1-Tausta!C74)*(Energia!G92+Energia!G83))</f>
        <v>7200.6512591057881</v>
      </c>
      <c r="D77" s="35" t="s">
        <v>370</v>
      </c>
      <c r="E77" t="s">
        <v>540</v>
      </c>
      <c r="G77" s="275"/>
      <c r="H77" s="275"/>
      <c r="I77" s="275"/>
      <c r="J77" s="279"/>
    </row>
    <row r="78" spans="1:10" x14ac:dyDescent="0.3">
      <c r="B78" s="4" t="s">
        <v>545</v>
      </c>
      <c r="C78" s="19">
        <f>C74*((Energia!G92/Tausta!C75)+((0/Tausta!C76))+(1-Tausta!C74)*(Energia!G92+Energia!G83))</f>
        <v>5189.9038238346593</v>
      </c>
      <c r="D78" t="s">
        <v>370</v>
      </c>
      <c r="E78" t="s">
        <v>627</v>
      </c>
      <c r="G78" s="275"/>
      <c r="H78" s="275"/>
      <c r="I78" s="275"/>
      <c r="J78" s="279"/>
    </row>
    <row r="79" spans="1:10" ht="15" thickBot="1" x14ac:dyDescent="0.35">
      <c r="B79" s="4" t="s">
        <v>546</v>
      </c>
      <c r="C79" s="19">
        <f>C74*((0/Tausta!C75)+((Energia!G83/Tausta!C76))+(1-Tausta!C74)*(Energia!G92+Energia!G83))</f>
        <v>2345.9756002370382</v>
      </c>
      <c r="D79" t="s">
        <v>370</v>
      </c>
      <c r="E79" t="s">
        <v>628</v>
      </c>
      <c r="G79" s="275"/>
      <c r="H79" s="275"/>
      <c r="I79" s="275"/>
      <c r="J79" s="279"/>
    </row>
    <row r="80" spans="1:10" ht="15" thickBot="1" x14ac:dyDescent="0.35">
      <c r="B80" s="162" t="s">
        <v>547</v>
      </c>
      <c r="C80" s="163">
        <f>Energia!G92+Energia!G83-Tausta!C77</f>
        <v>9902.8265452773448</v>
      </c>
      <c r="D80" s="35" t="s">
        <v>370</v>
      </c>
      <c r="E80" t="s">
        <v>548</v>
      </c>
      <c r="G80" s="275"/>
      <c r="H80" s="275"/>
      <c r="I80" s="275"/>
      <c r="J80" s="279"/>
    </row>
    <row r="81" spans="2:10" x14ac:dyDescent="0.3">
      <c r="B81" s="4"/>
      <c r="C81" s="19"/>
      <c r="G81" s="275"/>
      <c r="H81" s="275"/>
      <c r="I81" s="275"/>
      <c r="J81" s="279"/>
    </row>
    <row r="82" spans="2:10" x14ac:dyDescent="0.3">
      <c r="B82" s="164" t="s">
        <v>160</v>
      </c>
      <c r="C82" s="19"/>
      <c r="G82" s="275"/>
      <c r="H82" s="275"/>
      <c r="I82" s="275"/>
      <c r="J82" s="279"/>
    </row>
    <row r="83" spans="2:10" x14ac:dyDescent="0.3">
      <c r="B83" s="4" t="s">
        <v>541</v>
      </c>
      <c r="C83" s="34">
        <f>C73</f>
        <v>2.6243083918811876</v>
      </c>
      <c r="G83" s="275"/>
      <c r="H83" s="275"/>
      <c r="I83" s="275"/>
      <c r="J83" s="279"/>
    </row>
    <row r="84" spans="2:10" x14ac:dyDescent="0.3">
      <c r="B84" s="4" t="s">
        <v>508</v>
      </c>
      <c r="C84" s="34">
        <f>IF(C83&gt;0.5,VLOOKUP(Tausta!C83,Aloitustaulukot!C402:D405,2,TRUE),0.5)</f>
        <v>0.87</v>
      </c>
      <c r="G84" s="275"/>
      <c r="H84" s="275"/>
      <c r="I84" s="275"/>
      <c r="J84" s="279"/>
    </row>
    <row r="85" spans="2:10" x14ac:dyDescent="0.3">
      <c r="B85" s="4" t="s">
        <v>542</v>
      </c>
      <c r="C85">
        <f>Aloitustaulukot!C305</f>
        <v>2.5</v>
      </c>
      <c r="G85" s="275"/>
      <c r="H85" s="275"/>
      <c r="I85" s="275"/>
      <c r="J85" s="279"/>
    </row>
    <row r="86" spans="2:10" x14ac:dyDescent="0.3">
      <c r="B86" s="4" t="s">
        <v>543</v>
      </c>
      <c r="C86">
        <f>Aloitustaulukot!C309</f>
        <v>1.8</v>
      </c>
      <c r="G86" s="275"/>
      <c r="H86" s="275"/>
      <c r="I86" s="275"/>
      <c r="J86" s="279"/>
    </row>
    <row r="87" spans="2:10" x14ac:dyDescent="0.3">
      <c r="B87" s="4" t="s">
        <v>549</v>
      </c>
      <c r="C87" s="17">
        <f>C84*((Energia!G92/Tausta!C85)+(Energia!G83/Tausta!C86))+(1-Tausta!C84)*(Energia!G92+Energia!G83)</f>
        <v>8814.1140758883957</v>
      </c>
      <c r="D87" t="s">
        <v>370</v>
      </c>
      <c r="E87" t="s">
        <v>540</v>
      </c>
      <c r="G87" s="275"/>
      <c r="H87" s="275"/>
      <c r="I87" s="275"/>
      <c r="J87" s="279"/>
    </row>
    <row r="88" spans="2:10" x14ac:dyDescent="0.3">
      <c r="B88" s="4" t="s">
        <v>545</v>
      </c>
      <c r="C88" s="17">
        <f>C84*((Energia!G92/Tausta!C85)+(0/Tausta!C86))+(1-Tausta!C84)*(Energia!G92+Energia!G83)</f>
        <v>6533.2151994839014</v>
      </c>
      <c r="D88" t="s">
        <v>370</v>
      </c>
      <c r="E88" t="s">
        <v>627</v>
      </c>
      <c r="G88" s="275"/>
      <c r="H88" s="275"/>
      <c r="I88" s="275"/>
      <c r="J88" s="279"/>
    </row>
    <row r="89" spans="2:10" x14ac:dyDescent="0.3">
      <c r="B89" s="4" t="s">
        <v>546</v>
      </c>
      <c r="C89" s="17">
        <f>C84*((0/Tausta!C85)+(Energia!G83/Tausta!C86))+(1-Tausta!C84)*(Energia!G92+Energia!G83)</f>
        <v>4504.3509909743016</v>
      </c>
      <c r="D89" t="s">
        <v>370</v>
      </c>
      <c r="E89" t="s">
        <v>628</v>
      </c>
      <c r="G89" s="275"/>
      <c r="H89" s="275"/>
      <c r="I89" s="275"/>
      <c r="J89" s="279"/>
    </row>
    <row r="90" spans="2:10" ht="15" thickBot="1" x14ac:dyDescent="0.35">
      <c r="B90" s="6" t="s">
        <v>547</v>
      </c>
      <c r="C90" s="165">
        <f>Energia!G92+Energia!G83-Tausta!C87</f>
        <v>8289.3637284947363</v>
      </c>
      <c r="D90" s="7" t="s">
        <v>370</v>
      </c>
      <c r="E90" s="7" t="s">
        <v>550</v>
      </c>
      <c r="F90" s="7"/>
      <c r="G90" s="280"/>
      <c r="H90" s="280"/>
      <c r="I90" s="280"/>
      <c r="J90" s="281"/>
    </row>
  </sheetData>
  <mergeCells count="4">
    <mergeCell ref="B3:E3"/>
    <mergeCell ref="B53:C53"/>
    <mergeCell ref="B35:C35"/>
    <mergeCell ref="B69:C69"/>
  </mergeCells>
  <phoneticPr fontId="6" type="noConversion"/>
  <pageMargins left="0.25" right="0.25" top="0.75" bottom="0.75" header="0.3" footer="0.3"/>
  <pageSetup paperSize="9" scale="55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FC1DF-8A79-409D-8B70-6E589750275B}">
  <sheetPr codeName="Sheet5"/>
  <dimension ref="A1:W82"/>
  <sheetViews>
    <sheetView showGridLines="0" zoomScaleNormal="100" workbookViewId="0">
      <selection activeCell="S72" sqref="S72"/>
    </sheetView>
  </sheetViews>
  <sheetFormatPr defaultRowHeight="14.4" x14ac:dyDescent="0.3"/>
  <cols>
    <col min="1" max="1" width="10.21875" bestFit="1" customWidth="1"/>
    <col min="2" max="2" width="11" customWidth="1"/>
    <col min="3" max="3" width="13.77734375" customWidth="1"/>
    <col min="4" max="4" width="24" customWidth="1"/>
    <col min="5" max="5" width="11.33203125" bestFit="1" customWidth="1"/>
    <col min="6" max="6" width="19.6640625" bestFit="1" customWidth="1"/>
    <col min="7" max="7" width="14.5546875" bestFit="1" customWidth="1"/>
    <col min="8" max="8" width="8.33203125" bestFit="1" customWidth="1"/>
    <col min="9" max="9" width="12.109375" bestFit="1" customWidth="1"/>
    <col min="10" max="10" width="15.77734375" bestFit="1" customWidth="1"/>
    <col min="11" max="11" width="8.44140625" bestFit="1" customWidth="1"/>
    <col min="12" max="12" width="10" bestFit="1" customWidth="1"/>
    <col min="13" max="13" width="11.5546875" bestFit="1" customWidth="1"/>
    <col min="14" max="14" width="10.44140625" bestFit="1" customWidth="1"/>
    <col min="15" max="15" width="11.6640625" bestFit="1" customWidth="1"/>
    <col min="16" max="16" width="8.6640625" bestFit="1" customWidth="1"/>
    <col min="17" max="17" width="11.33203125" customWidth="1"/>
    <col min="18" max="20" width="10.44140625" bestFit="1" customWidth="1"/>
    <col min="21" max="21" width="12.5546875" customWidth="1"/>
  </cols>
  <sheetData>
    <row r="1" spans="1:23" x14ac:dyDescent="0.3">
      <c r="A1" s="18" t="s">
        <v>551</v>
      </c>
    </row>
    <row r="2" spans="1:23" x14ac:dyDescent="0.3">
      <c r="A2" s="436" t="s">
        <v>552</v>
      </c>
      <c r="B2" s="436"/>
      <c r="C2" s="167"/>
    </row>
    <row r="3" spans="1:23" ht="14.4" customHeight="1" x14ac:dyDescent="0.3">
      <c r="A3" s="167" t="s">
        <v>553</v>
      </c>
      <c r="B3" s="241">
        <v>0.14000000000000001</v>
      </c>
      <c r="C3" s="167"/>
      <c r="D3" s="277"/>
      <c r="E3" s="277"/>
      <c r="L3" s="287" t="s">
        <v>630</v>
      </c>
      <c r="M3" s="287"/>
      <c r="N3" s="287"/>
      <c r="O3" s="287"/>
      <c r="P3" s="287"/>
      <c r="Q3" s="287"/>
    </row>
    <row r="4" spans="1:23" ht="14.4" customHeight="1" x14ac:dyDescent="0.3">
      <c r="A4" s="167" t="s">
        <v>345</v>
      </c>
      <c r="B4" s="167">
        <v>1</v>
      </c>
      <c r="C4" s="167" t="s">
        <v>554</v>
      </c>
      <c r="D4" s="277"/>
      <c r="E4" s="277"/>
      <c r="L4" s="287"/>
      <c r="M4" s="287"/>
      <c r="N4" s="287"/>
      <c r="O4" s="287"/>
      <c r="P4" s="287"/>
      <c r="Q4" s="287"/>
    </row>
    <row r="5" spans="1:23" ht="15" thickBot="1" x14ac:dyDescent="0.35">
      <c r="A5" s="167" t="s">
        <v>346</v>
      </c>
      <c r="B5" s="167" t="s">
        <v>629</v>
      </c>
      <c r="C5" s="167" t="s">
        <v>375</v>
      </c>
      <c r="D5" s="277"/>
      <c r="E5" s="277"/>
    </row>
    <row r="6" spans="1:23" ht="18" customHeight="1" thickBot="1" x14ac:dyDescent="0.35">
      <c r="A6" s="288" t="s">
        <v>555</v>
      </c>
      <c r="B6" s="289">
        <v>2</v>
      </c>
      <c r="C6" s="289" t="s">
        <v>556</v>
      </c>
      <c r="D6" s="296" t="s">
        <v>652</v>
      </c>
      <c r="E6" s="277"/>
      <c r="M6" s="194"/>
      <c r="N6" s="194"/>
      <c r="O6" s="194"/>
      <c r="P6" s="194"/>
    </row>
    <row r="7" spans="1:23" x14ac:dyDescent="0.3">
      <c r="A7" s="167" t="s">
        <v>557</v>
      </c>
      <c r="B7" s="167">
        <v>350</v>
      </c>
      <c r="C7" s="167" t="s">
        <v>558</v>
      </c>
      <c r="D7" s="277"/>
      <c r="E7" s="277"/>
      <c r="M7" s="194"/>
      <c r="N7" s="194"/>
      <c r="O7" s="194"/>
      <c r="P7" s="194"/>
      <c r="T7" s="195"/>
      <c r="U7" s="195"/>
      <c r="V7" s="195"/>
      <c r="W7" s="195"/>
    </row>
    <row r="8" spans="1:23" x14ac:dyDescent="0.3">
      <c r="A8" s="167" t="s">
        <v>559</v>
      </c>
      <c r="B8" s="167">
        <v>1.7</v>
      </c>
      <c r="C8" s="167" t="s">
        <v>1</v>
      </c>
      <c r="D8" s="277"/>
      <c r="E8" s="277"/>
      <c r="M8" s="194"/>
      <c r="N8" s="194"/>
      <c r="O8" s="194"/>
      <c r="P8" s="194"/>
      <c r="T8" s="195"/>
      <c r="U8" s="195"/>
      <c r="V8" s="195"/>
      <c r="W8" s="195"/>
    </row>
    <row r="9" spans="1:23" x14ac:dyDescent="0.3">
      <c r="A9" s="167" t="s">
        <v>560</v>
      </c>
      <c r="B9" s="242">
        <f>B6/B7*B8*1000</f>
        <v>9.7142857142857135</v>
      </c>
      <c r="C9" s="167" t="s">
        <v>1</v>
      </c>
      <c r="D9" s="277"/>
      <c r="E9" s="277"/>
      <c r="M9" s="194"/>
      <c r="N9" s="194"/>
      <c r="O9" s="194"/>
      <c r="P9" s="194"/>
      <c r="T9" s="195"/>
      <c r="U9" s="195"/>
      <c r="V9" s="195"/>
      <c r="W9" s="195"/>
    </row>
    <row r="10" spans="1:23" x14ac:dyDescent="0.3">
      <c r="T10" s="195"/>
      <c r="U10" s="195"/>
      <c r="V10" s="195"/>
      <c r="W10" s="195"/>
    </row>
    <row r="11" spans="1:23" ht="43.2" x14ac:dyDescent="0.3">
      <c r="A11" s="371" t="s">
        <v>561</v>
      </c>
      <c r="B11" s="372" t="s">
        <v>562</v>
      </c>
      <c r="C11" s="373" t="s">
        <v>563</v>
      </c>
      <c r="D11" s="369" t="s">
        <v>564</v>
      </c>
      <c r="E11" s="372" t="s">
        <v>565</v>
      </c>
      <c r="F11" s="374" t="s">
        <v>566</v>
      </c>
      <c r="G11" s="373" t="s">
        <v>567</v>
      </c>
      <c r="H11" s="373" t="s">
        <v>568</v>
      </c>
      <c r="I11" s="372" t="s">
        <v>569</v>
      </c>
      <c r="J11" s="372" t="s">
        <v>570</v>
      </c>
      <c r="K11" s="372" t="s">
        <v>571</v>
      </c>
      <c r="L11" s="365"/>
      <c r="M11" s="277"/>
      <c r="N11" s="277"/>
      <c r="T11" s="195"/>
      <c r="U11" s="195"/>
      <c r="V11" s="195"/>
      <c r="W11" s="195"/>
    </row>
    <row r="12" spans="1:23" x14ac:dyDescent="0.3">
      <c r="A12" s="257" t="s">
        <v>349</v>
      </c>
      <c r="B12" s="375">
        <f>[1]G_normivuosi!F4</f>
        <v>13.1</v>
      </c>
      <c r="C12" s="376">
        <f>$B$3*$B$4*B12*$B$9</f>
        <v>17.815999999999999</v>
      </c>
      <c r="D12" s="370">
        <f>IF(Energia!$C$14="suora sähkölämmitys",Tausta!R20+Tausta!R4,Tausta!R4)</f>
        <v>357.12</v>
      </c>
      <c r="E12" s="377">
        <v>0.260752688172043</v>
      </c>
      <c r="F12" s="378">
        <f>D12*E12</f>
        <v>93.12</v>
      </c>
      <c r="G12" s="244">
        <f>IF(C12&lt;F12,C12,F12)</f>
        <v>17.815999999999999</v>
      </c>
      <c r="H12" s="244">
        <f>C12-G12</f>
        <v>0</v>
      </c>
      <c r="I12" s="379">
        <f>H12/C12</f>
        <v>0</v>
      </c>
      <c r="J12" s="380">
        <f>G12/D12</f>
        <v>4.9887992831541217E-2</v>
      </c>
      <c r="K12" s="380">
        <f>C12/D12</f>
        <v>4.9887992831541217E-2</v>
      </c>
      <c r="L12" s="366"/>
      <c r="M12" s="277"/>
      <c r="N12" s="277"/>
    </row>
    <row r="13" spans="1:23" x14ac:dyDescent="0.3">
      <c r="A13" s="257" t="s">
        <v>351</v>
      </c>
      <c r="B13" s="375">
        <f>[1]G_normivuosi!F5</f>
        <v>44.3</v>
      </c>
      <c r="C13" s="376">
        <f t="shared" ref="C13:C23" si="0">$B$3*$B$4*B13*$B$9</f>
        <v>60.247999999999998</v>
      </c>
      <c r="D13" s="370">
        <f>IF(Energia!$C$14="suora sähkölämmitys",Tausta!R21+Tausta!R5,Tausta!R5)</f>
        <v>322.56</v>
      </c>
      <c r="E13" s="377">
        <v>0.39136904761904762</v>
      </c>
      <c r="F13" s="378">
        <f>D13*E13</f>
        <v>126.24</v>
      </c>
      <c r="G13" s="244">
        <f t="shared" ref="G13:G23" si="1">IF(C13&lt;F13,C13,F13)</f>
        <v>60.247999999999998</v>
      </c>
      <c r="H13" s="244">
        <f t="shared" ref="H13:H23" si="2">C13-G13</f>
        <v>0</v>
      </c>
      <c r="I13" s="379">
        <f t="shared" ref="I13:I23" si="3">H13/C13</f>
        <v>0</v>
      </c>
      <c r="J13" s="380">
        <f t="shared" ref="J13:J23" si="4">G13/D13</f>
        <v>0.18678075396825397</v>
      </c>
      <c r="K13" s="380">
        <f t="shared" ref="K13:K23" si="5">C13/D13</f>
        <v>0.18678075396825397</v>
      </c>
      <c r="L13" s="366"/>
      <c r="M13" s="277"/>
      <c r="N13" s="277"/>
    </row>
    <row r="14" spans="1:23" x14ac:dyDescent="0.3">
      <c r="A14" s="257" t="s">
        <v>352</v>
      </c>
      <c r="B14" s="375">
        <f>[1]G_normivuosi!F6</f>
        <v>106.7</v>
      </c>
      <c r="C14" s="376">
        <f t="shared" si="0"/>
        <v>145.11200000000002</v>
      </c>
      <c r="D14" s="370">
        <f>IF(Energia!$C$14="suora sähkölämmitys",Tausta!R22+Tausta!R6,Tausta!R6)</f>
        <v>357.12</v>
      </c>
      <c r="E14" s="377">
        <v>0.50134408602150538</v>
      </c>
      <c r="F14" s="378">
        <f t="shared" ref="F14:F23" si="6">D14*E14</f>
        <v>179.04</v>
      </c>
      <c r="G14" s="244">
        <f>IF(C14&lt;F14,C14,F14)</f>
        <v>145.11200000000002</v>
      </c>
      <c r="H14" s="244">
        <f t="shared" si="2"/>
        <v>0</v>
      </c>
      <c r="I14" s="379">
        <f t="shared" si="3"/>
        <v>0</v>
      </c>
      <c r="J14" s="380">
        <f t="shared" si="4"/>
        <v>0.40633960573476707</v>
      </c>
      <c r="K14" s="380">
        <f t="shared" si="5"/>
        <v>0.40633960573476707</v>
      </c>
      <c r="L14" s="366"/>
      <c r="M14" s="277"/>
      <c r="N14" s="277"/>
    </row>
    <row r="15" spans="1:23" x14ac:dyDescent="0.3">
      <c r="A15" s="257" t="s">
        <v>353</v>
      </c>
      <c r="B15" s="375">
        <f>[1]G_normivuosi!F7</f>
        <v>154.9</v>
      </c>
      <c r="C15" s="376">
        <f t="shared" si="0"/>
        <v>210.66400000000002</v>
      </c>
      <c r="D15" s="370">
        <f>IF(Energia!$C$14="suora sähkölämmitys",Tausta!R23+Tausta!R7,Tausta!R7)</f>
        <v>345.6</v>
      </c>
      <c r="E15" s="377">
        <v>0.53888888888888886</v>
      </c>
      <c r="F15" s="378">
        <f t="shared" si="6"/>
        <v>186.24</v>
      </c>
      <c r="G15" s="244">
        <f t="shared" si="1"/>
        <v>186.24</v>
      </c>
      <c r="H15" s="244">
        <f t="shared" si="2"/>
        <v>24.424000000000007</v>
      </c>
      <c r="I15" s="379">
        <f t="shared" si="3"/>
        <v>0.11593817643261309</v>
      </c>
      <c r="J15" s="380">
        <f>G15/D15</f>
        <v>0.53888888888888886</v>
      </c>
      <c r="K15" s="380">
        <f t="shared" si="5"/>
        <v>0.60956018518518518</v>
      </c>
      <c r="L15" s="366"/>
      <c r="M15" s="277"/>
      <c r="N15" s="277"/>
    </row>
    <row r="16" spans="1:23" x14ac:dyDescent="0.3">
      <c r="A16" s="257" t="s">
        <v>355</v>
      </c>
      <c r="B16" s="375">
        <f>[1]G_normivuosi!F8</f>
        <v>183</v>
      </c>
      <c r="C16" s="376">
        <f t="shared" si="0"/>
        <v>248.88</v>
      </c>
      <c r="D16" s="370">
        <f>IF(Energia!$C$14="suora sähkölämmitys",Tausta!R24+Tausta!R8,Tausta!R8)</f>
        <v>357.12</v>
      </c>
      <c r="E16" s="380">
        <v>0.73521505376344087</v>
      </c>
      <c r="F16" s="378">
        <f>D16*E16</f>
        <v>262.56</v>
      </c>
      <c r="G16" s="244">
        <f>IF(C16&lt;F16,C16,F16)</f>
        <v>248.88</v>
      </c>
      <c r="H16" s="244">
        <f t="shared" si="2"/>
        <v>0</v>
      </c>
      <c r="I16" s="379">
        <f t="shared" si="3"/>
        <v>0</v>
      </c>
      <c r="J16" s="380">
        <f t="shared" si="4"/>
        <v>0.69690860215053763</v>
      </c>
      <c r="K16" s="380">
        <f t="shared" si="5"/>
        <v>0.69690860215053763</v>
      </c>
      <c r="L16" s="366"/>
      <c r="M16" s="277"/>
      <c r="N16" s="277"/>
    </row>
    <row r="17" spans="1:22" x14ac:dyDescent="0.3">
      <c r="A17" s="257" t="s">
        <v>356</v>
      </c>
      <c r="B17" s="375">
        <f>[1]G_normivuosi!F9</f>
        <v>167.6</v>
      </c>
      <c r="C17" s="376">
        <f>$B$3*$B$4*B17*$B$9</f>
        <v>227.93600000000001</v>
      </c>
      <c r="D17" s="370">
        <f>IF(Energia!$C$14="suora sähkölämmitys",Tausta!R25+Tausta!R9,Tausta!R9)</f>
        <v>345.6</v>
      </c>
      <c r="E17" s="377">
        <v>0.8208333333333333</v>
      </c>
      <c r="F17" s="378">
        <f t="shared" si="6"/>
        <v>283.68</v>
      </c>
      <c r="G17" s="244">
        <f t="shared" si="1"/>
        <v>227.93600000000001</v>
      </c>
      <c r="H17" s="244">
        <f>C17-G17</f>
        <v>0</v>
      </c>
      <c r="I17" s="379">
        <f t="shared" si="3"/>
        <v>0</v>
      </c>
      <c r="J17" s="380">
        <f t="shared" si="4"/>
        <v>0.65953703703703703</v>
      </c>
      <c r="K17" s="380">
        <f t="shared" si="5"/>
        <v>0.65953703703703703</v>
      </c>
      <c r="L17" s="366"/>
      <c r="M17" s="277"/>
      <c r="N17" s="277"/>
    </row>
    <row r="18" spans="1:22" x14ac:dyDescent="0.3">
      <c r="A18" s="257" t="s">
        <v>358</v>
      </c>
      <c r="B18" s="375">
        <f>[1]G_normivuosi!F10</f>
        <v>189.8</v>
      </c>
      <c r="C18" s="376">
        <f t="shared" si="0"/>
        <v>258.12799999999999</v>
      </c>
      <c r="D18" s="370">
        <f>IF(Energia!$C$14="suora sähkölämmitys",Tausta!R26+Tausta!R10,Tausta!R10)</f>
        <v>357.12</v>
      </c>
      <c r="E18" s="377">
        <v>0.77419354838709675</v>
      </c>
      <c r="F18" s="378">
        <f>D18*E18</f>
        <v>276.48</v>
      </c>
      <c r="G18" s="244">
        <f>IF(C18&lt;F18,C18,F18)</f>
        <v>258.12799999999999</v>
      </c>
      <c r="H18" s="244">
        <f t="shared" si="2"/>
        <v>0</v>
      </c>
      <c r="I18" s="379">
        <f t="shared" si="3"/>
        <v>0</v>
      </c>
      <c r="J18" s="380">
        <f>G18/D18</f>
        <v>0.72280465949820782</v>
      </c>
      <c r="K18" s="380">
        <f>C18/D18</f>
        <v>0.72280465949820782</v>
      </c>
      <c r="L18" s="366"/>
      <c r="M18" s="277"/>
      <c r="N18" s="277"/>
    </row>
    <row r="19" spans="1:22" x14ac:dyDescent="0.3">
      <c r="A19" s="257" t="s">
        <v>360</v>
      </c>
      <c r="B19" s="375">
        <f>[1]G_normivuosi!F11</f>
        <v>152.1</v>
      </c>
      <c r="C19" s="376">
        <f t="shared" si="0"/>
        <v>206.85599999999999</v>
      </c>
      <c r="D19" s="370">
        <f>IF(Energia!$C$14="suora sähkölämmitys",Tausta!R27+Tausta!R11,Tausta!R11)</f>
        <v>357.12</v>
      </c>
      <c r="E19" s="377">
        <v>0.6626344086021505</v>
      </c>
      <c r="F19" s="378">
        <f t="shared" si="6"/>
        <v>236.64</v>
      </c>
      <c r="G19" s="244">
        <f t="shared" si="1"/>
        <v>206.85599999999999</v>
      </c>
      <c r="H19" s="244">
        <f t="shared" si="2"/>
        <v>0</v>
      </c>
      <c r="I19" s="379">
        <f t="shared" si="3"/>
        <v>0</v>
      </c>
      <c r="J19" s="380">
        <f t="shared" si="4"/>
        <v>0.57923387096774193</v>
      </c>
      <c r="K19" s="380">
        <f t="shared" si="5"/>
        <v>0.57923387096774193</v>
      </c>
      <c r="L19" s="366"/>
      <c r="M19" s="277"/>
      <c r="N19" s="277"/>
    </row>
    <row r="20" spans="1:22" x14ac:dyDescent="0.3">
      <c r="A20" s="257" t="s">
        <v>361</v>
      </c>
      <c r="B20" s="375">
        <f>[1]G_normivuosi!F12</f>
        <v>126.9</v>
      </c>
      <c r="C20" s="376">
        <f t="shared" si="0"/>
        <v>172.584</v>
      </c>
      <c r="D20" s="370">
        <f>IF(Energia!$C$14="suora sähkölämmitys",Tausta!R28+Tausta!R12,Tausta!R12)</f>
        <v>345.6</v>
      </c>
      <c r="E20" s="377">
        <v>0.54027777777777775</v>
      </c>
      <c r="F20" s="378">
        <f t="shared" si="6"/>
        <v>186.72</v>
      </c>
      <c r="G20" s="244">
        <f t="shared" si="1"/>
        <v>172.584</v>
      </c>
      <c r="H20" s="244">
        <f t="shared" si="2"/>
        <v>0</v>
      </c>
      <c r="I20" s="379">
        <f t="shared" si="3"/>
        <v>0</v>
      </c>
      <c r="J20" s="380">
        <f t="shared" si="4"/>
        <v>0.49937499999999996</v>
      </c>
      <c r="K20" s="380">
        <f t="shared" si="5"/>
        <v>0.49937499999999996</v>
      </c>
      <c r="L20" s="366"/>
      <c r="M20" s="277"/>
      <c r="N20" s="277"/>
    </row>
    <row r="21" spans="1:22" x14ac:dyDescent="0.3">
      <c r="A21" s="257" t="s">
        <v>362</v>
      </c>
      <c r="B21" s="375">
        <f>[1]G_normivuosi!F13</f>
        <v>44.3</v>
      </c>
      <c r="C21" s="376">
        <f t="shared" si="0"/>
        <v>60.247999999999998</v>
      </c>
      <c r="D21" s="370">
        <f>IF(Energia!$C$14="suora sähkölämmitys",Tausta!R29+Tausta!R13,Tausta!R13)</f>
        <v>357.12</v>
      </c>
      <c r="E21" s="377">
        <v>0.42607526881720431</v>
      </c>
      <c r="F21" s="378">
        <f t="shared" si="6"/>
        <v>152.16</v>
      </c>
      <c r="G21" s="244">
        <f t="shared" si="1"/>
        <v>60.247999999999998</v>
      </c>
      <c r="H21" s="244">
        <f t="shared" si="2"/>
        <v>0</v>
      </c>
      <c r="I21" s="379">
        <f t="shared" si="3"/>
        <v>0</v>
      </c>
      <c r="J21" s="380">
        <f t="shared" si="4"/>
        <v>0.16870519713261647</v>
      </c>
      <c r="K21" s="380">
        <f t="shared" si="5"/>
        <v>0.16870519713261647</v>
      </c>
      <c r="L21" s="366"/>
      <c r="M21" s="277"/>
      <c r="N21" s="277"/>
    </row>
    <row r="22" spans="1:22" x14ac:dyDescent="0.3">
      <c r="A22" s="257" t="s">
        <v>364</v>
      </c>
      <c r="B22" s="375">
        <f>[1]G_normivuosi!F14</f>
        <v>17</v>
      </c>
      <c r="C22" s="376">
        <f t="shared" si="0"/>
        <v>23.12</v>
      </c>
      <c r="D22" s="370">
        <f>IF(Energia!$C$14="suora sähkölämmitys",Tausta!R30+Tausta!R14,Tausta!R14)</f>
        <v>345.6</v>
      </c>
      <c r="E22" s="377">
        <v>0.30972222222222223</v>
      </c>
      <c r="F22" s="378">
        <f t="shared" si="6"/>
        <v>107.04</v>
      </c>
      <c r="G22" s="244">
        <f t="shared" si="1"/>
        <v>23.12</v>
      </c>
      <c r="H22" s="244">
        <f t="shared" si="2"/>
        <v>0</v>
      </c>
      <c r="I22" s="379">
        <f t="shared" si="3"/>
        <v>0</v>
      </c>
      <c r="J22" s="380">
        <f t="shared" si="4"/>
        <v>6.6898148148148151E-2</v>
      </c>
      <c r="K22" s="380">
        <f t="shared" si="5"/>
        <v>6.6898148148148151E-2</v>
      </c>
      <c r="L22" s="366"/>
      <c r="M22" s="157"/>
      <c r="N22" s="155"/>
    </row>
    <row r="23" spans="1:22" x14ac:dyDescent="0.3">
      <c r="A23" s="257" t="s">
        <v>366</v>
      </c>
      <c r="B23" s="375">
        <f>[1]G_normivuosi!F15</f>
        <v>11.2</v>
      </c>
      <c r="C23" s="376">
        <f t="shared" si="0"/>
        <v>15.231999999999999</v>
      </c>
      <c r="D23" s="370">
        <f>IF(Energia!$C$14="suora sähkölämmitys",Tausta!R31+Tausta!R15,Tausta!R15)</f>
        <v>357.12</v>
      </c>
      <c r="E23" s="377">
        <v>0.24596774193548387</v>
      </c>
      <c r="F23" s="378">
        <f t="shared" si="6"/>
        <v>87.84</v>
      </c>
      <c r="G23" s="244">
        <f t="shared" si="1"/>
        <v>15.231999999999999</v>
      </c>
      <c r="H23" s="244">
        <f t="shared" si="2"/>
        <v>0</v>
      </c>
      <c r="I23" s="379">
        <f t="shared" si="3"/>
        <v>0</v>
      </c>
      <c r="J23" s="380">
        <f t="shared" si="4"/>
        <v>4.2652329749103941E-2</v>
      </c>
      <c r="K23" s="380">
        <f t="shared" si="5"/>
        <v>4.2652329749103941E-2</v>
      </c>
      <c r="L23" s="366"/>
    </row>
    <row r="24" spans="1:22" x14ac:dyDescent="0.3">
      <c r="A24" s="257" t="s">
        <v>572</v>
      </c>
      <c r="B24" s="381">
        <f>SUM(B12:B23)</f>
        <v>1210.9000000000001</v>
      </c>
      <c r="C24" s="382">
        <f>SUM(C12:C23)</f>
        <v>1646.8240000000001</v>
      </c>
      <c r="D24" s="370">
        <f>IF(Energia!$C$14="suora sähkölämmitys",Tausta!R32+Tausta!R16,Tausta!R16)</f>
        <v>4204.7999999999993</v>
      </c>
      <c r="E24" s="383" t="s">
        <v>573</v>
      </c>
      <c r="F24" s="257"/>
      <c r="G24" s="243">
        <f>SUM(G12:G23)</f>
        <v>1622.4</v>
      </c>
      <c r="H24" s="244">
        <f>C24-G24</f>
        <v>24.423999999999978</v>
      </c>
      <c r="I24" s="257"/>
      <c r="J24" s="384">
        <f>G24/D24</f>
        <v>0.38584474885844755</v>
      </c>
      <c r="K24" s="260" t="s">
        <v>574</v>
      </c>
      <c r="L24" s="272"/>
    </row>
    <row r="25" spans="1:22" ht="24" customHeight="1" x14ac:dyDescent="0.35">
      <c r="E25" s="196" t="s">
        <v>575</v>
      </c>
      <c r="H25" s="246">
        <f>H24/C24</f>
        <v>1.4830971615667477E-2</v>
      </c>
      <c r="I25" s="247" t="s">
        <v>576</v>
      </c>
      <c r="J25" s="283"/>
      <c r="K25" s="283"/>
      <c r="L25" s="283"/>
      <c r="M25" s="283"/>
      <c r="N25" s="245"/>
      <c r="O25" s="245"/>
      <c r="P25" s="245"/>
      <c r="Q25" s="245"/>
      <c r="U25" s="18"/>
      <c r="V25" s="18"/>
    </row>
    <row r="26" spans="1:22" ht="14.7" customHeight="1" x14ac:dyDescent="0.3">
      <c r="A26" s="437" t="s">
        <v>577</v>
      </c>
      <c r="B26" s="437"/>
      <c r="C26" s="437"/>
      <c r="D26" s="248"/>
      <c r="E26" s="248"/>
      <c r="F26" s="248"/>
      <c r="H26" s="197" t="s">
        <v>685</v>
      </c>
      <c r="J26" s="283"/>
      <c r="K26" s="283"/>
      <c r="L26" s="283"/>
      <c r="M26" s="283"/>
      <c r="N26" s="245"/>
      <c r="O26" s="245"/>
      <c r="P26" s="245"/>
      <c r="Q26" s="245"/>
      <c r="T26" s="161"/>
      <c r="U26" s="198"/>
      <c r="V26" s="18"/>
    </row>
    <row r="27" spans="1:22" ht="14.4" customHeight="1" x14ac:dyDescent="0.3">
      <c r="A27" s="430" t="s">
        <v>578</v>
      </c>
      <c r="B27" s="430"/>
      <c r="C27" s="430"/>
      <c r="D27" s="249">
        <v>0</v>
      </c>
      <c r="E27" s="249" t="s">
        <v>579</v>
      </c>
      <c r="F27" s="250" t="s">
        <v>659</v>
      </c>
      <c r="G27" s="285"/>
      <c r="H27" s="285"/>
      <c r="I27" s="285"/>
      <c r="T27" s="161"/>
      <c r="U27" s="198"/>
      <c r="V27" s="18"/>
    </row>
    <row r="28" spans="1:22" ht="14.4" customHeight="1" x14ac:dyDescent="0.3">
      <c r="A28" s="438" t="s">
        <v>683</v>
      </c>
      <c r="B28" s="439"/>
      <c r="C28" s="440"/>
      <c r="D28" s="249">
        <v>17</v>
      </c>
      <c r="E28" s="249" t="s">
        <v>579</v>
      </c>
      <c r="F28" s="250" t="s">
        <v>659</v>
      </c>
      <c r="G28" s="285"/>
      <c r="H28" s="285"/>
      <c r="I28" s="285"/>
      <c r="T28" s="161"/>
      <c r="U28" s="198"/>
      <c r="V28" s="18"/>
    </row>
    <row r="29" spans="1:22" x14ac:dyDescent="0.3">
      <c r="A29" s="441" t="s">
        <v>684</v>
      </c>
      <c r="B29" s="442"/>
      <c r="C29" s="443"/>
      <c r="D29" s="251">
        <v>0.01</v>
      </c>
      <c r="E29" s="249"/>
      <c r="F29" s="250" t="s">
        <v>659</v>
      </c>
    </row>
    <row r="30" spans="1:22" ht="14.4" customHeight="1" x14ac:dyDescent="0.3">
      <c r="A30" s="368"/>
      <c r="B30" s="368"/>
      <c r="C30" s="368"/>
      <c r="D30" s="367"/>
      <c r="E30" s="367"/>
      <c r="F30" s="248"/>
      <c r="G30" s="285"/>
      <c r="H30" s="285"/>
      <c r="I30" s="285"/>
      <c r="T30" s="161"/>
      <c r="U30" s="198"/>
      <c r="V30" s="18"/>
    </row>
    <row r="31" spans="1:22" x14ac:dyDescent="0.3">
      <c r="A31" s="437" t="s">
        <v>580</v>
      </c>
      <c r="B31" s="437"/>
      <c r="C31" s="437"/>
      <c r="D31" s="248"/>
      <c r="E31" s="248"/>
      <c r="F31" s="248"/>
      <c r="G31" s="285"/>
      <c r="H31" s="285"/>
      <c r="I31" s="285"/>
    </row>
    <row r="32" spans="1:22" x14ac:dyDescent="0.3">
      <c r="A32" s="429" t="s">
        <v>581</v>
      </c>
      <c r="B32" s="429"/>
      <c r="C32" s="429"/>
      <c r="D32" s="249">
        <v>2500</v>
      </c>
      <c r="E32" s="249" t="s">
        <v>582</v>
      </c>
      <c r="F32" s="250" t="s">
        <v>659</v>
      </c>
      <c r="G32" s="285"/>
      <c r="H32" s="285"/>
      <c r="I32" s="285"/>
    </row>
    <row r="33" spans="1:18" x14ac:dyDescent="0.3">
      <c r="A33" s="435" t="s">
        <v>583</v>
      </c>
      <c r="B33" s="435"/>
      <c r="C33" s="435"/>
      <c r="D33" s="350">
        <f>(D32/B6)/1000</f>
        <v>1.25</v>
      </c>
      <c r="E33" s="249" t="s">
        <v>584</v>
      </c>
      <c r="F33" s="250" t="s">
        <v>631</v>
      </c>
      <c r="G33" s="285"/>
      <c r="H33" s="285"/>
      <c r="I33" s="285"/>
    </row>
    <row r="34" spans="1:18" x14ac:dyDescent="0.3">
      <c r="A34" s="429" t="s">
        <v>585</v>
      </c>
      <c r="B34" s="429"/>
      <c r="C34" s="429"/>
      <c r="D34" s="249" t="s">
        <v>368</v>
      </c>
      <c r="E34" s="249"/>
      <c r="F34" s="250" t="s">
        <v>668</v>
      </c>
      <c r="G34" s="285"/>
      <c r="H34" s="285"/>
      <c r="I34" s="285"/>
    </row>
    <row r="35" spans="1:18" x14ac:dyDescent="0.3">
      <c r="A35" s="429" t="s">
        <v>586</v>
      </c>
      <c r="B35" s="429"/>
      <c r="C35" s="429"/>
      <c r="D35" s="251">
        <f>IF(D34="kyllä",40%,0%)</f>
        <v>0</v>
      </c>
      <c r="E35" s="249" t="s">
        <v>587</v>
      </c>
      <c r="F35" s="250"/>
      <c r="G35" s="285"/>
      <c r="H35" s="285"/>
      <c r="I35" s="285"/>
    </row>
    <row r="36" spans="1:18" x14ac:dyDescent="0.3">
      <c r="A36" s="435" t="s">
        <v>588</v>
      </c>
      <c r="B36" s="435"/>
      <c r="C36" s="435"/>
      <c r="D36" s="249">
        <f>D32-(D32*D35)</f>
        <v>2500</v>
      </c>
      <c r="E36" s="249" t="s">
        <v>582</v>
      </c>
      <c r="F36" s="248"/>
      <c r="G36" s="285"/>
      <c r="H36" s="285"/>
      <c r="I36" s="285"/>
    </row>
    <row r="37" spans="1:18" x14ac:dyDescent="0.3">
      <c r="A37" s="429" t="s">
        <v>481</v>
      </c>
      <c r="B37" s="429"/>
      <c r="C37" s="429"/>
      <c r="D37" s="249">
        <f>D36</f>
        <v>2500</v>
      </c>
      <c r="E37" s="249"/>
      <c r="F37" s="250" t="s">
        <v>589</v>
      </c>
      <c r="G37" s="285"/>
      <c r="H37" s="285"/>
      <c r="I37" s="285"/>
    </row>
    <row r="38" spans="1:18" x14ac:dyDescent="0.3">
      <c r="A38" s="429" t="s">
        <v>486</v>
      </c>
      <c r="B38" s="429"/>
      <c r="C38" s="429"/>
      <c r="D38" s="286">
        <f>D32/N50</f>
        <v>9.0642765982132492</v>
      </c>
      <c r="E38" s="249" t="s">
        <v>590</v>
      </c>
      <c r="F38" s="250" t="s">
        <v>669</v>
      </c>
      <c r="G38" s="285"/>
      <c r="H38" s="285"/>
      <c r="I38" s="285"/>
    </row>
    <row r="39" spans="1:18" x14ac:dyDescent="0.3">
      <c r="A39" s="429" t="s">
        <v>592</v>
      </c>
      <c r="B39" s="429"/>
      <c r="C39" s="429"/>
      <c r="D39" s="251">
        <v>0.02</v>
      </c>
      <c r="E39" s="249"/>
      <c r="F39" s="250" t="s">
        <v>591</v>
      </c>
      <c r="G39" s="285"/>
      <c r="H39" s="285"/>
      <c r="I39" s="285"/>
    </row>
    <row r="40" spans="1:18" x14ac:dyDescent="0.3">
      <c r="A40" s="435" t="s">
        <v>593</v>
      </c>
      <c r="B40" s="435"/>
      <c r="C40" s="435"/>
      <c r="D40" s="350">
        <f>D37/D38</f>
        <v>275.80799999999999</v>
      </c>
      <c r="E40" s="249" t="s">
        <v>487</v>
      </c>
      <c r="F40" s="250"/>
      <c r="G40" s="285"/>
      <c r="H40" s="285"/>
      <c r="I40" s="285"/>
    </row>
    <row r="41" spans="1:18" x14ac:dyDescent="0.3">
      <c r="A41" s="429" t="s">
        <v>594</v>
      </c>
      <c r="B41" s="429"/>
      <c r="C41" s="429"/>
      <c r="D41" s="249">
        <f>D37*8%</f>
        <v>200</v>
      </c>
      <c r="E41" s="249" t="s">
        <v>582</v>
      </c>
      <c r="F41" s="248" t="s">
        <v>595</v>
      </c>
      <c r="G41" s="285"/>
      <c r="H41" s="285"/>
      <c r="I41" s="285"/>
    </row>
    <row r="42" spans="1:18" x14ac:dyDescent="0.3">
      <c r="A42" s="429" t="s">
        <v>596</v>
      </c>
      <c r="B42" s="429"/>
      <c r="C42" s="429"/>
      <c r="D42" s="249">
        <v>0</v>
      </c>
      <c r="E42" s="249" t="s">
        <v>487</v>
      </c>
      <c r="F42" s="250" t="s">
        <v>591</v>
      </c>
      <c r="G42" s="285"/>
      <c r="H42" s="285"/>
      <c r="I42" s="285"/>
      <c r="J42" s="277"/>
      <c r="K42" s="277"/>
    </row>
    <row r="43" spans="1:18" x14ac:dyDescent="0.3">
      <c r="A43" s="429" t="s">
        <v>597</v>
      </c>
      <c r="B43" s="429"/>
      <c r="C43" s="429"/>
      <c r="D43" s="251">
        <v>0</v>
      </c>
      <c r="E43" s="249" t="s">
        <v>657</v>
      </c>
      <c r="F43" s="248"/>
      <c r="G43" s="285"/>
      <c r="H43" s="285"/>
      <c r="I43" s="285"/>
      <c r="J43" s="277"/>
      <c r="K43" s="277"/>
    </row>
    <row r="44" spans="1:18" x14ac:dyDescent="0.3">
      <c r="A44" s="430" t="s">
        <v>598</v>
      </c>
      <c r="B44" s="430"/>
      <c r="C44" s="430"/>
      <c r="D44" s="252">
        <v>25</v>
      </c>
      <c r="E44" s="249" t="s">
        <v>590</v>
      </c>
      <c r="F44" s="248"/>
      <c r="G44" s="285"/>
      <c r="H44" s="285"/>
      <c r="I44" s="285"/>
      <c r="J44" s="277"/>
      <c r="K44" s="277"/>
    </row>
    <row r="45" spans="1:18" x14ac:dyDescent="0.3">
      <c r="A45" s="430" t="s">
        <v>599</v>
      </c>
      <c r="B45" s="430"/>
      <c r="C45" s="430"/>
      <c r="D45" s="253">
        <v>-5.0000000000000001E-3</v>
      </c>
      <c r="E45" s="249" t="s">
        <v>600</v>
      </c>
      <c r="F45" s="248" t="s">
        <v>601</v>
      </c>
      <c r="G45" s="285"/>
      <c r="H45" s="285"/>
      <c r="I45" s="285"/>
      <c r="J45" s="277"/>
      <c r="K45" s="277"/>
    </row>
    <row r="46" spans="1:18" ht="15" thickBot="1" x14ac:dyDescent="0.35">
      <c r="J46" s="284"/>
      <c r="K46" s="284"/>
    </row>
    <row r="47" spans="1:18" ht="17.399999999999999" x14ac:dyDescent="0.3">
      <c r="A47" s="431" t="s">
        <v>602</v>
      </c>
      <c r="B47" s="432"/>
      <c r="C47" s="433" t="s">
        <v>603</v>
      </c>
      <c r="D47" s="434"/>
      <c r="E47" s="418"/>
      <c r="F47" s="421" t="s">
        <v>604</v>
      </c>
      <c r="G47" s="422"/>
      <c r="H47" s="422"/>
      <c r="I47" s="422"/>
      <c r="J47" s="422"/>
      <c r="K47" s="423"/>
      <c r="L47" s="418" t="s">
        <v>605</v>
      </c>
      <c r="M47" s="419"/>
      <c r="N47" s="420"/>
      <c r="O47" s="421" t="s">
        <v>606</v>
      </c>
      <c r="P47" s="422"/>
      <c r="Q47" s="422"/>
      <c r="R47" s="423"/>
    </row>
    <row r="48" spans="1:18" ht="87" customHeight="1" x14ac:dyDescent="0.3">
      <c r="A48" s="199" t="s">
        <v>478</v>
      </c>
      <c r="B48" s="200" t="s">
        <v>607</v>
      </c>
      <c r="C48" s="424" t="s">
        <v>608</v>
      </c>
      <c r="D48" s="425"/>
      <c r="E48" s="201" t="s">
        <v>609</v>
      </c>
      <c r="F48" s="199" t="s">
        <v>486</v>
      </c>
      <c r="G48" s="202" t="s">
        <v>610</v>
      </c>
      <c r="H48" s="202" t="s">
        <v>611</v>
      </c>
      <c r="I48" s="202" t="s">
        <v>612</v>
      </c>
      <c r="J48" s="202" t="s">
        <v>613</v>
      </c>
      <c r="K48" s="203" t="s">
        <v>614</v>
      </c>
      <c r="L48" s="204" t="s">
        <v>615</v>
      </c>
      <c r="M48" s="202" t="s">
        <v>616</v>
      </c>
      <c r="N48" s="205" t="s">
        <v>617</v>
      </c>
      <c r="O48" s="199" t="s">
        <v>618</v>
      </c>
      <c r="P48" s="202" t="s">
        <v>619</v>
      </c>
      <c r="Q48" s="202" t="s">
        <v>620</v>
      </c>
      <c r="R48" s="203" t="s">
        <v>621</v>
      </c>
    </row>
    <row r="49" spans="1:20" ht="15.6" x14ac:dyDescent="0.3">
      <c r="A49" s="206"/>
      <c r="B49" s="207"/>
      <c r="C49" s="426"/>
      <c r="D49" s="427"/>
      <c r="E49" s="208"/>
      <c r="F49" s="206">
        <v>0</v>
      </c>
      <c r="G49" s="209"/>
      <c r="H49" s="209"/>
      <c r="I49" s="209">
        <f>IF(D36&gt;0,(D36),"")</f>
        <v>2500</v>
      </c>
      <c r="J49" s="209">
        <v>0</v>
      </c>
      <c r="K49" s="210"/>
      <c r="L49" s="211"/>
      <c r="M49" s="209"/>
      <c r="N49" s="212"/>
      <c r="O49" s="213">
        <v>0</v>
      </c>
      <c r="P49" s="209"/>
      <c r="Q49" s="214"/>
      <c r="R49" s="215"/>
    </row>
    <row r="50" spans="1:20" ht="15.6" x14ac:dyDescent="0.3">
      <c r="A50" s="216">
        <f>IF(D44&gt;0,1,0)</f>
        <v>1</v>
      </c>
      <c r="B50" s="217">
        <f>C24</f>
        <v>1646.8240000000001</v>
      </c>
      <c r="C50" s="413">
        <f>IF(A50="","",D28/100)</f>
        <v>0.17</v>
      </c>
      <c r="D50" s="428"/>
      <c r="E50" s="218">
        <f>IF(A50="","",B50*C50)</f>
        <v>279.96008</v>
      </c>
      <c r="F50" s="216">
        <f>IF(OR($D$38="",$D$38=0),"",F49+1)</f>
        <v>1</v>
      </c>
      <c r="G50" s="219">
        <f>IF(F50="","",$D$40)</f>
        <v>275.80799999999999</v>
      </c>
      <c r="H50" s="219">
        <f>IF(F50="","",((I49*$D$39)))</f>
        <v>50</v>
      </c>
      <c r="I50" s="219">
        <f>IFERROR(ROUND(IF(F50="","",($I$49-SUM(G$49:G50))),2),"")</f>
        <v>2224.19</v>
      </c>
      <c r="J50" s="219">
        <f t="shared" ref="J50:J63" si="7">IF(A50="","",$D$42)</f>
        <v>0</v>
      </c>
      <c r="K50" s="220">
        <f>IFERROR(G50+H50+J50,J50)</f>
        <v>325.80799999999999</v>
      </c>
      <c r="L50" s="221">
        <f>D27/100</f>
        <v>0</v>
      </c>
      <c r="M50" s="219">
        <f>IF(A50="","",B50*$H$25*L50)</f>
        <v>0</v>
      </c>
      <c r="N50" s="222">
        <f>IF(A50="","",E50*(1-$H$25)+M50)</f>
        <v>275.80799999999999</v>
      </c>
      <c r="O50" s="223">
        <f>IF(A50="","",N50-K50)</f>
        <v>-50</v>
      </c>
      <c r="P50" s="219">
        <f>IF(A50="","",SUM($O$49:O50))</f>
        <v>-50</v>
      </c>
      <c r="Q50" s="224">
        <f>IF(A50="","",NPV($D$39,$O$49:O50))</f>
        <v>-48.058439061899264</v>
      </c>
      <c r="R50" s="225">
        <f>IF(Q50&lt;0,1,0)</f>
        <v>1</v>
      </c>
    </row>
    <row r="51" spans="1:20" ht="15.6" x14ac:dyDescent="0.3">
      <c r="A51" s="216">
        <f>IF($D$44&gt;A50,1+A50,0)</f>
        <v>2</v>
      </c>
      <c r="B51" s="217">
        <f>IF(A51="","",B50+B50*$D$45)</f>
        <v>1638.58988</v>
      </c>
      <c r="C51" s="412">
        <f>IF(A50="","",(1+$D$29)*C50)</f>
        <v>0.17170000000000002</v>
      </c>
      <c r="D51" s="413"/>
      <c r="E51" s="218">
        <f t="shared" ref="E51:E79" si="8">IF(A51="","",B51*C51)</f>
        <v>281.34588239600004</v>
      </c>
      <c r="F51" s="216">
        <f>IF(OR(I50="",I50=0,I50&lt;0),"",F50+1)</f>
        <v>2</v>
      </c>
      <c r="G51" s="219">
        <f t="shared" ref="G51:G79" si="9">IF(F51="","",$D$40)</f>
        <v>275.80799999999999</v>
      </c>
      <c r="H51" s="219">
        <f t="shared" ref="H51:H79" si="10">IF(F51="","",((I50*$D$39)))</f>
        <v>44.483800000000002</v>
      </c>
      <c r="I51" s="219">
        <f>IFERROR(ROUND(IF(F51="","",($I$49-SUM(G$49:G51))),2),"")</f>
        <v>1948.38</v>
      </c>
      <c r="J51" s="219">
        <f t="shared" si="7"/>
        <v>0</v>
      </c>
      <c r="K51" s="220">
        <f t="shared" ref="K51:K79" si="11">IFERROR(G51+H51+J51,J51)</f>
        <v>320.29179999999997</v>
      </c>
      <c r="L51" s="221">
        <f>IF(A50="","",(1+$D$29)*L50)</f>
        <v>0</v>
      </c>
      <c r="M51" s="219">
        <f t="shared" ref="M51:M79" si="12">IF(A51="","",B51*$H$25*L51)</f>
        <v>0</v>
      </c>
      <c r="N51" s="222">
        <f t="shared" ref="N51:N79" si="13">IF(A51="","",E51*(1-$H$25)+M51)</f>
        <v>277.17324960000002</v>
      </c>
      <c r="O51" s="223">
        <f>IF(A51="","",N51-K51)</f>
        <v>-43.118550399999947</v>
      </c>
      <c r="P51" s="219">
        <f>IF(A51="","",SUM($O$49:O51))</f>
        <v>-93.118550399999947</v>
      </c>
      <c r="Q51" s="224">
        <f>IF(A51="","",NPV($D$39,$O$49:O51))</f>
        <v>-88.690012137111609</v>
      </c>
      <c r="R51" s="225">
        <f t="shared" ref="R51:R79" si="14">IF(Q51&lt;0,1,0)</f>
        <v>1</v>
      </c>
    </row>
    <row r="52" spans="1:20" ht="15.6" x14ac:dyDescent="0.3">
      <c r="A52" s="216">
        <f t="shared" ref="A52:A73" si="15">IF($D$44&gt;A51,1+A51,0)</f>
        <v>3</v>
      </c>
      <c r="B52" s="217">
        <f t="shared" ref="B52:B79" si="16">IF(A52="","",B51+B51*$D$45)</f>
        <v>1630.3969305999999</v>
      </c>
      <c r="C52" s="412">
        <f t="shared" ref="C52:C75" si="17">IF(A51="","",(1+$D$29)*C51)</f>
        <v>0.17341700000000002</v>
      </c>
      <c r="D52" s="413"/>
      <c r="E52" s="218">
        <f t="shared" si="8"/>
        <v>282.73854451386023</v>
      </c>
      <c r="F52" s="216">
        <f t="shared" ref="F52:F79" si="18">IF(OR(I51="",I51=0,I51&lt;0),"",F51+1)</f>
        <v>3</v>
      </c>
      <c r="G52" s="219">
        <f>IF(F52="","",$D$40)</f>
        <v>275.80799999999999</v>
      </c>
      <c r="H52" s="219">
        <f t="shared" si="10"/>
        <v>38.967600000000004</v>
      </c>
      <c r="I52" s="219">
        <f>IFERROR(ROUND(IF(F52="","",($I$49-SUM(G$49:G52))),2),"")</f>
        <v>1672.58</v>
      </c>
      <c r="J52" s="219">
        <f t="shared" si="7"/>
        <v>0</v>
      </c>
      <c r="K52" s="220">
        <f>IFERROR(G52+H52+J52,J52)</f>
        <v>314.7756</v>
      </c>
      <c r="L52" s="221">
        <f t="shared" ref="L52:L75" si="19">IF(A51="","",(1+$D$29)*L51)</f>
        <v>0</v>
      </c>
      <c r="M52" s="219">
        <f t="shared" si="12"/>
        <v>0</v>
      </c>
      <c r="N52" s="222">
        <f>IF(A52="","",E52*(1-$H$25)+M52)</f>
        <v>278.54525718552003</v>
      </c>
      <c r="O52" s="223">
        <f>IF(A52="","",N52-K52)</f>
        <v>-36.230342814479968</v>
      </c>
      <c r="P52" s="219">
        <f>IF(A52="","",SUM($O$49:O52))</f>
        <v>-129.34889321447992</v>
      </c>
      <c r="Q52" s="224">
        <f>IF(A52="","",NPV($D$39,$O$49:O52))</f>
        <v>-122.16124862964152</v>
      </c>
      <c r="R52" s="225">
        <f t="shared" si="14"/>
        <v>1</v>
      </c>
    </row>
    <row r="53" spans="1:20" ht="15.6" x14ac:dyDescent="0.3">
      <c r="A53" s="216">
        <f t="shared" si="15"/>
        <v>4</v>
      </c>
      <c r="B53" s="217">
        <f t="shared" si="16"/>
        <v>1622.2449459469999</v>
      </c>
      <c r="C53" s="412">
        <f t="shared" si="17"/>
        <v>0.17515117000000002</v>
      </c>
      <c r="D53" s="413"/>
      <c r="E53" s="218">
        <f t="shared" si="8"/>
        <v>284.13810030920382</v>
      </c>
      <c r="F53" s="216">
        <f t="shared" si="18"/>
        <v>4</v>
      </c>
      <c r="G53" s="219">
        <f t="shared" si="9"/>
        <v>275.80799999999999</v>
      </c>
      <c r="H53" s="219">
        <f t="shared" si="10"/>
        <v>33.451599999999999</v>
      </c>
      <c r="I53" s="219">
        <f>IFERROR(ROUND(IF(F53="","",($I$49-SUM(G$49:G53))),2),"")</f>
        <v>1396.77</v>
      </c>
      <c r="J53" s="219">
        <f t="shared" si="7"/>
        <v>0</v>
      </c>
      <c r="K53" s="220">
        <f>IFERROR(G53+H53+J53,J53)</f>
        <v>309.25959999999998</v>
      </c>
      <c r="L53" s="221">
        <f t="shared" si="19"/>
        <v>0</v>
      </c>
      <c r="M53" s="219">
        <f t="shared" si="12"/>
        <v>0</v>
      </c>
      <c r="N53" s="222">
        <f t="shared" si="13"/>
        <v>279.92405620858835</v>
      </c>
      <c r="O53" s="223">
        <f t="shared" ref="O53:O79" si="20">IF(A53="","",N53-K53)</f>
        <v>-29.335543791411624</v>
      </c>
      <c r="P53" s="219">
        <f>IF(A53="","",SUM($O$49:O53))</f>
        <v>-158.68443700589154</v>
      </c>
      <c r="Q53" s="224">
        <f>IF(A53="","",NPV($D$39,$O$49:O53))</f>
        <v>-148.73135446463772</v>
      </c>
      <c r="R53" s="225">
        <f t="shared" si="14"/>
        <v>1</v>
      </c>
    </row>
    <row r="54" spans="1:20" ht="15.6" x14ac:dyDescent="0.3">
      <c r="A54" s="216">
        <f t="shared" si="15"/>
        <v>5</v>
      </c>
      <c r="B54" s="217">
        <f t="shared" si="16"/>
        <v>1614.1337212172648</v>
      </c>
      <c r="C54" s="412">
        <f t="shared" si="17"/>
        <v>0.17690268170000004</v>
      </c>
      <c r="D54" s="413"/>
      <c r="E54" s="218">
        <f t="shared" si="8"/>
        <v>285.54458390573438</v>
      </c>
      <c r="F54" s="216">
        <f t="shared" si="18"/>
        <v>5</v>
      </c>
      <c r="G54" s="219">
        <f t="shared" si="9"/>
        <v>275.80799999999999</v>
      </c>
      <c r="H54" s="219">
        <f t="shared" si="10"/>
        <v>27.935400000000001</v>
      </c>
      <c r="I54" s="219">
        <f>IFERROR(ROUND(IF(F54="","",($I$49-SUM(G$49:G54))),2),"")</f>
        <v>1120.96</v>
      </c>
      <c r="J54" s="219">
        <f t="shared" si="7"/>
        <v>0</v>
      </c>
      <c r="K54" s="220">
        <f t="shared" si="11"/>
        <v>303.74340000000001</v>
      </c>
      <c r="L54" s="221">
        <f t="shared" si="19"/>
        <v>0</v>
      </c>
      <c r="M54" s="219">
        <f t="shared" si="12"/>
        <v>0</v>
      </c>
      <c r="N54" s="222">
        <f t="shared" si="13"/>
        <v>281.30968028682088</v>
      </c>
      <c r="O54" s="223">
        <f t="shared" si="20"/>
        <v>-22.43371971317913</v>
      </c>
      <c r="P54" s="219">
        <f>IF(A54="","",SUM($O$49:O54))</f>
        <v>-181.11815671907067</v>
      </c>
      <c r="Q54" s="224">
        <f>IF(A54="","",NPV($D$39,$O$49:O54))</f>
        <v>-168.65185556592701</v>
      </c>
      <c r="R54" s="225">
        <f t="shared" si="14"/>
        <v>1</v>
      </c>
    </row>
    <row r="55" spans="1:20" ht="15.6" x14ac:dyDescent="0.3">
      <c r="A55" s="216">
        <f t="shared" si="15"/>
        <v>6</v>
      </c>
      <c r="B55" s="217">
        <f t="shared" si="16"/>
        <v>1606.0630526111784</v>
      </c>
      <c r="C55" s="412">
        <f t="shared" si="17"/>
        <v>0.17867170851700004</v>
      </c>
      <c r="D55" s="413"/>
      <c r="E55" s="218">
        <f t="shared" si="8"/>
        <v>286.95802959606777</v>
      </c>
      <c r="F55" s="216">
        <f t="shared" si="18"/>
        <v>6</v>
      </c>
      <c r="G55" s="219">
        <f t="shared" si="9"/>
        <v>275.80799999999999</v>
      </c>
      <c r="H55" s="219">
        <f t="shared" si="10"/>
        <v>22.4192</v>
      </c>
      <c r="I55" s="219">
        <f>IFERROR(ROUND(IF(F55="","",($I$49-SUM(G$49:G55))),2),"")</f>
        <v>845.15</v>
      </c>
      <c r="J55" s="219">
        <f t="shared" si="7"/>
        <v>0</v>
      </c>
      <c r="K55" s="220">
        <f t="shared" si="11"/>
        <v>298.22719999999998</v>
      </c>
      <c r="L55" s="221">
        <f t="shared" si="19"/>
        <v>0</v>
      </c>
      <c r="M55" s="219">
        <f t="shared" si="12"/>
        <v>0</v>
      </c>
      <c r="N55" s="222">
        <f t="shared" si="13"/>
        <v>282.70216320424061</v>
      </c>
      <c r="O55" s="223">
        <f t="shared" si="20"/>
        <v>-15.525036795759377</v>
      </c>
      <c r="P55" s="219">
        <f>IF(A55="","",SUM($O$49:O55))</f>
        <v>-196.64319351483005</v>
      </c>
      <c r="Q55" s="224">
        <f>IF(A55="","",NPV($D$39,$O$49:O55))</f>
        <v>-182.16733437183086</v>
      </c>
      <c r="R55" s="225">
        <f t="shared" si="14"/>
        <v>1</v>
      </c>
      <c r="T55" s="33"/>
    </row>
    <row r="56" spans="1:20" ht="15.6" x14ac:dyDescent="0.3">
      <c r="A56" s="216">
        <f t="shared" si="15"/>
        <v>7</v>
      </c>
      <c r="B56" s="217">
        <f t="shared" si="16"/>
        <v>1598.0327373481225</v>
      </c>
      <c r="C56" s="412">
        <f t="shared" si="17"/>
        <v>0.18045842560217004</v>
      </c>
      <c r="D56" s="413"/>
      <c r="E56" s="218">
        <f t="shared" si="8"/>
        <v>288.37847184256833</v>
      </c>
      <c r="F56" s="216">
        <f t="shared" si="18"/>
        <v>7</v>
      </c>
      <c r="G56" s="219">
        <f t="shared" si="9"/>
        <v>275.80799999999999</v>
      </c>
      <c r="H56" s="219">
        <f t="shared" si="10"/>
        <v>16.902999999999999</v>
      </c>
      <c r="I56" s="219">
        <f>IFERROR(ROUND(IF(F56="","",($I$49-SUM(G$49:G56))),2),"")</f>
        <v>569.34</v>
      </c>
      <c r="J56" s="219">
        <f t="shared" si="7"/>
        <v>0</v>
      </c>
      <c r="K56" s="220">
        <f t="shared" si="11"/>
        <v>292.71100000000001</v>
      </c>
      <c r="L56" s="221">
        <f t="shared" si="19"/>
        <v>0</v>
      </c>
      <c r="M56" s="219">
        <f t="shared" si="12"/>
        <v>0</v>
      </c>
      <c r="N56" s="222">
        <f t="shared" si="13"/>
        <v>284.10153891210166</v>
      </c>
      <c r="O56" s="223">
        <f t="shared" si="20"/>
        <v>-8.6094610878983531</v>
      </c>
      <c r="P56" s="219">
        <f>IF(A56="","",SUM($O$49:O56))</f>
        <v>-205.2526546027284</v>
      </c>
      <c r="Q56" s="224">
        <f>IF(A56="","",NPV($D$39,$O$49:O56))</f>
        <v>-189.51542651148807</v>
      </c>
      <c r="R56" s="225">
        <f t="shared" si="14"/>
        <v>1</v>
      </c>
    </row>
    <row r="57" spans="1:20" ht="15.6" x14ac:dyDescent="0.3">
      <c r="A57" s="216">
        <f t="shared" si="15"/>
        <v>8</v>
      </c>
      <c r="B57" s="217">
        <f t="shared" si="16"/>
        <v>1590.042573661382</v>
      </c>
      <c r="C57" s="412">
        <f t="shared" si="17"/>
        <v>0.18226300985819174</v>
      </c>
      <c r="D57" s="413"/>
      <c r="E57" s="218">
        <f t="shared" si="8"/>
        <v>289.80594527818903</v>
      </c>
      <c r="F57" s="216">
        <f t="shared" si="18"/>
        <v>8</v>
      </c>
      <c r="G57" s="219">
        <f t="shared" si="9"/>
        <v>275.80799999999999</v>
      </c>
      <c r="H57" s="219">
        <f t="shared" si="10"/>
        <v>11.386800000000001</v>
      </c>
      <c r="I57" s="219">
        <f>IFERROR(ROUND(IF(F57="","",($I$49-SUM(G$49:G57))),2),"")</f>
        <v>293.54000000000002</v>
      </c>
      <c r="J57" s="219">
        <f t="shared" si="7"/>
        <v>0</v>
      </c>
      <c r="K57" s="220">
        <f t="shared" si="11"/>
        <v>287.19479999999999</v>
      </c>
      <c r="L57" s="221">
        <f t="shared" si="19"/>
        <v>0</v>
      </c>
      <c r="M57" s="219">
        <f t="shared" si="12"/>
        <v>0</v>
      </c>
      <c r="N57" s="222">
        <f t="shared" si="13"/>
        <v>285.50784152971653</v>
      </c>
      <c r="O57" s="223">
        <f t="shared" si="20"/>
        <v>-1.6869584702834572</v>
      </c>
      <c r="P57" s="219">
        <f>IF(A57="","",SUM($O$49:O57))</f>
        <v>-206.93961307301186</v>
      </c>
      <c r="Q57" s="224">
        <f>IF(A57="","",NPV($D$39,$O$49:O57))</f>
        <v>-190.92699789480625</v>
      </c>
      <c r="R57" s="225">
        <f t="shared" si="14"/>
        <v>1</v>
      </c>
    </row>
    <row r="58" spans="1:20" ht="15.6" x14ac:dyDescent="0.3">
      <c r="A58" s="216">
        <f t="shared" si="15"/>
        <v>9</v>
      </c>
      <c r="B58" s="217">
        <f t="shared" si="16"/>
        <v>1582.0923607930752</v>
      </c>
      <c r="C58" s="412">
        <f t="shared" si="17"/>
        <v>0.18408563995677366</v>
      </c>
      <c r="D58" s="413"/>
      <c r="E58" s="218">
        <f t="shared" si="8"/>
        <v>291.24048470731606</v>
      </c>
      <c r="F58" s="216">
        <f t="shared" si="18"/>
        <v>9</v>
      </c>
      <c r="G58" s="219">
        <f t="shared" si="9"/>
        <v>275.80799999999999</v>
      </c>
      <c r="H58" s="219">
        <f t="shared" si="10"/>
        <v>5.8708000000000009</v>
      </c>
      <c r="I58" s="219">
        <f>IFERROR(ROUND(IF(F58="","",($I$49-SUM(G$49:G58))),2),"")</f>
        <v>17.73</v>
      </c>
      <c r="J58" s="219">
        <f t="shared" si="7"/>
        <v>0</v>
      </c>
      <c r="K58" s="220">
        <f t="shared" si="11"/>
        <v>281.67879999999997</v>
      </c>
      <c r="L58" s="221">
        <f t="shared" si="19"/>
        <v>0</v>
      </c>
      <c r="M58" s="219">
        <f t="shared" si="12"/>
        <v>0</v>
      </c>
      <c r="N58" s="222">
        <f t="shared" si="13"/>
        <v>286.92110534528859</v>
      </c>
      <c r="O58" s="223">
        <f t="shared" si="20"/>
        <v>5.2423053452886279</v>
      </c>
      <c r="P58" s="219">
        <f>IF(A58="","",SUM($O$49:O58))</f>
        <v>-201.69730772772323</v>
      </c>
      <c r="Q58" s="224">
        <f>IF(A58="","",NPV($D$39,$O$49:O58))</f>
        <v>-186.62648161737226</v>
      </c>
      <c r="R58" s="225">
        <f t="shared" si="14"/>
        <v>1</v>
      </c>
    </row>
    <row r="59" spans="1:20" ht="15.6" x14ac:dyDescent="0.3">
      <c r="A59" s="216">
        <f t="shared" si="15"/>
        <v>10</v>
      </c>
      <c r="B59" s="217">
        <f t="shared" si="16"/>
        <v>1574.1818989891099</v>
      </c>
      <c r="C59" s="412">
        <f t="shared" si="17"/>
        <v>0.1859264963563414</v>
      </c>
      <c r="D59" s="413"/>
      <c r="E59" s="218">
        <f t="shared" si="8"/>
        <v>292.68212510661732</v>
      </c>
      <c r="F59" s="216">
        <f t="shared" si="18"/>
        <v>10</v>
      </c>
      <c r="G59" s="219">
        <f t="shared" si="9"/>
        <v>275.80799999999999</v>
      </c>
      <c r="H59" s="219">
        <f t="shared" si="10"/>
        <v>0.35460000000000003</v>
      </c>
      <c r="I59" s="219">
        <f>IFERROR(ROUND(IF(F59="","",($I$49-SUM(G$49:G59))),2),"")</f>
        <v>-258.08</v>
      </c>
      <c r="J59" s="219">
        <f t="shared" si="7"/>
        <v>0</v>
      </c>
      <c r="K59" s="220">
        <f t="shared" si="11"/>
        <v>276.1626</v>
      </c>
      <c r="L59" s="221">
        <f t="shared" si="19"/>
        <v>0</v>
      </c>
      <c r="M59" s="219">
        <f t="shared" si="12"/>
        <v>0</v>
      </c>
      <c r="N59" s="222">
        <f t="shared" si="13"/>
        <v>288.34136481674784</v>
      </c>
      <c r="O59" s="223">
        <f>IF(A59="","",N59-K59)</f>
        <v>12.178764816747844</v>
      </c>
      <c r="P59" s="219">
        <f>IF(A59="","",SUM($O$49:O59))</f>
        <v>-189.51854291097538</v>
      </c>
      <c r="Q59" s="224">
        <f>IF(A59="","",NPV($D$39,$O$49:O59))</f>
        <v>-176.83155121345223</v>
      </c>
      <c r="R59" s="225">
        <f t="shared" si="14"/>
        <v>1</v>
      </c>
    </row>
    <row r="60" spans="1:20" ht="15.6" x14ac:dyDescent="0.3">
      <c r="A60" s="216">
        <f t="shared" si="15"/>
        <v>11</v>
      </c>
      <c r="B60" s="217">
        <f t="shared" si="16"/>
        <v>1566.3109894941642</v>
      </c>
      <c r="C60" s="412">
        <f t="shared" si="17"/>
        <v>0.18778576131990482</v>
      </c>
      <c r="D60" s="413"/>
      <c r="E60" s="218">
        <f t="shared" si="8"/>
        <v>294.13090162589509</v>
      </c>
      <c r="F60" s="216" t="str">
        <f t="shared" si="18"/>
        <v/>
      </c>
      <c r="G60" s="219" t="str">
        <f t="shared" si="9"/>
        <v/>
      </c>
      <c r="H60" s="219" t="str">
        <f t="shared" si="10"/>
        <v/>
      </c>
      <c r="I60" s="219" t="str">
        <f>IFERROR(ROUND(IF(F60="","",($I$49-SUM(G$49:G60))),2),"")</f>
        <v/>
      </c>
      <c r="J60" s="219">
        <f t="shared" si="7"/>
        <v>0</v>
      </c>
      <c r="K60" s="220">
        <f t="shared" si="11"/>
        <v>0</v>
      </c>
      <c r="L60" s="221">
        <f t="shared" si="19"/>
        <v>0</v>
      </c>
      <c r="M60" s="219">
        <f t="shared" si="12"/>
        <v>0</v>
      </c>
      <c r="N60" s="222">
        <f t="shared" si="13"/>
        <v>289.76865457259078</v>
      </c>
      <c r="O60" s="223">
        <f t="shared" si="20"/>
        <v>289.76865457259078</v>
      </c>
      <c r="P60" s="219">
        <f>IF(A60="","",SUM($O$49:O60))</f>
        <v>100.25011166161539</v>
      </c>
      <c r="Q60" s="224">
        <f>IF(A60="","",NPV($D$39,$O$49:O60))</f>
        <v>51.649055414513889</v>
      </c>
      <c r="R60" s="225">
        <f t="shared" si="14"/>
        <v>0</v>
      </c>
    </row>
    <row r="61" spans="1:20" ht="15.6" x14ac:dyDescent="0.3">
      <c r="A61" s="216">
        <f t="shared" si="15"/>
        <v>12</v>
      </c>
      <c r="B61" s="217">
        <f t="shared" si="16"/>
        <v>1558.4794345466935</v>
      </c>
      <c r="C61" s="412">
        <f t="shared" si="17"/>
        <v>0.18966361893310388</v>
      </c>
      <c r="D61" s="413"/>
      <c r="E61" s="218">
        <f t="shared" si="8"/>
        <v>295.58684958894327</v>
      </c>
      <c r="F61" s="216" t="str">
        <f t="shared" si="18"/>
        <v/>
      </c>
      <c r="G61" s="219" t="str">
        <f t="shared" si="9"/>
        <v/>
      </c>
      <c r="H61" s="219" t="str">
        <f t="shared" si="10"/>
        <v/>
      </c>
      <c r="I61" s="219" t="str">
        <f>IFERROR(ROUND(IF(F61="","",($I$49-SUM(G$49:G61))),2),"")</f>
        <v/>
      </c>
      <c r="J61" s="219">
        <f t="shared" si="7"/>
        <v>0</v>
      </c>
      <c r="K61" s="220">
        <f t="shared" si="11"/>
        <v>0</v>
      </c>
      <c r="L61" s="221">
        <f t="shared" si="19"/>
        <v>0</v>
      </c>
      <c r="M61" s="219">
        <f t="shared" si="12"/>
        <v>0</v>
      </c>
      <c r="N61" s="222">
        <f t="shared" si="13"/>
        <v>291.20300941272507</v>
      </c>
      <c r="O61" s="223">
        <f t="shared" si="20"/>
        <v>291.20300941272507</v>
      </c>
      <c r="P61" s="219">
        <f>IF(A61="","",SUM($O$49:O61))</f>
        <v>391.45312107434046</v>
      </c>
      <c r="Q61" s="224">
        <f>IF(A61="","",NPV($D$39,$O$49:O61))</f>
        <v>276.75845309174377</v>
      </c>
      <c r="R61" s="225">
        <f t="shared" si="14"/>
        <v>0</v>
      </c>
    </row>
    <row r="62" spans="1:20" ht="15.6" x14ac:dyDescent="0.3">
      <c r="A62" s="216">
        <f t="shared" si="15"/>
        <v>13</v>
      </c>
      <c r="B62" s="217">
        <f t="shared" si="16"/>
        <v>1550.68703737396</v>
      </c>
      <c r="C62" s="412">
        <f t="shared" si="17"/>
        <v>0.19156025512243491</v>
      </c>
      <c r="D62" s="413"/>
      <c r="E62" s="218">
        <f t="shared" si="8"/>
        <v>297.05000449440854</v>
      </c>
      <c r="F62" s="216" t="str">
        <f t="shared" si="18"/>
        <v/>
      </c>
      <c r="G62" s="219" t="str">
        <f t="shared" si="9"/>
        <v/>
      </c>
      <c r="H62" s="219" t="str">
        <f t="shared" si="10"/>
        <v/>
      </c>
      <c r="I62" s="219" t="str">
        <f>IFERROR(ROUND(IF(F62="","",($I$49-SUM(G$49:G62))),2),"")</f>
        <v/>
      </c>
      <c r="J62" s="219">
        <f t="shared" si="7"/>
        <v>0</v>
      </c>
      <c r="K62" s="220">
        <f t="shared" si="11"/>
        <v>0</v>
      </c>
      <c r="L62" s="221">
        <f t="shared" si="19"/>
        <v>0</v>
      </c>
      <c r="M62" s="219">
        <f t="shared" si="12"/>
        <v>0</v>
      </c>
      <c r="N62" s="222">
        <f>IF(A62="","",E62*(1-$H$25)+M62)</f>
        <v>292.6444643093181</v>
      </c>
      <c r="O62" s="223">
        <f t="shared" si="20"/>
        <v>292.6444643093181</v>
      </c>
      <c r="P62" s="219">
        <f>IF(A62="","",SUM($O$49:O62))</f>
        <v>684.0975853836585</v>
      </c>
      <c r="Q62" s="224">
        <f>IF(A62="","",NPV($D$39,$O$49:O62))</f>
        <v>498.54638367579503</v>
      </c>
      <c r="R62" s="225">
        <f t="shared" si="14"/>
        <v>0</v>
      </c>
    </row>
    <row r="63" spans="1:20" ht="15.6" x14ac:dyDescent="0.3">
      <c r="A63" s="216">
        <f t="shared" si="15"/>
        <v>14</v>
      </c>
      <c r="B63" s="217">
        <f t="shared" si="16"/>
        <v>1542.9336021870902</v>
      </c>
      <c r="C63" s="412">
        <f t="shared" si="17"/>
        <v>0.19347585767365927</v>
      </c>
      <c r="D63" s="413"/>
      <c r="E63" s="218">
        <f t="shared" si="8"/>
        <v>298.52040201665585</v>
      </c>
      <c r="F63" s="216" t="str">
        <f t="shared" si="18"/>
        <v/>
      </c>
      <c r="G63" s="219" t="str">
        <f t="shared" si="9"/>
        <v/>
      </c>
      <c r="H63" s="219" t="str">
        <f t="shared" si="10"/>
        <v/>
      </c>
      <c r="I63" s="219" t="str">
        <f>IFERROR(ROUND(IF(F63="","",($I$49-SUM(G$49:G63))),2),"")</f>
        <v/>
      </c>
      <c r="J63" s="219">
        <f t="shared" si="7"/>
        <v>0</v>
      </c>
      <c r="K63" s="220">
        <f t="shared" si="11"/>
        <v>0</v>
      </c>
      <c r="L63" s="221">
        <f t="shared" si="19"/>
        <v>0</v>
      </c>
      <c r="M63" s="219">
        <f t="shared" si="12"/>
        <v>0</v>
      </c>
      <c r="N63" s="222">
        <f t="shared" si="13"/>
        <v>294.09305440764916</v>
      </c>
      <c r="O63" s="223">
        <f t="shared" si="20"/>
        <v>294.09305440764916</v>
      </c>
      <c r="P63" s="219">
        <f>IF(A63="","",SUM($O$49:O63))</f>
        <v>978.1906397913076</v>
      </c>
      <c r="Q63" s="224">
        <f>IF(A63="","",NPV($D$39,$O$49:O63))</f>
        <v>717.06185508799319</v>
      </c>
      <c r="R63" s="225">
        <f t="shared" si="14"/>
        <v>0</v>
      </c>
    </row>
    <row r="64" spans="1:20" ht="15.6" x14ac:dyDescent="0.3">
      <c r="A64" s="216">
        <f t="shared" si="15"/>
        <v>15</v>
      </c>
      <c r="B64" s="217">
        <f t="shared" si="16"/>
        <v>1535.2189341761548</v>
      </c>
      <c r="C64" s="412">
        <f t="shared" si="17"/>
        <v>0.19541061625039585</v>
      </c>
      <c r="D64" s="413"/>
      <c r="E64" s="218">
        <f t="shared" si="8"/>
        <v>299.99807800663831</v>
      </c>
      <c r="F64" s="216" t="str">
        <f t="shared" si="18"/>
        <v/>
      </c>
      <c r="G64" s="219" t="str">
        <f t="shared" si="9"/>
        <v/>
      </c>
      <c r="H64" s="219" t="str">
        <f t="shared" si="10"/>
        <v/>
      </c>
      <c r="I64" s="219" t="str">
        <f>IFERROR(ROUND(IF(F64="","",($I$49-SUM(G$49:G64))),2),"")</f>
        <v/>
      </c>
      <c r="J64" s="219">
        <f>IF(A64="","",$D$42+(D41))</f>
        <v>200</v>
      </c>
      <c r="K64" s="220">
        <f t="shared" si="11"/>
        <v>200</v>
      </c>
      <c r="L64" s="221">
        <f t="shared" si="19"/>
        <v>0</v>
      </c>
      <c r="M64" s="219">
        <f t="shared" si="12"/>
        <v>0</v>
      </c>
      <c r="N64" s="222">
        <f t="shared" si="13"/>
        <v>295.54881502696708</v>
      </c>
      <c r="O64" s="223">
        <f t="shared" si="20"/>
        <v>95.548815026967077</v>
      </c>
      <c r="P64" s="219">
        <f>IF(A64="","",SUM($O$49:O64))</f>
        <v>1073.7394548182747</v>
      </c>
      <c r="Q64" s="224">
        <f>IF(A64="","",NPV($D$39,$O$49:O64))</f>
        <v>786.66398939974306</v>
      </c>
      <c r="R64" s="225">
        <f t="shared" si="14"/>
        <v>0</v>
      </c>
    </row>
    <row r="65" spans="1:19" ht="15.6" x14ac:dyDescent="0.3">
      <c r="A65" s="216">
        <f t="shared" si="15"/>
        <v>16</v>
      </c>
      <c r="B65" s="217">
        <f t="shared" si="16"/>
        <v>1527.5428395052741</v>
      </c>
      <c r="C65" s="412">
        <f t="shared" si="17"/>
        <v>0.19736472241289982</v>
      </c>
      <c r="D65" s="413"/>
      <c r="E65" s="218">
        <f t="shared" si="8"/>
        <v>301.48306849277117</v>
      </c>
      <c r="F65" s="216" t="str">
        <f t="shared" si="18"/>
        <v/>
      </c>
      <c r="G65" s="219" t="str">
        <f t="shared" si="9"/>
        <v/>
      </c>
      <c r="H65" s="219" t="str">
        <f t="shared" si="10"/>
        <v/>
      </c>
      <c r="I65" s="219" t="str">
        <f>IFERROR(ROUND(IF(F65="","",($I$49-SUM(G$49:G65))),2),"")</f>
        <v/>
      </c>
      <c r="J65" s="219">
        <f t="shared" ref="J65:J79" si="21">IF(A65="","",$D$42)</f>
        <v>0</v>
      </c>
      <c r="K65" s="220">
        <f t="shared" si="11"/>
        <v>0</v>
      </c>
      <c r="L65" s="221">
        <f t="shared" si="19"/>
        <v>0</v>
      </c>
      <c r="M65" s="219">
        <f t="shared" si="12"/>
        <v>0</v>
      </c>
      <c r="N65" s="222">
        <f t="shared" si="13"/>
        <v>297.01178166135054</v>
      </c>
      <c r="O65" s="223">
        <f t="shared" si="20"/>
        <v>297.01178166135054</v>
      </c>
      <c r="P65" s="219">
        <f>IF(A65="","",SUM($O$49:O65))</f>
        <v>1370.7512364796253</v>
      </c>
      <c r="Q65" s="224">
        <f>IF(A65="","",NPV($D$39,$O$49:O65))</f>
        <v>998.7786844732891</v>
      </c>
      <c r="R65" s="225">
        <f t="shared" si="14"/>
        <v>0</v>
      </c>
    </row>
    <row r="66" spans="1:19" ht="15.6" x14ac:dyDescent="0.3">
      <c r="A66" s="216">
        <f t="shared" si="15"/>
        <v>17</v>
      </c>
      <c r="B66" s="217">
        <f t="shared" si="16"/>
        <v>1519.9051253077478</v>
      </c>
      <c r="C66" s="412">
        <f t="shared" si="17"/>
        <v>0.19933836963702881</v>
      </c>
      <c r="D66" s="413"/>
      <c r="E66" s="218">
        <f t="shared" si="8"/>
        <v>302.97540968181039</v>
      </c>
      <c r="F66" s="216" t="str">
        <f t="shared" si="18"/>
        <v/>
      </c>
      <c r="G66" s="219" t="str">
        <f t="shared" si="9"/>
        <v/>
      </c>
      <c r="H66" s="219" t="str">
        <f t="shared" si="10"/>
        <v/>
      </c>
      <c r="I66" s="219" t="str">
        <f>IFERROR(ROUND(IF(F66="","",($I$49-SUM(G$49:G66))),2),"")</f>
        <v/>
      </c>
      <c r="J66" s="219">
        <f t="shared" si="21"/>
        <v>0</v>
      </c>
      <c r="K66" s="220">
        <f t="shared" si="11"/>
        <v>0</v>
      </c>
      <c r="L66" s="221">
        <f t="shared" si="19"/>
        <v>0</v>
      </c>
      <c r="M66" s="219">
        <f t="shared" si="12"/>
        <v>0</v>
      </c>
      <c r="N66" s="222">
        <f t="shared" si="13"/>
        <v>298.48198998057421</v>
      </c>
      <c r="O66" s="223">
        <f t="shared" si="20"/>
        <v>298.48198998057421</v>
      </c>
      <c r="P66" s="219">
        <f>IF(A66="","",SUM($O$49:O66))</f>
        <v>1669.2332264601996</v>
      </c>
      <c r="Q66" s="224">
        <f>IF(A66="","",NPV($D$39,$O$49:O66))</f>
        <v>1207.7636480165831</v>
      </c>
      <c r="R66" s="225">
        <f t="shared" si="14"/>
        <v>0</v>
      </c>
    </row>
    <row r="67" spans="1:19" ht="15.6" x14ac:dyDescent="0.3">
      <c r="A67" s="216">
        <f t="shared" si="15"/>
        <v>18</v>
      </c>
      <c r="B67" s="217">
        <f t="shared" si="16"/>
        <v>1512.3055996812091</v>
      </c>
      <c r="C67" s="412">
        <f t="shared" si="17"/>
        <v>0.20133175333339909</v>
      </c>
      <c r="D67" s="413"/>
      <c r="E67" s="218">
        <f t="shared" si="8"/>
        <v>304.47513795973538</v>
      </c>
      <c r="F67" s="216" t="str">
        <f t="shared" si="18"/>
        <v/>
      </c>
      <c r="G67" s="219" t="str">
        <f t="shared" si="9"/>
        <v/>
      </c>
      <c r="H67" s="219" t="str">
        <f t="shared" si="10"/>
        <v/>
      </c>
      <c r="I67" s="219" t="str">
        <f>IFERROR(ROUND(IF(F67="","",($I$49-SUM(G$49:G67))),2),"")</f>
        <v/>
      </c>
      <c r="J67" s="219">
        <f t="shared" si="21"/>
        <v>0</v>
      </c>
      <c r="K67" s="220">
        <f t="shared" si="11"/>
        <v>0</v>
      </c>
      <c r="L67" s="221">
        <f t="shared" si="19"/>
        <v>0</v>
      </c>
      <c r="M67" s="219">
        <f t="shared" si="12"/>
        <v>0</v>
      </c>
      <c r="N67" s="222">
        <f t="shared" si="13"/>
        <v>299.95947583097808</v>
      </c>
      <c r="O67" s="223">
        <f t="shared" si="20"/>
        <v>299.95947583097808</v>
      </c>
      <c r="P67" s="219">
        <f>IF(A67="","",SUM($O$49:O67))</f>
        <v>1969.1927022911777</v>
      </c>
      <c r="Q67" s="224">
        <f>IF(A67="","",NPV($D$39,$O$49:O67))</f>
        <v>1413.6650589115179</v>
      </c>
      <c r="R67" s="225">
        <f t="shared" si="14"/>
        <v>0</v>
      </c>
    </row>
    <row r="68" spans="1:19" ht="15.6" x14ac:dyDescent="0.3">
      <c r="A68" s="216">
        <f t="shared" si="15"/>
        <v>19</v>
      </c>
      <c r="B68" s="217">
        <f t="shared" si="16"/>
        <v>1504.744071682803</v>
      </c>
      <c r="C68" s="412">
        <f t="shared" si="17"/>
        <v>0.20334507086673309</v>
      </c>
      <c r="D68" s="413"/>
      <c r="E68" s="218">
        <f t="shared" si="8"/>
        <v>305.98228989263606</v>
      </c>
      <c r="F68" s="216" t="str">
        <f t="shared" si="18"/>
        <v/>
      </c>
      <c r="G68" s="219" t="str">
        <f t="shared" si="9"/>
        <v/>
      </c>
      <c r="H68" s="219" t="str">
        <f t="shared" si="10"/>
        <v/>
      </c>
      <c r="I68" s="219" t="str">
        <f>IFERROR(ROUND(IF(F68="","",($I$49-SUM(G$49:G68))),2),"")</f>
        <v/>
      </c>
      <c r="J68" s="219">
        <f t="shared" si="21"/>
        <v>0</v>
      </c>
      <c r="K68" s="220">
        <f t="shared" si="11"/>
        <v>0</v>
      </c>
      <c r="L68" s="221">
        <f t="shared" si="19"/>
        <v>0</v>
      </c>
      <c r="M68" s="219">
        <f t="shared" si="12"/>
        <v>0</v>
      </c>
      <c r="N68" s="222">
        <f t="shared" si="13"/>
        <v>301.44427523634141</v>
      </c>
      <c r="O68" s="223">
        <f t="shared" si="20"/>
        <v>301.44427523634141</v>
      </c>
      <c r="P68" s="219">
        <f>IF(A68="","",SUM($O$49:O68))</f>
        <v>2270.6369775275193</v>
      </c>
      <c r="Q68" s="224">
        <f>IF(A68="","",NPV($D$39,$O$49:O68))</f>
        <v>1616.528414675111</v>
      </c>
      <c r="R68" s="225">
        <f t="shared" si="14"/>
        <v>0</v>
      </c>
    </row>
    <row r="69" spans="1:19" ht="15.6" x14ac:dyDescent="0.3">
      <c r="A69" s="216">
        <f t="shared" si="15"/>
        <v>20</v>
      </c>
      <c r="B69" s="217">
        <f t="shared" si="16"/>
        <v>1497.220351324389</v>
      </c>
      <c r="C69" s="412">
        <f t="shared" si="17"/>
        <v>0.20537852157540043</v>
      </c>
      <c r="D69" s="413"/>
      <c r="E69" s="218">
        <f t="shared" si="8"/>
        <v>307.49690222760461</v>
      </c>
      <c r="F69" s="216" t="str">
        <f t="shared" si="18"/>
        <v/>
      </c>
      <c r="G69" s="219" t="str">
        <f t="shared" si="9"/>
        <v/>
      </c>
      <c r="H69" s="219" t="str">
        <f t="shared" si="10"/>
        <v/>
      </c>
      <c r="I69" s="219" t="str">
        <f>IFERROR(ROUND(IF(F69="","",($I$49-SUM(G$49:G69))),2),"")</f>
        <v/>
      </c>
      <c r="J69" s="219">
        <f t="shared" si="21"/>
        <v>0</v>
      </c>
      <c r="K69" s="220">
        <f t="shared" si="11"/>
        <v>0</v>
      </c>
      <c r="L69" s="221">
        <f t="shared" si="19"/>
        <v>0</v>
      </c>
      <c r="M69" s="219">
        <f t="shared" si="12"/>
        <v>0</v>
      </c>
      <c r="N69" s="222">
        <f t="shared" si="13"/>
        <v>302.93642439876135</v>
      </c>
      <c r="O69" s="223">
        <f t="shared" si="20"/>
        <v>302.93642439876135</v>
      </c>
      <c r="P69" s="219">
        <f>IF(A69="","",SUM($O$49:O69))</f>
        <v>2573.5734019262809</v>
      </c>
      <c r="Q69" s="224">
        <f>IF(A69="","",NPV($D$39,$O$49:O69))</f>
        <v>1816.3985415129762</v>
      </c>
      <c r="R69" s="225">
        <f t="shared" si="14"/>
        <v>0</v>
      </c>
    </row>
    <row r="70" spans="1:19" ht="15.6" x14ac:dyDescent="0.3">
      <c r="A70" s="216">
        <f t="shared" si="15"/>
        <v>21</v>
      </c>
      <c r="B70" s="217">
        <f t="shared" si="16"/>
        <v>1489.7342495677669</v>
      </c>
      <c r="C70" s="412">
        <f t="shared" si="17"/>
        <v>0.20743230679115443</v>
      </c>
      <c r="D70" s="413"/>
      <c r="E70" s="218">
        <f t="shared" si="8"/>
        <v>309.01901189363127</v>
      </c>
      <c r="F70" s="216" t="str">
        <f t="shared" si="18"/>
        <v/>
      </c>
      <c r="G70" s="219" t="str">
        <f t="shared" si="9"/>
        <v/>
      </c>
      <c r="H70" s="219" t="str">
        <f t="shared" si="10"/>
        <v/>
      </c>
      <c r="I70" s="219" t="str">
        <f>IFERROR(ROUND(IF(F70="","",($I$49-SUM(G$49:G70))),2),"")</f>
        <v/>
      </c>
      <c r="J70" s="219">
        <f t="shared" si="21"/>
        <v>0</v>
      </c>
      <c r="K70" s="220">
        <f t="shared" si="11"/>
        <v>0</v>
      </c>
      <c r="L70" s="221">
        <f t="shared" si="19"/>
        <v>0</v>
      </c>
      <c r="M70" s="219">
        <f t="shared" si="12"/>
        <v>0</v>
      </c>
      <c r="N70" s="222">
        <f t="shared" si="13"/>
        <v>304.4359596995352</v>
      </c>
      <c r="O70" s="223">
        <f t="shared" si="20"/>
        <v>304.4359596995352</v>
      </c>
      <c r="P70" s="219">
        <f>IF(A70="","",SUM($O$49:O70))</f>
        <v>2878.0093616258159</v>
      </c>
      <c r="Q70" s="224">
        <f>IF(A70="","",NPV($D$39,$O$49:O70))</f>
        <v>2013.3196042244595</v>
      </c>
      <c r="R70" s="225">
        <f t="shared" si="14"/>
        <v>0</v>
      </c>
    </row>
    <row r="71" spans="1:19" ht="15.6" x14ac:dyDescent="0.3">
      <c r="A71" s="216">
        <f t="shared" si="15"/>
        <v>22</v>
      </c>
      <c r="B71" s="217">
        <f t="shared" si="16"/>
        <v>1482.2855783199282</v>
      </c>
      <c r="C71" s="412">
        <f t="shared" si="17"/>
        <v>0.20950662985906598</v>
      </c>
      <c r="D71" s="413"/>
      <c r="E71" s="218">
        <f t="shared" si="8"/>
        <v>310.54865600250474</v>
      </c>
      <c r="F71" s="216" t="str">
        <f t="shared" si="18"/>
        <v/>
      </c>
      <c r="G71" s="219" t="str">
        <f t="shared" si="9"/>
        <v/>
      </c>
      <c r="H71" s="219" t="str">
        <f t="shared" si="10"/>
        <v/>
      </c>
      <c r="I71" s="219" t="str">
        <f>IFERROR(ROUND(IF(F71="","",($I$49-SUM(G$49:G71))),2),"")</f>
        <v/>
      </c>
      <c r="J71" s="219">
        <f t="shared" si="21"/>
        <v>0</v>
      </c>
      <c r="K71" s="220">
        <f t="shared" si="11"/>
        <v>0</v>
      </c>
      <c r="L71" s="221">
        <f t="shared" si="19"/>
        <v>0</v>
      </c>
      <c r="M71" s="219">
        <f t="shared" si="12"/>
        <v>0</v>
      </c>
      <c r="N71" s="222">
        <f t="shared" si="13"/>
        <v>305.94291770004793</v>
      </c>
      <c r="O71" s="223">
        <f t="shared" si="20"/>
        <v>305.94291770004793</v>
      </c>
      <c r="P71" s="219">
        <f>IF(A71="","",SUM($O$49:O71))</f>
        <v>3183.9522793258639</v>
      </c>
      <c r="Q71" s="224">
        <f>IF(A71="","",NPV($D$39,$O$49:O71))</f>
        <v>2207.3351159616213</v>
      </c>
      <c r="R71" s="225">
        <f t="shared" si="14"/>
        <v>0</v>
      </c>
    </row>
    <row r="72" spans="1:19" ht="15.6" x14ac:dyDescent="0.3">
      <c r="A72" s="216">
        <f t="shared" si="15"/>
        <v>23</v>
      </c>
      <c r="B72" s="217">
        <f t="shared" si="16"/>
        <v>1474.8741504283284</v>
      </c>
      <c r="C72" s="412">
        <f t="shared" si="17"/>
        <v>0.21160169615765664</v>
      </c>
      <c r="D72" s="413"/>
      <c r="E72" s="218">
        <f t="shared" si="8"/>
        <v>312.08587184971714</v>
      </c>
      <c r="F72" s="216" t="str">
        <f t="shared" si="18"/>
        <v/>
      </c>
      <c r="G72" s="219" t="str">
        <f t="shared" si="9"/>
        <v/>
      </c>
      <c r="H72" s="219" t="str">
        <f t="shared" si="10"/>
        <v/>
      </c>
      <c r="I72" s="219" t="str">
        <f>IFERROR(ROUND(IF(F72="","",($I$49-SUM(G$49:G72))),2),"")</f>
        <v/>
      </c>
      <c r="J72" s="219">
        <f t="shared" si="21"/>
        <v>0</v>
      </c>
      <c r="K72" s="220">
        <f t="shared" si="11"/>
        <v>0</v>
      </c>
      <c r="L72" s="221">
        <f t="shared" si="19"/>
        <v>0</v>
      </c>
      <c r="M72" s="219">
        <f t="shared" si="12"/>
        <v>0</v>
      </c>
      <c r="N72" s="222">
        <f t="shared" si="13"/>
        <v>307.45733514266317</v>
      </c>
      <c r="O72" s="223">
        <f t="shared" si="20"/>
        <v>307.45733514266317</v>
      </c>
      <c r="P72" s="219">
        <f>IF(A72="","",SUM($O$49:O72))</f>
        <v>3491.4096144685273</v>
      </c>
      <c r="Q72" s="224">
        <f>IF(A72="","",NPV($D$39,$O$49:O72))</f>
        <v>2398.4879478442303</v>
      </c>
      <c r="R72" s="225">
        <f t="shared" si="14"/>
        <v>0</v>
      </c>
    </row>
    <row r="73" spans="1:19" ht="15.6" x14ac:dyDescent="0.3">
      <c r="A73" s="216">
        <f t="shared" si="15"/>
        <v>24</v>
      </c>
      <c r="B73" s="217">
        <f t="shared" si="16"/>
        <v>1467.4997796761868</v>
      </c>
      <c r="C73" s="412">
        <f t="shared" si="17"/>
        <v>0.21371771311923321</v>
      </c>
      <c r="D73" s="413"/>
      <c r="E73" s="218">
        <f t="shared" si="8"/>
        <v>313.63069691537322</v>
      </c>
      <c r="F73" s="216" t="str">
        <f t="shared" si="18"/>
        <v/>
      </c>
      <c r="G73" s="219" t="str">
        <f t="shared" si="9"/>
        <v/>
      </c>
      <c r="H73" s="219" t="str">
        <f t="shared" si="10"/>
        <v/>
      </c>
      <c r="I73" s="219" t="str">
        <f>IFERROR(ROUND(IF(F73="","",($I$49-SUM(G$49:G73))),2),"")</f>
        <v/>
      </c>
      <c r="J73" s="219">
        <f t="shared" si="21"/>
        <v>0</v>
      </c>
      <c r="K73" s="220">
        <f t="shared" si="11"/>
        <v>0</v>
      </c>
      <c r="L73" s="221">
        <f t="shared" si="19"/>
        <v>0</v>
      </c>
      <c r="M73" s="219">
        <f t="shared" si="12"/>
        <v>0</v>
      </c>
      <c r="N73" s="222">
        <f t="shared" si="13"/>
        <v>308.9792489516193</v>
      </c>
      <c r="O73" s="223">
        <f t="shared" si="20"/>
        <v>308.9792489516193</v>
      </c>
      <c r="P73" s="219">
        <f>IF(A73="","",SUM($O$49:O73))</f>
        <v>3800.3888634201467</v>
      </c>
      <c r="Q73" s="224">
        <f>IF(A73="","",NPV($D$39,$O$49:O73))</f>
        <v>2586.8203384328845</v>
      </c>
      <c r="R73" s="225">
        <f t="shared" si="14"/>
        <v>0</v>
      </c>
    </row>
    <row r="74" spans="1:19" ht="15.6" x14ac:dyDescent="0.3">
      <c r="A74" s="216">
        <f>IF($D$44&gt;A73,1+A73,0)</f>
        <v>25</v>
      </c>
      <c r="B74" s="217">
        <f t="shared" si="16"/>
        <v>1460.1622807778058</v>
      </c>
      <c r="C74" s="412">
        <f t="shared" si="17"/>
        <v>0.21585489025042554</v>
      </c>
      <c r="D74" s="413"/>
      <c r="E74" s="218">
        <f t="shared" si="8"/>
        <v>315.18316886510428</v>
      </c>
      <c r="F74" s="216" t="str">
        <f t="shared" si="18"/>
        <v/>
      </c>
      <c r="G74" s="219" t="str">
        <f t="shared" si="9"/>
        <v/>
      </c>
      <c r="H74" s="219" t="str">
        <f t="shared" si="10"/>
        <v/>
      </c>
      <c r="I74" s="219" t="str">
        <f>IFERROR(ROUND(IF(F74="","",($I$49-SUM(G$49:G74))),2),"")</f>
        <v/>
      </c>
      <c r="J74" s="219">
        <f t="shared" si="21"/>
        <v>0</v>
      </c>
      <c r="K74" s="220">
        <f t="shared" si="11"/>
        <v>0</v>
      </c>
      <c r="L74" s="221">
        <f t="shared" si="19"/>
        <v>0</v>
      </c>
      <c r="M74" s="219">
        <f t="shared" si="12"/>
        <v>0</v>
      </c>
      <c r="N74" s="222">
        <f t="shared" si="13"/>
        <v>310.50869623392981</v>
      </c>
      <c r="O74" s="223">
        <f t="shared" si="20"/>
        <v>310.50869623392981</v>
      </c>
      <c r="P74" s="219">
        <f>IF(A74="","",SUM($O$49:O74))</f>
        <v>4110.8975596540768</v>
      </c>
      <c r="Q74" s="224">
        <f>IF(A74="","",NPV($D$39,$O$49:O74))</f>
        <v>2772.3739030623628</v>
      </c>
      <c r="R74" s="225">
        <f t="shared" si="14"/>
        <v>0</v>
      </c>
    </row>
    <row r="75" spans="1:19" ht="15.6" x14ac:dyDescent="0.3">
      <c r="A75" s="216" t="str">
        <f>IF($D$44&gt;A74,1+A74,"")</f>
        <v/>
      </c>
      <c r="B75" s="217" t="str">
        <f t="shared" si="16"/>
        <v/>
      </c>
      <c r="C75" s="412">
        <f t="shared" si="17"/>
        <v>0.21801343915292978</v>
      </c>
      <c r="D75" s="413"/>
      <c r="E75" s="218" t="str">
        <f t="shared" si="8"/>
        <v/>
      </c>
      <c r="F75" s="216" t="str">
        <f t="shared" si="18"/>
        <v/>
      </c>
      <c r="G75" s="219" t="str">
        <f t="shared" si="9"/>
        <v/>
      </c>
      <c r="H75" s="219" t="str">
        <f t="shared" si="10"/>
        <v/>
      </c>
      <c r="I75" s="219" t="str">
        <f>IFERROR(ROUND(IF(F75="","",($I$49-SUM(G$49:G75))),2),"")</f>
        <v/>
      </c>
      <c r="J75" s="219" t="str">
        <f t="shared" si="21"/>
        <v/>
      </c>
      <c r="K75" s="220" t="str">
        <f t="shared" si="11"/>
        <v/>
      </c>
      <c r="L75" s="221">
        <f t="shared" si="19"/>
        <v>0</v>
      </c>
      <c r="M75" s="219" t="str">
        <f t="shared" si="12"/>
        <v/>
      </c>
      <c r="N75" s="222" t="str">
        <f t="shared" si="13"/>
        <v/>
      </c>
      <c r="O75" s="223" t="str">
        <f t="shared" si="20"/>
        <v/>
      </c>
      <c r="P75" s="219" t="str">
        <f t="shared" ref="P75:P79" si="22">IF(A75="","",O75)</f>
        <v/>
      </c>
      <c r="Q75" s="224" t="str">
        <f>IF(A75="","",NPV($D$39,$O$49:O75))</f>
        <v/>
      </c>
      <c r="R75" s="225">
        <f t="shared" si="14"/>
        <v>0</v>
      </c>
    </row>
    <row r="76" spans="1:19" ht="15.6" x14ac:dyDescent="0.3">
      <c r="A76" s="216" t="str">
        <f t="shared" ref="A76:A79" si="23">IF($D$44&gt;A75,1+A75,"")</f>
        <v/>
      </c>
      <c r="B76" s="217" t="str">
        <f t="shared" si="16"/>
        <v/>
      </c>
      <c r="C76" s="414" t="str">
        <f>IF(A75="","",(1+[1]tuntikulutus!$F$29)*C75)</f>
        <v/>
      </c>
      <c r="D76" s="415"/>
      <c r="E76" s="218" t="str">
        <f t="shared" si="8"/>
        <v/>
      </c>
      <c r="F76" s="216" t="str">
        <f t="shared" si="18"/>
        <v/>
      </c>
      <c r="G76" s="219" t="str">
        <f t="shared" si="9"/>
        <v/>
      </c>
      <c r="H76" s="219" t="str">
        <f t="shared" si="10"/>
        <v/>
      </c>
      <c r="I76" s="219" t="str">
        <f>IFERROR(ROUND(IF(F76="","",($I$49-SUM(G$49:G76))),2),"")</f>
        <v/>
      </c>
      <c r="J76" s="219" t="str">
        <f t="shared" si="21"/>
        <v/>
      </c>
      <c r="K76" s="220" t="str">
        <f t="shared" si="11"/>
        <v/>
      </c>
      <c r="L76" s="226" t="str">
        <f>IF(A75="","",(1+[1]tuntikulutus!$F$29)*L75)</f>
        <v/>
      </c>
      <c r="M76" s="219" t="str">
        <f t="shared" si="12"/>
        <v/>
      </c>
      <c r="N76" s="222" t="str">
        <f t="shared" si="13"/>
        <v/>
      </c>
      <c r="O76" s="223" t="str">
        <f t="shared" si="20"/>
        <v/>
      </c>
      <c r="P76" s="219" t="str">
        <f t="shared" si="22"/>
        <v/>
      </c>
      <c r="Q76" s="224" t="str">
        <f>IF(A76="","",NPV($D$39,$O$49:O76))</f>
        <v/>
      </c>
      <c r="R76" s="225">
        <f t="shared" si="14"/>
        <v>0</v>
      </c>
    </row>
    <row r="77" spans="1:19" ht="15.6" x14ac:dyDescent="0.3">
      <c r="A77" s="216" t="str">
        <f t="shared" si="23"/>
        <v/>
      </c>
      <c r="B77" s="217" t="str">
        <f t="shared" si="16"/>
        <v/>
      </c>
      <c r="C77" s="414" t="str">
        <f>IF(A76="","",(1+[1]tuntikulutus!$F$29)*C76)</f>
        <v/>
      </c>
      <c r="D77" s="415"/>
      <c r="E77" s="218" t="str">
        <f t="shared" si="8"/>
        <v/>
      </c>
      <c r="F77" s="216" t="str">
        <f t="shared" si="18"/>
        <v/>
      </c>
      <c r="G77" s="219" t="str">
        <f t="shared" si="9"/>
        <v/>
      </c>
      <c r="H77" s="219" t="str">
        <f t="shared" si="10"/>
        <v/>
      </c>
      <c r="I77" s="219" t="str">
        <f>IFERROR(ROUND(IF(F77="","",($I$49-SUM(G$49:G77))),2),"")</f>
        <v/>
      </c>
      <c r="J77" s="219" t="str">
        <f t="shared" si="21"/>
        <v/>
      </c>
      <c r="K77" s="220" t="str">
        <f t="shared" si="11"/>
        <v/>
      </c>
      <c r="L77" s="226" t="str">
        <f>IF(A76="","",(1+[1]tuntikulutus!$F$29)*L76)</f>
        <v/>
      </c>
      <c r="M77" s="219" t="str">
        <f t="shared" si="12"/>
        <v/>
      </c>
      <c r="N77" s="222" t="str">
        <f t="shared" si="13"/>
        <v/>
      </c>
      <c r="O77" s="223" t="str">
        <f t="shared" si="20"/>
        <v/>
      </c>
      <c r="P77" s="219" t="str">
        <f t="shared" si="22"/>
        <v/>
      </c>
      <c r="Q77" s="224" t="str">
        <f>IF(A77="","",NPV($D$39,$O$49:O77))</f>
        <v/>
      </c>
      <c r="R77" s="225">
        <f t="shared" si="14"/>
        <v>0</v>
      </c>
    </row>
    <row r="78" spans="1:19" ht="15.6" x14ac:dyDescent="0.3">
      <c r="A78" s="216" t="str">
        <f t="shared" si="23"/>
        <v/>
      </c>
      <c r="B78" s="217" t="str">
        <f t="shared" si="16"/>
        <v/>
      </c>
      <c r="C78" s="414" t="str">
        <f>IF(A77="","",(1+[1]tuntikulutus!$F$29)*C77)</f>
        <v/>
      </c>
      <c r="D78" s="415"/>
      <c r="E78" s="218" t="str">
        <f t="shared" si="8"/>
        <v/>
      </c>
      <c r="F78" s="216" t="str">
        <f t="shared" si="18"/>
        <v/>
      </c>
      <c r="G78" s="219" t="str">
        <f t="shared" si="9"/>
        <v/>
      </c>
      <c r="H78" s="219" t="str">
        <f t="shared" si="10"/>
        <v/>
      </c>
      <c r="I78" s="219" t="str">
        <f>IFERROR(ROUND(IF(F78="","",($I$49-SUM(G$49:G78))),2),"")</f>
        <v/>
      </c>
      <c r="J78" s="219" t="str">
        <f t="shared" si="21"/>
        <v/>
      </c>
      <c r="K78" s="220" t="str">
        <f t="shared" si="11"/>
        <v/>
      </c>
      <c r="L78" s="226" t="str">
        <f>IF(A77="","",(1+[1]tuntikulutus!$F$29)*L77)</f>
        <v/>
      </c>
      <c r="M78" s="219" t="str">
        <f t="shared" si="12"/>
        <v/>
      </c>
      <c r="N78" s="222" t="str">
        <f t="shared" si="13"/>
        <v/>
      </c>
      <c r="O78" s="223" t="str">
        <f t="shared" si="20"/>
        <v/>
      </c>
      <c r="P78" s="219" t="str">
        <f t="shared" si="22"/>
        <v/>
      </c>
      <c r="Q78" s="224" t="str">
        <f>IF(A78="","",NPV($D$39,$O$49:O78))</f>
        <v/>
      </c>
      <c r="R78" s="225">
        <f t="shared" si="14"/>
        <v>0</v>
      </c>
    </row>
    <row r="79" spans="1:19" ht="15.6" x14ac:dyDescent="0.3">
      <c r="A79" s="216" t="str">
        <f t="shared" si="23"/>
        <v/>
      </c>
      <c r="B79" s="217" t="str">
        <f t="shared" si="16"/>
        <v/>
      </c>
      <c r="C79" s="414" t="str">
        <f>IF(A78="","",(1+[1]tuntikulutus!$F$29)*C78)</f>
        <v/>
      </c>
      <c r="D79" s="415"/>
      <c r="E79" s="218" t="str">
        <f t="shared" si="8"/>
        <v/>
      </c>
      <c r="F79" s="216" t="str">
        <f t="shared" si="18"/>
        <v/>
      </c>
      <c r="G79" s="219" t="str">
        <f t="shared" si="9"/>
        <v/>
      </c>
      <c r="H79" s="219" t="str">
        <f t="shared" si="10"/>
        <v/>
      </c>
      <c r="I79" s="219" t="str">
        <f>IFERROR(ROUND(IF(F79="","",($I$49-SUM(G$49:G79))),2),"")</f>
        <v/>
      </c>
      <c r="J79" s="219" t="str">
        <f t="shared" si="21"/>
        <v/>
      </c>
      <c r="K79" s="220" t="str">
        <f t="shared" si="11"/>
        <v/>
      </c>
      <c r="L79" s="226" t="str">
        <f>IF(A78="","",(1+[1]tuntikulutus!$F$29)*L78)</f>
        <v/>
      </c>
      <c r="M79" s="219" t="str">
        <f t="shared" si="12"/>
        <v/>
      </c>
      <c r="N79" s="222" t="str">
        <f t="shared" si="13"/>
        <v/>
      </c>
      <c r="O79" s="223" t="str">
        <f t="shared" si="20"/>
        <v/>
      </c>
      <c r="P79" s="219" t="str">
        <f t="shared" si="22"/>
        <v/>
      </c>
      <c r="Q79" s="224" t="str">
        <f>IF(A79="","",NPV($D$39,$O$49:O79))</f>
        <v/>
      </c>
      <c r="R79" s="225">
        <f t="shared" si="14"/>
        <v>0</v>
      </c>
    </row>
    <row r="80" spans="1:19" ht="16.2" thickBot="1" x14ac:dyDescent="0.35">
      <c r="A80" s="227" t="str">
        <f t="shared" ref="A80" si="24">IF($G$37&gt;A79,1+A79,"")</f>
        <v/>
      </c>
      <c r="B80" s="228">
        <f>SUM(B50:B79)</f>
        <v>38792.506125216634</v>
      </c>
      <c r="C80" s="416"/>
      <c r="D80" s="417"/>
      <c r="E80" s="229"/>
      <c r="F80" s="230"/>
      <c r="G80" s="231"/>
      <c r="H80" s="232">
        <f>SUM(H50:H59)</f>
        <v>251.77280000000002</v>
      </c>
      <c r="I80" s="231"/>
      <c r="J80" s="233" t="str">
        <f>IF(A80="","",$G$36)</f>
        <v/>
      </c>
      <c r="K80" s="234">
        <f>SUM(K50:K79)</f>
        <v>3209.8528000000006</v>
      </c>
      <c r="L80" s="235"/>
      <c r="M80" s="236"/>
      <c r="N80" s="237"/>
      <c r="O80" s="230"/>
      <c r="P80" s="238"/>
      <c r="Q80" s="239">
        <f>LARGE(Q50:Q79,1)</f>
        <v>2772.3739030623628</v>
      </c>
      <c r="R80" s="240">
        <f>SUM(R50:R79)</f>
        <v>10</v>
      </c>
      <c r="S80" t="s">
        <v>622</v>
      </c>
    </row>
    <row r="81" spans="5:22" x14ac:dyDescent="0.3">
      <c r="E81" s="411"/>
      <c r="F81" s="411"/>
      <c r="T81" s="194"/>
      <c r="U81" s="194"/>
      <c r="V81" s="194"/>
    </row>
    <row r="82" spans="5:22" x14ac:dyDescent="0.3">
      <c r="P82" t="s">
        <v>494</v>
      </c>
      <c r="Q82" s="159">
        <f>IRR(O50:O74)</f>
        <v>0.25501926361487004</v>
      </c>
      <c r="R82" t="s">
        <v>623</v>
      </c>
      <c r="T82" s="194"/>
      <c r="U82" s="194"/>
      <c r="V82" s="194"/>
    </row>
  </sheetData>
  <mergeCells count="59">
    <mergeCell ref="A2:B2"/>
    <mergeCell ref="A26:C26"/>
    <mergeCell ref="A27:C27"/>
    <mergeCell ref="A37:C37"/>
    <mergeCell ref="A31:C31"/>
    <mergeCell ref="A32:C32"/>
    <mergeCell ref="A33:C33"/>
    <mergeCell ref="A34:C34"/>
    <mergeCell ref="A35:C35"/>
    <mergeCell ref="A36:C36"/>
    <mergeCell ref="A28:C28"/>
    <mergeCell ref="A29:C29"/>
    <mergeCell ref="A38:C38"/>
    <mergeCell ref="A39:C39"/>
    <mergeCell ref="A40:C40"/>
    <mergeCell ref="A41:C41"/>
    <mergeCell ref="A42:C42"/>
    <mergeCell ref="A43:C43"/>
    <mergeCell ref="A44:C44"/>
    <mergeCell ref="A45:C45"/>
    <mergeCell ref="A47:B47"/>
    <mergeCell ref="C47:E47"/>
    <mergeCell ref="C57:D57"/>
    <mergeCell ref="L47:N47"/>
    <mergeCell ref="O47:R47"/>
    <mergeCell ref="C48:D48"/>
    <mergeCell ref="C49:D49"/>
    <mergeCell ref="C50:D50"/>
    <mergeCell ref="C51:D51"/>
    <mergeCell ref="F47:K47"/>
    <mergeCell ref="C52:D52"/>
    <mergeCell ref="C53:D53"/>
    <mergeCell ref="C54:D54"/>
    <mergeCell ref="C55:D55"/>
    <mergeCell ref="C56:D56"/>
    <mergeCell ref="C69:D69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E81:F81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668A2-A0E5-4F3F-9196-57DFBD9C10F7}">
  <sheetPr codeName="Sheet1"/>
  <dimension ref="B1:H28"/>
  <sheetViews>
    <sheetView showGridLines="0" workbookViewId="0">
      <selection activeCell="N17" sqref="N17"/>
    </sheetView>
  </sheetViews>
  <sheetFormatPr defaultRowHeight="14.4" x14ac:dyDescent="0.3"/>
  <sheetData>
    <row r="1" spans="2:8" x14ac:dyDescent="0.3">
      <c r="B1" t="s">
        <v>666</v>
      </c>
      <c r="H1" t="s">
        <v>667</v>
      </c>
    </row>
    <row r="2" spans="2:8" x14ac:dyDescent="0.3">
      <c r="B2" t="s">
        <v>0</v>
      </c>
      <c r="C2">
        <v>100</v>
      </c>
      <c r="D2" t="s">
        <v>1</v>
      </c>
    </row>
    <row r="5" spans="2:8" x14ac:dyDescent="0.3">
      <c r="E5" s="15" t="s">
        <v>2</v>
      </c>
    </row>
    <row r="6" spans="2:8" x14ac:dyDescent="0.3">
      <c r="F6" t="s">
        <v>3</v>
      </c>
    </row>
    <row r="7" spans="2:8" x14ac:dyDescent="0.3">
      <c r="F7" t="s">
        <v>4</v>
      </c>
    </row>
    <row r="10" spans="2:8" x14ac:dyDescent="0.3">
      <c r="C10" t="s">
        <v>2</v>
      </c>
    </row>
    <row r="12" spans="2:8" x14ac:dyDescent="0.3">
      <c r="E12" t="s">
        <v>5</v>
      </c>
      <c r="G12" t="s">
        <v>6</v>
      </c>
      <c r="H12" t="s">
        <v>7</v>
      </c>
    </row>
    <row r="21" spans="2:2" x14ac:dyDescent="0.3">
      <c r="B21" t="s">
        <v>8</v>
      </c>
    </row>
    <row r="22" spans="2:2" x14ac:dyDescent="0.3">
      <c r="B22" t="s">
        <v>9</v>
      </c>
    </row>
    <row r="24" spans="2:2" x14ac:dyDescent="0.3">
      <c r="B24" t="s">
        <v>10</v>
      </c>
    </row>
    <row r="26" spans="2:2" x14ac:dyDescent="0.3">
      <c r="B26" t="s">
        <v>11</v>
      </c>
    </row>
    <row r="27" spans="2:2" x14ac:dyDescent="0.3">
      <c r="B27" t="s">
        <v>12</v>
      </c>
    </row>
    <row r="28" spans="2:2" x14ac:dyDescent="0.3">
      <c r="B28" t="s">
        <v>13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w E A A B Q S w M E F A A C A A g A o X v 2 W N 7 Y j o 6 n A A A A 9 w A A A B I A H A B D b 2 5 m a W c v U G F j a 2 F n Z S 5 4 b W w g o h g A K K A U A A A A A A A A A A A A A A A A A A A A A A A A A A A A h Y / R C o I w G I V f R X b v N h d G y O + 8 C I I g I Q i i 2 z G X j n S G m 8 1 3 6 6 J H 6 h U y y u q u y / O d 7 + K c + / U G 2 d D U w U V 1 V r c m R R G m K F B G t o U 2 Z Y p 6 d w w X K O O w F f I k S h W M s r H J Y I s U V c 6 d E 0 K 8 9 9 j P c N u V h F E a k U O + 2 c l K N Q J 9 Z P 1 f D r W x T h i p E I f 9 a w x n O G I U x / E 8 x h T I R C H X 5 m u w c f C z / Y G w 7 G v X d 4 o f d b h a A 5 k i k P c J / g B Q S w M E F A A C A A g A o X v 2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F 7 9 l i M c l t a 8 w E A A A k H A A A T A B w A R m 9 y b X V s Y X M v U 2 V j d G l v b j E u b S C i G A A o o B Q A A A A A A A A A A A A A A A A A A A A A A A A A A A D l k s t u 2 k A U h v d I v M P I b E A i y J e Q 0 l Y s I q A K g r a o I Z U i j K w T f A g j j 2 e s u a S 1 E G + T N 8 m L d b h W b e w F U l a t N 5 a + O f 7 1 n / G n c K G p 4 O R 2 / / Y + V i v V i l q B x J j U n C k 8 M H R d j 9 Q n 8 I j E a z i k S x j q a o X Y Z / z y v I r R k k m 8 b O 1 G V f 0 T Z d j q C a 6 R a 1 V 3 e h / C O 4 V S h Y L D Y i W p 0 p S D H 7 h h X / z g T E C s w u / A N U C U 5 U r n G e U c 9 G U 7 m n 6 7 9 1 3 P b 2 X x 0 m k 0 y W y Y Z g x T m w n b l l 3 H a w X O v N H c 9 z i 1 7 B 4 q r W f D u H s q 7 8 w 3 s z 5 o m B / G a 8 4 9 Q 8 5 R 5 5 o I r W g i 9 H a t 3 X h r I k U q N N 4 g x L Z 2 / Z h h K x x O r h m 7 X Q A D q b p a G j y V q D m f j d G o t S E 6 z 7 O M / s 6 c S u B q K W T a E 8 y k f J p n 9 q K K W j T X a 2 d k T A J G U a d p c z I k G n / q T Z O s n c m R c J M + o N y x k S i A w 6 J B K I C D A j Y u S h w X M f M X 3 D S q F c r L L q P I q 8 A 9 e B V c N U j d f z u 5 v n L s S / q E 5 I L c v D y n i J x A m o L W 9 p Z l g p A I w 0 z 4 5 X o 0 G o Q D j v K R g h a x / d 4 k C n n E A G J q V U N F U 5 R J Q q O L 6 M 7 + k i i j W w O Z O E d L u 2 S R l o H 7 W s v z B D r m b K X Z c + + V M 3 v u l / C g h F + W 8 H Y J v y r h 7 0 p 4 p 4 S / / 4 O f 7 5 P f O f r U / n d 9 s k s W + e R 3 3 s Y n v / O f + v Q L U E s B A i 0 A F A A C A A g A o X v 2 W N 7 Y j o 6 n A A A A 9 w A A A B I A A A A A A A A A A A A A A A A A A A A A A E N v b m Z p Z y 9 Q Y W N r Y W d l L n h t b F B L A Q I t A B Q A A g A I A K F 7 9 l g P y u m r p A A A A O k A A A A T A A A A A A A A A A A A A A A A A P M A A A B b Q 2 9 u d G V u d F 9 U e X B l c 1 0 u e G 1 s U E s B A i 0 A F A A C A A g A o X v 2 W I x y W 1 r z A Q A A C Q c A A B M A A A A A A A A A A A A A A A A A 5 A E A A E Z v c m 1 1 b G F z L 1 N l Y 3 R p b 2 4 x L m 1 Q S w U G A A A A A A M A A w D C A A A A J A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4 S Y A A A A A A A C / J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U Y W J s Z T A w M V 9 f U G F n Z V 8 x I i A v P j x F b n R y e S B U e X B l P S J G a W x s Z W R D b 2 1 w b G V 0 Z V J l c 3 V s d F R v V 2 9 y a 3 N o Z W V 0 I i B W Y W x 1 Z T 0 i b D E i I C 8 + P E V u d H J 5 I F R 5 c G U 9 I k Z p b G x D b 3 V u d C I g V m F s d W U 9 I m w x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C 0 y N 1 Q w N z o y O T o 0 N S 4 y N D A 4 M T M 0 W i I g L z 4 8 R W 5 0 c n k g V H l w Z T 0 i R m l s b E N v b H V t b l R 5 c G V z I i B W Y W x 1 Z T 0 i c 0 J n V U Z C U V V G Q l F V R i I g L z 4 8 R W 5 0 c n k g V H l w Z T 0 i R m l s b E N v b H V t b k 5 h b W V z I i B W Y W x 1 Z T 0 i c 1 s m c X V v d D t L d X V r Y X V z a S Z x d W 9 0 O y w m c X V v d D t Q J n F 1 b 3 Q 7 L C Z x d W 9 0 O 0 t v J n F 1 b 3 Q 7 L C Z x d W 9 0 O 0 k m c X V v d D s s J n F 1 b 3 Q 7 S 2 E m c X V v d D s s J n F 1 b 3 Q 7 R S Z x d W 9 0 O y w m c X V v d D t M b y Z x d W 9 0 O y w m c X V v d D t M J n F 1 b 3 Q 7 L C Z x d W 9 0 O 0 x 1 J n F 1 b 3 Q 7 X S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S A o U G F n Z S A x K S 9 B d X R v U m V t b 3 Z l Z E N v b H V t b n M x L n t L d X V r Y X V z a S w w f S Z x d W 9 0 O y w m c X V v d D t T Z W N 0 a W 9 u M S 9 U Y W J s Z T A w M S A o U G F n Z S A x K S 9 B d X R v U m V t b 3 Z l Z E N v b H V t b n M x L n t Q L D F 9 J n F 1 b 3 Q 7 L C Z x d W 9 0 O 1 N l Y 3 R p b 2 4 x L 1 R h Y m x l M D A x I C h Q Y W d l I D E p L 0 F 1 d G 9 S Z W 1 v d m V k Q 2 9 s d W 1 u c z E u e 0 t v L D J 9 J n F 1 b 3 Q 7 L C Z x d W 9 0 O 1 N l Y 3 R p b 2 4 x L 1 R h Y m x l M D A x I C h Q Y W d l I D E p L 0 F 1 d G 9 S Z W 1 v d m V k Q 2 9 s d W 1 u c z E u e 0 k s M 3 0 m c X V v d D s s J n F 1 b 3 Q 7 U 2 V j d G l v b j E v V G F i b G U w M D E g K F B h Z 2 U g M S k v Q X V 0 b 1 J l b W 9 2 Z W R D b 2 x 1 b W 5 z M S 5 7 S 2 E s N H 0 m c X V v d D s s J n F 1 b 3 Q 7 U 2 V j d G l v b j E v V G F i b G U w M D E g K F B h Z 2 U g M S k v Q X V 0 b 1 J l b W 9 2 Z W R D b 2 x 1 b W 5 z M S 5 7 R S w 1 f S Z x d W 9 0 O y w m c X V v d D t T Z W N 0 a W 9 u M S 9 U Y W J s Z T A w M S A o U G F n Z S A x K S 9 B d X R v U m V t b 3 Z l Z E N v b H V t b n M x L n t M b y w 2 f S Z x d W 9 0 O y w m c X V v d D t T Z W N 0 a W 9 u M S 9 U Y W J s Z T A w M S A o U G F n Z S A x K S 9 B d X R v U m V t b 3 Z l Z E N v b H V t b n M x L n t M L D d 9 J n F 1 b 3 Q 7 L C Z x d W 9 0 O 1 N l Y 3 R p b 2 4 x L 1 R h Y m x l M D A x I C h Q Y W d l I D E p L 0 F 1 d G 9 S Z W 1 v d m V k Q 2 9 s d W 1 u c z E u e 0 x 1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1 R h Y m x l M D A x I C h Q Y W d l I D E p L 0 F 1 d G 9 S Z W 1 v d m V k Q 2 9 s d W 1 u c z E u e 0 t 1 d W t h d X N p L D B 9 J n F 1 b 3 Q 7 L C Z x d W 9 0 O 1 N l Y 3 R p b 2 4 x L 1 R h Y m x l M D A x I C h Q Y W d l I D E p L 0 F 1 d G 9 S Z W 1 v d m V k Q 2 9 s d W 1 u c z E u e 1 A s M X 0 m c X V v d D s s J n F 1 b 3 Q 7 U 2 V j d G l v b j E v V G F i b G U w M D E g K F B h Z 2 U g M S k v Q X V 0 b 1 J l b W 9 2 Z W R D b 2 x 1 b W 5 z M S 5 7 S 2 8 s M n 0 m c X V v d D s s J n F 1 b 3 Q 7 U 2 V j d G l v b j E v V G F i b G U w M D E g K F B h Z 2 U g M S k v Q X V 0 b 1 J l b W 9 2 Z W R D b 2 x 1 b W 5 z M S 5 7 S S w z f S Z x d W 9 0 O y w m c X V v d D t T Z W N 0 a W 9 u M S 9 U Y W J s Z T A w M S A o U G F n Z S A x K S 9 B d X R v U m V t b 3 Z l Z E N v b H V t b n M x L n t L Y S w 0 f S Z x d W 9 0 O y w m c X V v d D t T Z W N 0 a W 9 u M S 9 U Y W J s Z T A w M S A o U G F n Z S A x K S 9 B d X R v U m V t b 3 Z l Z E N v b H V t b n M x L n t F L D V 9 J n F 1 b 3 Q 7 L C Z x d W 9 0 O 1 N l Y 3 R p b 2 4 x L 1 R h Y m x l M D A x I C h Q Y W d l I D E p L 0 F 1 d G 9 S Z W 1 v d m V k Q 2 9 s d W 1 u c z E u e 0 x v L D Z 9 J n F 1 b 3 Q 7 L C Z x d W 9 0 O 1 N l Y 3 R p b 2 4 x L 1 R h Y m x l M D A x I C h Q Y W d l I D E p L 0 F 1 d G 9 S Z W 1 v d m V k Q 2 9 s d W 1 u c z E u e 0 w s N 3 0 m c X V v d D s s J n F 1 b 3 Q 7 U 2 V j d G l v b j E v V G F i b G U w M D E g K F B h Z 2 U g M S k v Q X V 0 b 1 J l b W 9 2 Z W R D b 2 x 1 b W 5 z M S 5 7 T H U s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M J U M z J U E 0 a G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L 1 R h Y m x l M D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L 1 l s Z W 5 u Z X R 5 d C U y M G 9 0 c 2 l r b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M S U y M C h Q Y W d l J T I w M S k v T X V 1 d G V 0 d H U l M j B 0 e X l w c G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z M C U y M C h Q Y W d l J T I w M z Y p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V G F i b G U w M z B f X 1 B h Z 2 V f M z Y 4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U e X B l c y I g V m F s d W U 9 I n N C Z 1 l H Q m d Z R 0 J n W U c i I C 8 + P E V u d H J 5 I F R 5 c G U 9 I k Z p b G x M Y X N 0 V X B k Y X R l Z C I g V m F s d W U 9 I m Q y M D I 0 L T A x L T A 5 V D A 3 O j A y O j Q 1 L j Q 4 N z U 0 O T Z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N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1 0 i I C 8 + P E V u d H J 5 I F R 5 c G U 9 I k F k Z G V k V G 9 E Y X R h T W 9 k Z W w i I F Z h b H V l P S J s M C I g L z 4 8 R W 5 0 c n k g V H l w Z T 0 i T G 9 h Z G V k V G 9 B b m F s e X N p c 1 N l c n Z p Y 2 V z I i B W Y W x 1 Z T 0 i b D A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M w I C h Q Y W d l I D M 2 K S 9 B d X R v U m V t b 3 Z l Z E N v b H V t b n M x L n t D b 2 x 1 b W 4 x L D B 9 J n F 1 b 3 Q 7 L C Z x d W 9 0 O 1 N l Y 3 R p b 2 4 x L 1 R h Y m x l M D M w I C h Q Y W d l I D M 2 K S 9 B d X R v U m V t b 3 Z l Z E N v b H V t b n M x L n t D b 2 x 1 b W 4 y L D F 9 J n F 1 b 3 Q 7 L C Z x d W 9 0 O 1 N l Y 3 R p b 2 4 x L 1 R h Y m x l M D M w I C h Q Y W d l I D M 2 K S 9 B d X R v U m V t b 3 Z l Z E N v b H V t b n M x L n t D b 2 x 1 b W 4 z L D J 9 J n F 1 b 3 Q 7 L C Z x d W 9 0 O 1 N l Y 3 R p b 2 4 x L 1 R h Y m x l M D M w I C h Q Y W d l I D M 2 K S 9 B d X R v U m V t b 3 Z l Z E N v b H V t b n M x L n t D b 2 x 1 b W 4 0 L D N 9 J n F 1 b 3 Q 7 L C Z x d W 9 0 O 1 N l Y 3 R p b 2 4 x L 1 R h Y m x l M D M w I C h Q Y W d l I D M 2 K S 9 B d X R v U m V t b 3 Z l Z E N v b H V t b n M x L n t D b 2 x 1 b W 4 1 L D R 9 J n F 1 b 3 Q 7 L C Z x d W 9 0 O 1 N l Y 3 R p b 2 4 x L 1 R h Y m x l M D M w I C h Q Y W d l I D M 2 K S 9 B d X R v U m V t b 3 Z l Z E N v b H V t b n M x L n t D b 2 x 1 b W 4 2 L D V 9 J n F 1 b 3 Q 7 L C Z x d W 9 0 O 1 N l Y 3 R p b 2 4 x L 1 R h Y m x l M D M w I C h Q Y W d l I D M 2 K S 9 B d X R v U m V t b 3 Z l Z E N v b H V t b n M x L n t D b 2 x 1 b W 4 3 L D Z 9 J n F 1 b 3 Q 7 L C Z x d W 9 0 O 1 N l Y 3 R p b 2 4 x L 1 R h Y m x l M D M w I C h Q Y W d l I D M 2 K S 9 B d X R v U m V t b 3 Z l Z E N v b H V t b n M x L n t D b 2 x 1 b W 4 4 L D d 9 J n F 1 b 3 Q 7 L C Z x d W 9 0 O 1 N l Y 3 R p b 2 4 x L 1 R h Y m x l M D M w I C h Q Y W d l I D M 2 K S 9 B d X R v U m V t b 3 Z l Z E N v b H V t b n M x L n t D b 2 x 1 b W 4 5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1 R h Y m x l M D M w I C h Q Y W d l I D M 2 K S 9 B d X R v U m V t b 3 Z l Z E N v b H V t b n M x L n t D b 2 x 1 b W 4 x L D B 9 J n F 1 b 3 Q 7 L C Z x d W 9 0 O 1 N l Y 3 R p b 2 4 x L 1 R h Y m x l M D M w I C h Q Y W d l I D M 2 K S 9 B d X R v U m V t b 3 Z l Z E N v b H V t b n M x L n t D b 2 x 1 b W 4 y L D F 9 J n F 1 b 3 Q 7 L C Z x d W 9 0 O 1 N l Y 3 R p b 2 4 x L 1 R h Y m x l M D M w I C h Q Y W d l I D M 2 K S 9 B d X R v U m V t b 3 Z l Z E N v b H V t b n M x L n t D b 2 x 1 b W 4 z L D J 9 J n F 1 b 3 Q 7 L C Z x d W 9 0 O 1 N l Y 3 R p b 2 4 x L 1 R h Y m x l M D M w I C h Q Y W d l I D M 2 K S 9 B d X R v U m V t b 3 Z l Z E N v b H V t b n M x L n t D b 2 x 1 b W 4 0 L D N 9 J n F 1 b 3 Q 7 L C Z x d W 9 0 O 1 N l Y 3 R p b 2 4 x L 1 R h Y m x l M D M w I C h Q Y W d l I D M 2 K S 9 B d X R v U m V t b 3 Z l Z E N v b H V t b n M x L n t D b 2 x 1 b W 4 1 L D R 9 J n F 1 b 3 Q 7 L C Z x d W 9 0 O 1 N l Y 3 R p b 2 4 x L 1 R h Y m x l M D M w I C h Q Y W d l I D M 2 K S 9 B d X R v U m V t b 3 Z l Z E N v b H V t b n M x L n t D b 2 x 1 b W 4 2 L D V 9 J n F 1 b 3 Q 7 L C Z x d W 9 0 O 1 N l Y 3 R p b 2 4 x L 1 R h Y m x l M D M w I C h Q Y W d l I D M 2 K S 9 B d X R v U m V t b 3 Z l Z E N v b H V t b n M x L n t D b 2 x 1 b W 4 3 L D Z 9 J n F 1 b 3 Q 7 L C Z x d W 9 0 O 1 N l Y 3 R p b 2 4 x L 1 R h Y m x l M D M w I C h Q Y W d l I D M 2 K S 9 B d X R v U m V t b 3 Z l Z E N v b H V t b n M x L n t D b 2 x 1 b W 4 4 L D d 9 J n F 1 b 3 Q 7 L C Z x d W 9 0 O 1 N l Y 3 R p b 2 4 x L 1 R h Y m x l M D M w I C h Q Y W d l I D M 2 K S 9 B d X R v U m V t b 3 Z l Z E N v b H V t b n M x L n t D b 2 x 1 b W 4 5 L D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A z M C U y M C h Q Y W d l J T I w M z Y p J T I w K D I p L 0 w l Q z M l Q T R o Z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z M C U y M C h Q Y W d l J T I w M z Y p J T I w K D I p L 1 R h Y m x l M D M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z A l M j A o U G F n Z S U y M D M 2 K S U y M C g y K S 9 N d X V 0 Z X R 0 d S U y M H R 5 e X B w a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I 4 J T I w K F B h Z 2 U l M j A z N S k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U Y W J s Z T A y O F 9 f U G F n Z V 8 z N T c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l R 5 c G V z I i B W Y W x 1 Z T 0 i c 0 J n W U d C Z 1 l H Q m d Z R y I g L z 4 8 R W 5 0 c n k g V H l w Z T 0 i R m l s b E x h c 3 R V c G R h d G V k I i B W Y W x 1 Z T 0 i Z D I w M j Q t M D E t M D l U M D c 6 M D I 6 M T k u M j Q z M j c 4 M 1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2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X S I g L z 4 8 R W 5 0 c n k g V H l w Z T 0 i Q W R k Z W R U b 0 R h d G F N b 2 R l b C I g V m F s d W U 9 I m w w I i A v P j x F b n R y e S B U e X B l P S J M b 2 F k Z W R U b 0 F u Y W x 5 c 2 l z U 2 V y d m l j Z X M i I F Z h b H V l P S J s M C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j g g K F B h Z 2 U g M z U p L 0 F 1 d G 9 S Z W 1 v d m V k Q 2 9 s d W 1 u c z E u e 0 N v b H V t b j E s M H 0 m c X V v d D s s J n F 1 b 3 Q 7 U 2 V j d G l v b j E v V G F i b G U w M j g g K F B h Z 2 U g M z U p L 0 F 1 d G 9 S Z W 1 v d m V k Q 2 9 s d W 1 u c z E u e 0 N v b H V t b j I s M X 0 m c X V v d D s s J n F 1 b 3 Q 7 U 2 V j d G l v b j E v V G F i b G U w M j g g K F B h Z 2 U g M z U p L 0 F 1 d G 9 S Z W 1 v d m V k Q 2 9 s d W 1 u c z E u e 0 N v b H V t b j M s M n 0 m c X V v d D s s J n F 1 b 3 Q 7 U 2 V j d G l v b j E v V G F i b G U w M j g g K F B h Z 2 U g M z U p L 0 F 1 d G 9 S Z W 1 v d m V k Q 2 9 s d W 1 u c z E u e 0 N v b H V t b j Q s M 3 0 m c X V v d D s s J n F 1 b 3 Q 7 U 2 V j d G l v b j E v V G F i b G U w M j g g K F B h Z 2 U g M z U p L 0 F 1 d G 9 S Z W 1 v d m V k Q 2 9 s d W 1 u c z E u e 0 N v b H V t b j U s N H 0 m c X V v d D s s J n F 1 b 3 Q 7 U 2 V j d G l v b j E v V G F i b G U w M j g g K F B h Z 2 U g M z U p L 0 F 1 d G 9 S Z W 1 v d m V k Q 2 9 s d W 1 u c z E u e 0 N v b H V t b j Y s N X 0 m c X V v d D s s J n F 1 b 3 Q 7 U 2 V j d G l v b j E v V G F i b G U w M j g g K F B h Z 2 U g M z U p L 0 F 1 d G 9 S Z W 1 v d m V k Q 2 9 s d W 1 u c z E u e 0 N v b H V t b j c s N n 0 m c X V v d D s s J n F 1 b 3 Q 7 U 2 V j d G l v b j E v V G F i b G U w M j g g K F B h Z 2 U g M z U p L 0 F 1 d G 9 S Z W 1 v d m V k Q 2 9 s d W 1 u c z E u e 0 N v b H V t b j g s N 3 0 m c X V v d D s s J n F 1 b 3 Q 7 U 2 V j d G l v b j E v V G F i b G U w M j g g K F B h Z 2 U g M z U p L 0 F 1 d G 9 S Z W 1 v d m V k Q 2 9 s d W 1 u c z E u e 0 N v b H V t b j k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V G F i b G U w M j g g K F B h Z 2 U g M z U p L 0 F 1 d G 9 S Z W 1 v d m V k Q 2 9 s d W 1 u c z E u e 0 N v b H V t b j E s M H 0 m c X V v d D s s J n F 1 b 3 Q 7 U 2 V j d G l v b j E v V G F i b G U w M j g g K F B h Z 2 U g M z U p L 0 F 1 d G 9 S Z W 1 v d m V k Q 2 9 s d W 1 u c z E u e 0 N v b H V t b j I s M X 0 m c X V v d D s s J n F 1 b 3 Q 7 U 2 V j d G l v b j E v V G F i b G U w M j g g K F B h Z 2 U g M z U p L 0 F 1 d G 9 S Z W 1 v d m V k Q 2 9 s d W 1 u c z E u e 0 N v b H V t b j M s M n 0 m c X V v d D s s J n F 1 b 3 Q 7 U 2 V j d G l v b j E v V G F i b G U w M j g g K F B h Z 2 U g M z U p L 0 F 1 d G 9 S Z W 1 v d m V k Q 2 9 s d W 1 u c z E u e 0 N v b H V t b j Q s M 3 0 m c X V v d D s s J n F 1 b 3 Q 7 U 2 V j d G l v b j E v V G F i b G U w M j g g K F B h Z 2 U g M z U p L 0 F 1 d G 9 S Z W 1 v d m V k Q 2 9 s d W 1 u c z E u e 0 N v b H V t b j U s N H 0 m c X V v d D s s J n F 1 b 3 Q 7 U 2 V j d G l v b j E v V G F i b G U w M j g g K F B h Z 2 U g M z U p L 0 F 1 d G 9 S Z W 1 v d m V k Q 2 9 s d W 1 u c z E u e 0 N v b H V t b j Y s N X 0 m c X V v d D s s J n F 1 b 3 Q 7 U 2 V j d G l v b j E v V G F i b G U w M j g g K F B h Z 2 U g M z U p L 0 F 1 d G 9 S Z W 1 v d m V k Q 2 9 s d W 1 u c z E u e 0 N v b H V t b j c s N n 0 m c X V v d D s s J n F 1 b 3 Q 7 U 2 V j d G l v b j E v V G F i b G U w M j g g K F B h Z 2 U g M z U p L 0 F 1 d G 9 S Z W 1 v d m V k Q 2 9 s d W 1 u c z E u e 0 N v b H V t b j g s N 3 0 m c X V v d D s s J n F 1 b 3 Q 7 U 2 V j d G l v b j E v V G F i b G U w M j g g K F B h Z 2 U g M z U p L 0 F 1 d G 9 S Z W 1 v d m V k Q 2 9 s d W 1 u c z E u e 0 N v b H V t b j k s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M D I 4 J T I w K F B h Z 2 U l M j A z N S k l M j A o M i k v T C V D M y V B N G h k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I 4 J T I w K F B h Z 2 U l M j A z N S k l M j A o M i k v V G F i b G U w M j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y O C U y M C h Q Y W d l J T I w M z U p J T I w K D I p L 0 1 1 d X R l d H R 1 J T I w d H l 5 c H B p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G E W 6 u 1 A y k p A m g U T E i X W o g g A A A A A A g A A A A A A A 2 Y A A M A A A A A Q A A A A U T W W i 8 4 V Q W b V D h + J e d b A q w A A A A A E g A A A o A A A A B A A A A A O u T I N 5 d d I U m y B f G V 5 e Z 2 h U A A A A E 0 K u M K C / F K W W 1 1 U B 6 z i R l Y I H N T O E R 9 k j I g b t Z w n H Q B I E n W + k a P y z b r c B v M p f x o 8 i e 4 + 4 X s Q N W j 3 V Q v p T + N T k D B A L i 3 Z B R Q z k 9 v S 0 X t q J c Y O F A A A A J v q 5 / P + B w / n 0 q + 7 E b 5 C U V R l h I r X < / D a t a M a s h u p > 
</file>

<file path=customXml/itemProps1.xml><?xml version="1.0" encoding="utf-8"?>
<ds:datastoreItem xmlns:ds="http://schemas.openxmlformats.org/officeDocument/2006/customXml" ds:itemID="{800DD5F0-0944-475F-8414-29DF3D2C5F9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Energiainvestointilaskuri</vt:lpstr>
      <vt:lpstr>Aloitustaulukot</vt:lpstr>
      <vt:lpstr>Energia</vt:lpstr>
      <vt:lpstr>Tausta</vt:lpstr>
      <vt:lpstr>Aurinkosähkö</vt:lpstr>
      <vt:lpstr>rakennusosat</vt:lpstr>
    </vt:vector>
  </TitlesOfParts>
  <Manager/>
  <Company>hamk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Ona Vassallo</dc:creator>
  <cp:keywords/>
  <dc:description/>
  <cp:lastModifiedBy>Ona Vassallo</cp:lastModifiedBy>
  <cp:revision/>
  <dcterms:created xsi:type="dcterms:W3CDTF">2024-07-10T08:07:15Z</dcterms:created>
  <dcterms:modified xsi:type="dcterms:W3CDTF">2024-10-28T07:12:16Z</dcterms:modified>
  <cp:category/>
  <cp:contentStatus/>
</cp:coreProperties>
</file>