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M3" i="1" l="1"/>
  <c r="AM4" i="1"/>
  <c r="AM5" i="1"/>
  <c r="AM6" i="1"/>
  <c r="AM7" i="1"/>
  <c r="AM8" i="1"/>
  <c r="AM9" i="1"/>
  <c r="AM10" i="1"/>
  <c r="AM11" i="1"/>
  <c r="AM12" i="1"/>
  <c r="AM13" i="1"/>
  <c r="AM14" i="1"/>
  <c r="AM15" i="1"/>
  <c r="AM16" i="1"/>
  <c r="AM2" i="1"/>
  <c r="AB16" i="1" l="1"/>
  <c r="AD16" i="1" s="1"/>
  <c r="Y16" i="1"/>
  <c r="AB15" i="1"/>
  <c r="AF15" i="1" s="1"/>
  <c r="AH15" i="1" s="1"/>
  <c r="Y15" i="1"/>
  <c r="AD14" i="1"/>
  <c r="AB14" i="1"/>
  <c r="AF14" i="1" s="1"/>
  <c r="AH14" i="1" s="1"/>
  <c r="Y14" i="1"/>
  <c r="S14" i="1"/>
  <c r="AB13" i="1"/>
  <c r="AD13" i="1" s="1"/>
  <c r="Y13" i="1"/>
  <c r="AB12" i="1"/>
  <c r="AF12" i="1" s="1"/>
  <c r="AH12" i="1" s="1"/>
  <c r="Y12" i="1"/>
  <c r="AD11" i="1"/>
  <c r="AB11" i="1"/>
  <c r="AE11" i="1" s="1"/>
  <c r="AG11" i="1" s="1"/>
  <c r="Y11" i="1"/>
  <c r="T11" i="1"/>
  <c r="AF11" i="1" s="1"/>
  <c r="AH11" i="1" s="1"/>
  <c r="AB10" i="1"/>
  <c r="AD10" i="1" s="1"/>
  <c r="Y10" i="1"/>
  <c r="AB9" i="1"/>
  <c r="AE9" i="1" s="1"/>
  <c r="AG9" i="1" s="1"/>
  <c r="Y9" i="1"/>
  <c r="T9" i="1"/>
  <c r="AF9" i="1" s="1"/>
  <c r="AH9" i="1" s="1"/>
  <c r="AE8" i="1"/>
  <c r="AG8" i="1" s="1"/>
  <c r="AD8" i="1"/>
  <c r="AC8" i="1"/>
  <c r="AK8" i="1" s="1"/>
  <c r="AB8" i="1"/>
  <c r="Y8" i="1"/>
  <c r="T8" i="1"/>
  <c r="AF8" i="1" s="1"/>
  <c r="AH8" i="1" s="1"/>
  <c r="S8" i="1"/>
  <c r="AD7" i="1"/>
  <c r="AB7" i="1"/>
  <c r="AC7" i="1" s="1"/>
  <c r="Y7" i="1"/>
  <c r="T7" i="1"/>
  <c r="AF7" i="1" s="1"/>
  <c r="AH7" i="1" s="1"/>
  <c r="S7" i="1"/>
  <c r="AE7" i="1" s="1"/>
  <c r="AG7" i="1" s="1"/>
  <c r="AF6" i="1"/>
  <c r="AH6" i="1" s="1"/>
  <c r="AD6" i="1"/>
  <c r="AC6" i="1"/>
  <c r="AK6" i="1" s="1"/>
  <c r="AB6" i="1"/>
  <c r="Y6" i="1"/>
  <c r="T6" i="1"/>
  <c r="S6" i="1"/>
  <c r="AE6" i="1" s="1"/>
  <c r="AG6" i="1" s="1"/>
  <c r="AB5" i="1"/>
  <c r="AD5" i="1" s="1"/>
  <c r="Y5" i="1"/>
  <c r="T5" i="1"/>
  <c r="AF5" i="1" s="1"/>
  <c r="AH5" i="1" s="1"/>
  <c r="S5" i="1"/>
  <c r="AD4" i="1"/>
  <c r="AB4" i="1"/>
  <c r="AC4" i="1" s="1"/>
  <c r="AK4" i="1" s="1"/>
  <c r="Y4" i="1"/>
  <c r="T4" i="1"/>
  <c r="AF4" i="1" s="1"/>
  <c r="AH4" i="1" s="1"/>
  <c r="S4" i="1"/>
  <c r="AE4" i="1" s="1"/>
  <c r="AG4" i="1" s="1"/>
  <c r="AD3" i="1"/>
  <c r="AC3" i="1"/>
  <c r="AK3" i="1" s="1"/>
  <c r="AB3" i="1"/>
  <c r="Y3" i="1"/>
  <c r="T3" i="1"/>
  <c r="AF3" i="1" s="1"/>
  <c r="AH3" i="1" s="1"/>
  <c r="S3" i="1"/>
  <c r="AE3" i="1" s="1"/>
  <c r="AG3" i="1" s="1"/>
  <c r="AI2" i="1"/>
  <c r="AD2" i="1"/>
  <c r="AK2" i="1" s="1"/>
  <c r="AC2" i="1"/>
  <c r="AB2" i="1"/>
  <c r="Y2" i="1"/>
  <c r="T2" i="1"/>
  <c r="AF2" i="1" s="1"/>
  <c r="AH2" i="1" s="1"/>
  <c r="S2" i="1"/>
  <c r="AE2" i="1" s="1"/>
  <c r="AG2" i="1" s="1"/>
  <c r="AL13" i="1" l="1"/>
  <c r="AK16" i="1"/>
  <c r="AL8" i="1"/>
  <c r="AN8" i="1" s="1"/>
  <c r="AL4" i="1"/>
  <c r="AN4" i="1" s="1"/>
  <c r="AL7" i="1"/>
  <c r="AL14" i="1"/>
  <c r="AL6" i="1"/>
  <c r="AN6" i="1" s="1"/>
  <c r="AL2" i="1"/>
  <c r="AO2" i="1" s="1"/>
  <c r="AL3" i="1"/>
  <c r="AO3" i="1" s="1"/>
  <c r="AE5" i="1"/>
  <c r="AG5" i="1" s="1"/>
  <c r="AE10" i="1"/>
  <c r="AG10" i="1" s="1"/>
  <c r="AE13" i="1"/>
  <c r="AG13" i="1" s="1"/>
  <c r="AE16" i="1"/>
  <c r="AG16" i="1" s="1"/>
  <c r="AC9" i="1"/>
  <c r="AF10" i="1"/>
  <c r="AH10" i="1" s="1"/>
  <c r="AC12" i="1"/>
  <c r="AF13" i="1"/>
  <c r="AH13" i="1" s="1"/>
  <c r="AC15" i="1"/>
  <c r="AF16" i="1"/>
  <c r="AH16" i="1" s="1"/>
  <c r="AK7" i="1"/>
  <c r="AD9" i="1"/>
  <c r="AK11" i="1"/>
  <c r="AD12" i="1"/>
  <c r="AK14" i="1"/>
  <c r="AD15" i="1"/>
  <c r="AE12" i="1"/>
  <c r="AG12" i="1" s="1"/>
  <c r="AE15" i="1"/>
  <c r="AG15" i="1" s="1"/>
  <c r="AC11" i="1"/>
  <c r="AL11" i="1" s="1"/>
  <c r="AC14" i="1"/>
  <c r="AC5" i="1"/>
  <c r="AK5" i="1" s="1"/>
  <c r="AC10" i="1"/>
  <c r="AK10" i="1" s="1"/>
  <c r="AC13" i="1"/>
  <c r="AK13" i="1" s="1"/>
  <c r="AE14" i="1"/>
  <c r="AG14" i="1" s="1"/>
  <c r="AC16" i="1"/>
  <c r="AL16" i="1" s="1"/>
  <c r="AN13" i="1" l="1"/>
  <c r="AO13" i="1"/>
  <c r="AL10" i="1"/>
  <c r="AN10" i="1" s="1"/>
  <c r="AK12" i="1"/>
  <c r="AL12" i="1"/>
  <c r="AO7" i="1"/>
  <c r="AN7" i="1"/>
  <c r="AO4" i="1"/>
  <c r="AO8" i="1"/>
  <c r="AL5" i="1"/>
  <c r="AO5" i="1" s="1"/>
  <c r="AK9" i="1"/>
  <c r="AL9" i="1"/>
  <c r="AO6" i="1"/>
  <c r="AK15" i="1"/>
  <c r="AL15" i="1"/>
  <c r="AN3" i="1"/>
  <c r="AN16" i="1"/>
  <c r="AO16" i="1"/>
  <c r="AN2" i="1"/>
  <c r="AO11" i="1"/>
  <c r="AN11" i="1"/>
  <c r="AO14" i="1"/>
  <c r="AN14" i="1"/>
  <c r="AO12" i="1" l="1"/>
  <c r="AN12" i="1"/>
  <c r="AO9" i="1"/>
  <c r="AN9" i="1"/>
  <c r="AN5" i="1"/>
  <c r="AO15" i="1"/>
  <c r="AN15" i="1"/>
  <c r="AO10" i="1"/>
</calcChain>
</file>

<file path=xl/sharedStrings.xml><?xml version="1.0" encoding="utf-8"?>
<sst xmlns="http://schemas.openxmlformats.org/spreadsheetml/2006/main" count="153" uniqueCount="67">
  <si>
    <t>Study</t>
  </si>
  <si>
    <t>Figure-Panel_exp/Figure-Panel_ctl</t>
  </si>
  <si>
    <t>Gene Name</t>
  </si>
  <si>
    <t>Genotype (Experimental)</t>
  </si>
  <si>
    <t>Genotype (Control)</t>
  </si>
  <si>
    <t>Control Group Identifier</t>
  </si>
  <si>
    <t>Outcrossed</t>
  </si>
  <si>
    <t>Odor Pair</t>
  </si>
  <si>
    <t xml:space="preserve">Control/Exp Temp. (°C) </t>
  </si>
  <si>
    <t>RH (%)</t>
  </si>
  <si>
    <t>ES (V)</t>
  </si>
  <si>
    <t>ES Type</t>
  </si>
  <si>
    <t># of shocks (per cycle)</t>
  </si>
  <si>
    <t># of training cycles</t>
  </si>
  <si>
    <t>Training Time (sec) (per cycle)</t>
  </si>
  <si>
    <t>Time Before Test (min)</t>
  </si>
  <si>
    <t>CTL(mm)</t>
  </si>
  <si>
    <t>Exp(mm)</t>
  </si>
  <si>
    <t>CTL-SEM(mm)</t>
  </si>
  <si>
    <t>Exp-SEM(mm)</t>
  </si>
  <si>
    <t>Nc</t>
  </si>
  <si>
    <t>Ne</t>
  </si>
  <si>
    <t xml:space="preserve"> Nc-UsedinAnalysis</t>
  </si>
  <si>
    <t xml:space="preserve"> Ne-UsedinAnalysis</t>
  </si>
  <si>
    <t>Ntotal-UsedinCI</t>
  </si>
  <si>
    <t>Y-axis (mm)</t>
  </si>
  <si>
    <t xml:space="preserve">Y-axis org. </t>
  </si>
  <si>
    <t>Factor</t>
  </si>
  <si>
    <t>CTL-real PI</t>
  </si>
  <si>
    <t>Exp - real PI</t>
  </si>
  <si>
    <t>CTL-SEM org.</t>
  </si>
  <si>
    <t>Exp-SEM Org</t>
  </si>
  <si>
    <t>CTL-SD</t>
  </si>
  <si>
    <t>Exp-SD</t>
  </si>
  <si>
    <t>Ntotal per gene (Sample Size)</t>
  </si>
  <si>
    <t>Num of Bars</t>
  </si>
  <si>
    <t>DeltaPI for single bars (non-metaanalytics)</t>
  </si>
  <si>
    <t>S Pooled</t>
  </si>
  <si>
    <t xml:space="preserve">95% CI </t>
  </si>
  <si>
    <t>CI.LB</t>
  </si>
  <si>
    <t>CI.UB</t>
  </si>
  <si>
    <t>Kim 2007</t>
  </si>
  <si>
    <t>Figure 2-a</t>
  </si>
  <si>
    <t>dumb</t>
  </si>
  <si>
    <t>dumb1</t>
  </si>
  <si>
    <t>Canton-S</t>
  </si>
  <si>
    <t>BA-OCT</t>
  </si>
  <si>
    <t>-</t>
  </si>
  <si>
    <t>immediately</t>
  </si>
  <si>
    <t>Figure 2-c</t>
  </si>
  <si>
    <t>dumb2</t>
  </si>
  <si>
    <t>w1118</t>
  </si>
  <si>
    <t>dumb1/dumb2</t>
  </si>
  <si>
    <t>Figure 4-b</t>
  </si>
  <si>
    <t>Figure 4-c</t>
  </si>
  <si>
    <t>Figure 4-d</t>
  </si>
  <si>
    <t>Qin 2012</t>
  </si>
  <si>
    <t>Figure 2-b</t>
  </si>
  <si>
    <t>WT</t>
  </si>
  <si>
    <t>OCT-MCH</t>
  </si>
  <si>
    <t>dumb2;UAS-DopR</t>
  </si>
  <si>
    <t>Figure 2-d</t>
  </si>
  <si>
    <t>Figure 4-a</t>
  </si>
  <si>
    <t>EB-AA</t>
  </si>
  <si>
    <t>dumb2/+</t>
  </si>
  <si>
    <t>dumb2;NP1131-Gal4</t>
  </si>
  <si>
    <t>dumb2;NP3061-Gal4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</si>
</sst>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5A5A5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</cellStyleXfs>
  <cellXfs count="16">
    <xf numFmtId="0" fontId="0" fillId="0" borderId="0" xfId="0"/>
    <xf numFmtId="0" fontId="3" fillId="3" borderId="2" xfId="2" applyFont="1" applyAlignment="1">
      <alignment wrapText="1"/>
    </xf>
    <xf numFmtId="0" fontId="3" fillId="3" borderId="2" xfId="2" applyFont="1" applyAlignment="1">
      <alignment horizontal="right" wrapText="1"/>
    </xf>
    <xf numFmtId="0" fontId="3" fillId="3" borderId="2" xfId="2" applyFont="1" applyAlignment="1">
      <alignment horizontal="center" wrapText="1"/>
    </xf>
    <xf numFmtId="0" fontId="3" fillId="3" borderId="3" xfId="2" applyFont="1" applyBorder="1" applyAlignment="1">
      <alignment horizontal="right" wrapText="1"/>
    </xf>
    <xf numFmtId="0" fontId="3" fillId="3" borderId="3" xfId="2" applyFont="1" applyBorder="1" applyAlignment="1">
      <alignment horizontal="center" wrapText="1"/>
    </xf>
    <xf numFmtId="0" fontId="3" fillId="3" borderId="3" xfId="2" applyFont="1" applyBorder="1" applyAlignment="1">
      <alignment wrapText="1"/>
    </xf>
    <xf numFmtId="0" fontId="3" fillId="3" borderId="3" xfId="2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1" fillId="2" borderId="1" xfId="1"/>
    <xf numFmtId="0" fontId="1" fillId="2" borderId="1" xfId="1" applyAlignment="1">
      <alignment horizontal="right"/>
    </xf>
    <xf numFmtId="0" fontId="1" fillId="2" borderId="1" xfId="1" applyBorder="1"/>
    <xf numFmtId="0" fontId="1" fillId="2" borderId="1" xfId="1" applyBorder="1" applyAlignment="1">
      <alignment horizontal="right"/>
    </xf>
    <xf numFmtId="0" fontId="0" fillId="0" borderId="0" xfId="0" applyAlignment="1">
      <alignment vertical="center"/>
    </xf>
  </cellXfs>
  <cellStyles count="3">
    <cellStyle name="Calculation" xfId="1" builtinId="22"/>
    <cellStyle name="Check Cell" xfId="2" builtinId="23"/>
    <cellStyle name="Normal" xfId="0" builtinId="0"/>
  </cellStyles>
  <dxfs count="3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6"/>
  <sheetViews>
    <sheetView tabSelected="1" topLeftCell="M1" workbookViewId="0">
      <selection activeCell="AM19" sqref="AM19"/>
    </sheetView>
  </sheetViews>
  <sheetFormatPr defaultRowHeight="15" x14ac:dyDescent="0.25"/>
  <sheetData>
    <row r="1" spans="1:41" ht="108.75" customHeight="1" thickTop="1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5" t="s">
        <v>22</v>
      </c>
      <c r="X1" s="5" t="s">
        <v>23</v>
      </c>
      <c r="Y1" s="5" t="s">
        <v>24</v>
      </c>
      <c r="Z1" s="4" t="s">
        <v>25</v>
      </c>
      <c r="AA1" s="4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7" t="s">
        <v>34</v>
      </c>
      <c r="AJ1" s="7" t="s">
        <v>35</v>
      </c>
      <c r="AK1" s="6" t="s">
        <v>36</v>
      </c>
      <c r="AL1" s="6" t="s">
        <v>37</v>
      </c>
      <c r="AM1" s="6" t="s">
        <v>38</v>
      </c>
      <c r="AN1" s="6" t="s">
        <v>39</v>
      </c>
      <c r="AO1" s="6" t="s">
        <v>40</v>
      </c>
    </row>
    <row r="2" spans="1:41" ht="15.75" thickTop="1" x14ac:dyDescent="0.25">
      <c r="A2" t="s">
        <v>41</v>
      </c>
      <c r="B2" t="s">
        <v>42</v>
      </c>
      <c r="C2" s="8" t="s">
        <v>43</v>
      </c>
      <c r="D2" t="s">
        <v>44</v>
      </c>
      <c r="E2" t="s">
        <v>45</v>
      </c>
      <c r="F2" s="9">
        <v>67</v>
      </c>
      <c r="G2" s="9">
        <v>1</v>
      </c>
      <c r="H2" s="9" t="s">
        <v>46</v>
      </c>
      <c r="I2" s="9">
        <v>25</v>
      </c>
      <c r="J2" s="9">
        <v>75</v>
      </c>
      <c r="K2" s="9">
        <v>90</v>
      </c>
      <c r="L2" s="9" t="s">
        <v>47</v>
      </c>
      <c r="M2" s="9">
        <v>12</v>
      </c>
      <c r="N2" s="9">
        <v>1</v>
      </c>
      <c r="O2" s="9">
        <v>60</v>
      </c>
      <c r="P2" s="9" t="s">
        <v>48</v>
      </c>
      <c r="Q2" s="9">
        <v>49.41</v>
      </c>
      <c r="R2" s="9">
        <v>6.16</v>
      </c>
      <c r="S2" s="9">
        <f>2*2.62</f>
        <v>5.24</v>
      </c>
      <c r="T2" s="9">
        <f>2*2.62</f>
        <v>5.24</v>
      </c>
      <c r="U2" s="9">
        <v>6</v>
      </c>
      <c r="V2" s="9">
        <v>6</v>
      </c>
      <c r="W2" s="9">
        <v>6</v>
      </c>
      <c r="X2" s="9">
        <v>6</v>
      </c>
      <c r="Y2" s="9">
        <f t="shared" ref="Y2:Y16" si="0">(W2+X2)</f>
        <v>12</v>
      </c>
      <c r="Z2" s="9">
        <v>62.04</v>
      </c>
      <c r="AA2" s="9">
        <v>70</v>
      </c>
      <c r="AB2">
        <f t="shared" ref="AB2:AB16" si="1">AA2/Z2</f>
        <v>1.1283043197936815</v>
      </c>
      <c r="AC2">
        <f t="shared" ref="AC2:AF16" si="2">(Q2*$AB2)</f>
        <v>55.749516441005802</v>
      </c>
      <c r="AD2">
        <f t="shared" si="2"/>
        <v>6.9503546099290778</v>
      </c>
      <c r="AE2">
        <f t="shared" si="2"/>
        <v>5.9123146357188912</v>
      </c>
      <c r="AF2">
        <f t="shared" si="2"/>
        <v>5.9123146357188912</v>
      </c>
      <c r="AG2">
        <f t="shared" ref="AG2:AH16" si="3">(AE2*SQRT(W2))</f>
        <v>14.482154056300285</v>
      </c>
      <c r="AH2">
        <f t="shared" si="3"/>
        <v>14.482154056300285</v>
      </c>
      <c r="AI2" s="15">
        <f>SUM(X2:X16)</f>
        <v>94</v>
      </c>
      <c r="AJ2" s="15">
        <v>15</v>
      </c>
      <c r="AK2">
        <f t="shared" ref="AK2:AK16" si="4">((AD2-AC2)/AC2)*100</f>
        <v>-87.532888079336175</v>
      </c>
      <c r="AL2">
        <f t="shared" ref="AL2:AL16" si="5">(AD2/AC2)*SQRT((AF2/AD2)^2+(AE2/AC2)^2)*100</f>
        <v>10.687240130691359</v>
      </c>
      <c r="AM2">
        <f>1.96*AL2</f>
        <v>20.946990656155062</v>
      </c>
      <c r="AN2">
        <f t="shared" ref="AN2:AN16" si="6">AK2-AM2</f>
        <v>-108.47987873549124</v>
      </c>
      <c r="AO2">
        <f t="shared" ref="AO2:AO16" si="7">AK2+AM2</f>
        <v>-66.585897423181109</v>
      </c>
    </row>
    <row r="3" spans="1:41" x14ac:dyDescent="0.25">
      <c r="A3" t="s">
        <v>41</v>
      </c>
      <c r="B3" t="s">
        <v>49</v>
      </c>
      <c r="C3" s="8" t="s">
        <v>43</v>
      </c>
      <c r="D3" t="s">
        <v>50</v>
      </c>
      <c r="E3" t="s">
        <v>51</v>
      </c>
      <c r="F3" s="9">
        <v>68</v>
      </c>
      <c r="G3" s="9">
        <v>1</v>
      </c>
      <c r="H3" s="9" t="s">
        <v>46</v>
      </c>
      <c r="I3" s="9">
        <v>25</v>
      </c>
      <c r="J3" s="9">
        <v>75</v>
      </c>
      <c r="K3" s="9">
        <v>90</v>
      </c>
      <c r="L3" s="9" t="s">
        <v>47</v>
      </c>
      <c r="M3" s="9">
        <v>12</v>
      </c>
      <c r="N3" s="9">
        <v>1</v>
      </c>
      <c r="O3" s="9">
        <v>60</v>
      </c>
      <c r="P3" s="9" t="s">
        <v>48</v>
      </c>
      <c r="Q3" s="9">
        <v>48.38</v>
      </c>
      <c r="R3" s="9">
        <v>-0.46</v>
      </c>
      <c r="S3" s="9">
        <f>2*4.27</f>
        <v>8.5399999999999991</v>
      </c>
      <c r="T3" s="9">
        <f>2*4.27</f>
        <v>8.5399999999999991</v>
      </c>
      <c r="U3" s="9">
        <v>6</v>
      </c>
      <c r="V3" s="9">
        <v>6</v>
      </c>
      <c r="W3" s="9">
        <v>6</v>
      </c>
      <c r="X3" s="9">
        <v>6</v>
      </c>
      <c r="Y3" s="9">
        <f t="shared" si="0"/>
        <v>12</v>
      </c>
      <c r="Z3" s="9">
        <v>62.23</v>
      </c>
      <c r="AA3" s="9">
        <v>80</v>
      </c>
      <c r="AB3">
        <f t="shared" si="1"/>
        <v>1.2855535915153464</v>
      </c>
      <c r="AC3">
        <f t="shared" si="2"/>
        <v>62.195082757512466</v>
      </c>
      <c r="AD3">
        <f t="shared" si="2"/>
        <v>-0.5913546520970594</v>
      </c>
      <c r="AE3">
        <f t="shared" si="2"/>
        <v>10.978627671541057</v>
      </c>
      <c r="AF3">
        <f t="shared" si="2"/>
        <v>10.978627671541057</v>
      </c>
      <c r="AG3">
        <f t="shared" si="3"/>
        <v>26.892035871275382</v>
      </c>
      <c r="AH3">
        <f t="shared" si="3"/>
        <v>26.892035871275382</v>
      </c>
      <c r="AI3" s="15"/>
      <c r="AJ3" s="15"/>
      <c r="AK3">
        <f t="shared" si="4"/>
        <v>-100.95080611823069</v>
      </c>
      <c r="AL3">
        <f t="shared" si="5"/>
        <v>-17.652720159274875</v>
      </c>
      <c r="AM3">
        <f t="shared" ref="AM3:AM16" si="8">1.96*AL3</f>
        <v>-34.59933151217875</v>
      </c>
      <c r="AN3">
        <f t="shared" si="6"/>
        <v>-66.351474606051937</v>
      </c>
      <c r="AO3">
        <f t="shared" si="7"/>
        <v>-135.55013763040944</v>
      </c>
    </row>
    <row r="4" spans="1:41" x14ac:dyDescent="0.25">
      <c r="A4" s="8" t="s">
        <v>41</v>
      </c>
      <c r="B4" s="8" t="s">
        <v>49</v>
      </c>
      <c r="C4" s="8" t="s">
        <v>43</v>
      </c>
      <c r="D4" s="8" t="s">
        <v>52</v>
      </c>
      <c r="E4" s="8" t="s">
        <v>51</v>
      </c>
      <c r="F4" s="10">
        <v>68</v>
      </c>
      <c r="G4" s="10">
        <v>1</v>
      </c>
      <c r="H4" s="10" t="s">
        <v>46</v>
      </c>
      <c r="I4" s="10">
        <v>25</v>
      </c>
      <c r="J4" s="10">
        <v>75</v>
      </c>
      <c r="K4" s="10">
        <v>90</v>
      </c>
      <c r="L4" s="9" t="s">
        <v>47</v>
      </c>
      <c r="M4" s="10">
        <v>12</v>
      </c>
      <c r="N4" s="10">
        <v>1</v>
      </c>
      <c r="O4" s="10">
        <v>60</v>
      </c>
      <c r="P4" s="10" t="s">
        <v>48</v>
      </c>
      <c r="Q4" s="10">
        <v>48.38</v>
      </c>
      <c r="R4" s="10">
        <v>3.46</v>
      </c>
      <c r="S4" s="10">
        <f>2*4.27</f>
        <v>8.5399999999999991</v>
      </c>
      <c r="T4" s="10">
        <f>2*4.04</f>
        <v>8.08</v>
      </c>
      <c r="U4" s="10">
        <v>6</v>
      </c>
      <c r="V4" s="10">
        <v>6</v>
      </c>
      <c r="W4" s="10">
        <v>6</v>
      </c>
      <c r="X4" s="10">
        <v>6</v>
      </c>
      <c r="Y4" s="9">
        <f t="shared" si="0"/>
        <v>12</v>
      </c>
      <c r="Z4" s="10">
        <v>62.23</v>
      </c>
      <c r="AA4" s="10">
        <v>80</v>
      </c>
      <c r="AB4" s="8">
        <f t="shared" si="1"/>
        <v>1.2855535915153464</v>
      </c>
      <c r="AC4">
        <f t="shared" si="2"/>
        <v>62.195082757512466</v>
      </c>
      <c r="AD4">
        <f t="shared" si="2"/>
        <v>4.4480154266430985</v>
      </c>
      <c r="AE4">
        <f t="shared" si="2"/>
        <v>10.978627671541057</v>
      </c>
      <c r="AF4">
        <f t="shared" si="2"/>
        <v>10.387273019443999</v>
      </c>
      <c r="AG4">
        <f t="shared" si="3"/>
        <v>26.892035871275382</v>
      </c>
      <c r="AH4">
        <f t="shared" si="3"/>
        <v>25.443518716616524</v>
      </c>
      <c r="AI4" s="15"/>
      <c r="AJ4" s="15"/>
      <c r="AK4">
        <f t="shared" si="4"/>
        <v>-92.848284415047544</v>
      </c>
      <c r="AL4">
        <f t="shared" si="5"/>
        <v>16.748760355466231</v>
      </c>
      <c r="AM4">
        <f t="shared" si="8"/>
        <v>32.827570296713816</v>
      </c>
      <c r="AN4">
        <f t="shared" si="6"/>
        <v>-125.67585471176136</v>
      </c>
      <c r="AO4">
        <f t="shared" si="7"/>
        <v>-60.020714118333728</v>
      </c>
    </row>
    <row r="5" spans="1:41" x14ac:dyDescent="0.25">
      <c r="A5" s="8" t="s">
        <v>41</v>
      </c>
      <c r="B5" s="8" t="s">
        <v>53</v>
      </c>
      <c r="C5" s="8" t="s">
        <v>43</v>
      </c>
      <c r="D5" s="8" t="s">
        <v>50</v>
      </c>
      <c r="E5" s="8" t="s">
        <v>45</v>
      </c>
      <c r="F5" s="10">
        <v>69</v>
      </c>
      <c r="G5" s="10">
        <v>1</v>
      </c>
      <c r="H5" s="10" t="s">
        <v>46</v>
      </c>
      <c r="I5" s="10">
        <v>25</v>
      </c>
      <c r="J5" s="10">
        <v>75</v>
      </c>
      <c r="K5" s="10">
        <v>90</v>
      </c>
      <c r="L5" s="9" t="s">
        <v>47</v>
      </c>
      <c r="M5" s="10">
        <v>2</v>
      </c>
      <c r="N5" s="10">
        <v>1</v>
      </c>
      <c r="O5" s="10">
        <v>10</v>
      </c>
      <c r="P5" s="10" t="s">
        <v>48</v>
      </c>
      <c r="Q5" s="10">
        <v>25.29</v>
      </c>
      <c r="R5" s="10">
        <v>5.2</v>
      </c>
      <c r="S5" s="10">
        <f>2*2.08</f>
        <v>4.16</v>
      </c>
      <c r="T5" s="10">
        <f>2*1.15</f>
        <v>2.2999999999999998</v>
      </c>
      <c r="U5" s="10">
        <v>6</v>
      </c>
      <c r="V5" s="10">
        <v>6</v>
      </c>
      <c r="W5" s="10">
        <v>6</v>
      </c>
      <c r="X5" s="10">
        <v>6</v>
      </c>
      <c r="Y5" s="9">
        <f t="shared" si="0"/>
        <v>12</v>
      </c>
      <c r="Z5" s="10">
        <v>54.96</v>
      </c>
      <c r="AA5" s="10">
        <v>70</v>
      </c>
      <c r="AB5" s="8">
        <f t="shared" si="1"/>
        <v>1.2736535662299855</v>
      </c>
      <c r="AC5">
        <f t="shared" si="2"/>
        <v>32.210698689956331</v>
      </c>
      <c r="AD5">
        <f t="shared" si="2"/>
        <v>6.6229985443959247</v>
      </c>
      <c r="AE5">
        <f t="shared" si="2"/>
        <v>5.29839883551674</v>
      </c>
      <c r="AF5">
        <f t="shared" si="2"/>
        <v>2.9294032023289662</v>
      </c>
      <c r="AG5">
        <f t="shared" si="3"/>
        <v>12.978373600772589</v>
      </c>
      <c r="AH5">
        <f t="shared" si="3"/>
        <v>7.1755430965809968</v>
      </c>
      <c r="AI5" s="15"/>
      <c r="AJ5" s="15"/>
      <c r="AK5">
        <f t="shared" si="4"/>
        <v>-79.438513246342424</v>
      </c>
      <c r="AL5">
        <f t="shared" si="5"/>
        <v>9.7030542207868145</v>
      </c>
      <c r="AM5">
        <f t="shared" si="8"/>
        <v>19.017986272742156</v>
      </c>
      <c r="AN5">
        <f t="shared" si="6"/>
        <v>-98.456499519084588</v>
      </c>
      <c r="AO5">
        <f t="shared" si="7"/>
        <v>-60.420526973600268</v>
      </c>
    </row>
    <row r="6" spans="1:41" x14ac:dyDescent="0.25">
      <c r="A6" s="8" t="s">
        <v>41</v>
      </c>
      <c r="B6" s="8" t="s">
        <v>54</v>
      </c>
      <c r="C6" s="8" t="s">
        <v>43</v>
      </c>
      <c r="D6" s="8" t="s">
        <v>52</v>
      </c>
      <c r="E6" s="8" t="s">
        <v>45</v>
      </c>
      <c r="F6" s="10">
        <v>70</v>
      </c>
      <c r="G6" s="10">
        <v>1</v>
      </c>
      <c r="H6" s="10" t="s">
        <v>46</v>
      </c>
      <c r="I6" s="10">
        <v>25</v>
      </c>
      <c r="J6" s="10">
        <v>75</v>
      </c>
      <c r="K6" s="10">
        <v>90</v>
      </c>
      <c r="L6" s="9" t="s">
        <v>47</v>
      </c>
      <c r="M6" s="10">
        <v>12</v>
      </c>
      <c r="N6" s="10">
        <v>1</v>
      </c>
      <c r="O6" s="10">
        <v>60</v>
      </c>
      <c r="P6" s="10" t="s">
        <v>48</v>
      </c>
      <c r="Q6" s="10">
        <v>43.21</v>
      </c>
      <c r="R6" s="10">
        <v>3.56</v>
      </c>
      <c r="S6" s="10">
        <f>2*1.34</f>
        <v>2.68</v>
      </c>
      <c r="T6" s="10">
        <f>2*3.34</f>
        <v>6.68</v>
      </c>
      <c r="U6" s="10">
        <v>6</v>
      </c>
      <c r="V6" s="10">
        <v>6</v>
      </c>
      <c r="W6" s="10">
        <v>6</v>
      </c>
      <c r="X6" s="10">
        <v>6</v>
      </c>
      <c r="Y6" s="9">
        <f t="shared" si="0"/>
        <v>12</v>
      </c>
      <c r="Z6" s="10">
        <v>51.01</v>
      </c>
      <c r="AA6" s="10">
        <v>70</v>
      </c>
      <c r="AB6" s="8">
        <f t="shared" si="1"/>
        <v>1.3722799451088024</v>
      </c>
      <c r="AC6">
        <f t="shared" si="2"/>
        <v>59.296216428151354</v>
      </c>
      <c r="AD6">
        <f t="shared" si="2"/>
        <v>4.8853166045873362</v>
      </c>
      <c r="AE6">
        <f t="shared" si="2"/>
        <v>3.6777102528915906</v>
      </c>
      <c r="AF6">
        <f t="shared" si="2"/>
        <v>9.1668300333268</v>
      </c>
      <c r="AG6">
        <f t="shared" si="3"/>
        <v>9.0085135413864776</v>
      </c>
      <c r="AH6">
        <f t="shared" si="3"/>
        <v>22.454056140470772</v>
      </c>
      <c r="AI6" s="15"/>
      <c r="AJ6" s="15"/>
      <c r="AK6">
        <f t="shared" si="4"/>
        <v>-91.761166396667434</v>
      </c>
      <c r="AL6">
        <f t="shared" si="5"/>
        <v>15.467827303822123</v>
      </c>
      <c r="AM6">
        <f t="shared" si="8"/>
        <v>30.316941515491362</v>
      </c>
      <c r="AN6">
        <f t="shared" si="6"/>
        <v>-122.0781079121588</v>
      </c>
      <c r="AO6">
        <f t="shared" si="7"/>
        <v>-61.444224881176069</v>
      </c>
    </row>
    <row r="7" spans="1:41" x14ac:dyDescent="0.25">
      <c r="A7" s="8" t="s">
        <v>41</v>
      </c>
      <c r="B7" s="8" t="s">
        <v>54</v>
      </c>
      <c r="C7" s="8" t="s">
        <v>43</v>
      </c>
      <c r="D7" s="8" t="s">
        <v>50</v>
      </c>
      <c r="E7" s="8" t="s">
        <v>45</v>
      </c>
      <c r="F7" s="10">
        <v>70</v>
      </c>
      <c r="G7" s="10">
        <v>1</v>
      </c>
      <c r="H7" s="10" t="s">
        <v>46</v>
      </c>
      <c r="I7" s="10">
        <v>25</v>
      </c>
      <c r="J7" s="10">
        <v>75</v>
      </c>
      <c r="K7" s="10">
        <v>90</v>
      </c>
      <c r="L7" s="9" t="s">
        <v>47</v>
      </c>
      <c r="M7" s="10">
        <v>12</v>
      </c>
      <c r="N7" s="10">
        <v>1</v>
      </c>
      <c r="O7" s="10">
        <v>60</v>
      </c>
      <c r="P7" s="10" t="s">
        <v>48</v>
      </c>
      <c r="Q7" s="10">
        <v>43.21</v>
      </c>
      <c r="R7" s="10">
        <v>3.12</v>
      </c>
      <c r="S7" s="10">
        <f>2*1.34</f>
        <v>2.68</v>
      </c>
      <c r="T7" s="10">
        <f>2*4.68</f>
        <v>9.36</v>
      </c>
      <c r="U7" s="10">
        <v>6</v>
      </c>
      <c r="V7" s="10">
        <v>6</v>
      </c>
      <c r="W7" s="10">
        <v>6</v>
      </c>
      <c r="X7" s="10">
        <v>6</v>
      </c>
      <c r="Y7" s="9">
        <f t="shared" si="0"/>
        <v>12</v>
      </c>
      <c r="Z7" s="10">
        <v>51.01</v>
      </c>
      <c r="AA7" s="10">
        <v>70</v>
      </c>
      <c r="AB7" s="8">
        <f t="shared" si="1"/>
        <v>1.3722799451088024</v>
      </c>
      <c r="AC7">
        <f t="shared" si="2"/>
        <v>59.296216428151354</v>
      </c>
      <c r="AD7">
        <f t="shared" si="2"/>
        <v>4.2815134287394638</v>
      </c>
      <c r="AE7">
        <f t="shared" si="2"/>
        <v>3.6777102528915906</v>
      </c>
      <c r="AF7">
        <f t="shared" si="2"/>
        <v>12.84454028621839</v>
      </c>
      <c r="AG7">
        <f t="shared" si="3"/>
        <v>9.0085135413864776</v>
      </c>
      <c r="AH7">
        <f t="shared" si="3"/>
        <v>31.46256968185725</v>
      </c>
      <c r="AI7" s="15"/>
      <c r="AJ7" s="15"/>
      <c r="AK7">
        <f t="shared" si="4"/>
        <v>-92.779449201573698</v>
      </c>
      <c r="AL7">
        <f t="shared" si="5"/>
        <v>21.666281251948455</v>
      </c>
      <c r="AM7">
        <f t="shared" si="8"/>
        <v>42.465911253818973</v>
      </c>
      <c r="AN7">
        <f t="shared" si="6"/>
        <v>-135.24536045539267</v>
      </c>
      <c r="AO7">
        <f t="shared" si="7"/>
        <v>-50.313537947754725</v>
      </c>
    </row>
    <row r="8" spans="1:41" x14ac:dyDescent="0.25">
      <c r="A8" s="8" t="s">
        <v>41</v>
      </c>
      <c r="B8" s="8" t="s">
        <v>55</v>
      </c>
      <c r="C8" s="8" t="s">
        <v>43</v>
      </c>
      <c r="D8" s="8" t="s">
        <v>44</v>
      </c>
      <c r="E8" s="8" t="s">
        <v>45</v>
      </c>
      <c r="F8" s="10">
        <v>71</v>
      </c>
      <c r="G8" s="10">
        <v>1</v>
      </c>
      <c r="H8" s="10" t="s">
        <v>46</v>
      </c>
      <c r="I8" s="10">
        <v>25</v>
      </c>
      <c r="J8" s="10">
        <v>75</v>
      </c>
      <c r="K8" s="10">
        <v>90</v>
      </c>
      <c r="L8" s="9" t="s">
        <v>47</v>
      </c>
      <c r="M8" s="10">
        <v>12</v>
      </c>
      <c r="N8" s="10">
        <v>1</v>
      </c>
      <c r="O8" s="10">
        <v>60</v>
      </c>
      <c r="P8" s="10" t="s">
        <v>48</v>
      </c>
      <c r="Q8" s="10">
        <v>42.1</v>
      </c>
      <c r="R8" s="10">
        <v>3.45</v>
      </c>
      <c r="S8" s="10">
        <f>2*2.56</f>
        <v>5.12</v>
      </c>
      <c r="T8" s="10">
        <f>2*1.56</f>
        <v>3.12</v>
      </c>
      <c r="U8" s="10">
        <v>6</v>
      </c>
      <c r="V8" s="10">
        <v>6</v>
      </c>
      <c r="W8" s="10">
        <v>6</v>
      </c>
      <c r="X8" s="10">
        <v>6</v>
      </c>
      <c r="Y8" s="9">
        <f t="shared" si="0"/>
        <v>12</v>
      </c>
      <c r="Z8" s="10">
        <v>51.01</v>
      </c>
      <c r="AA8" s="10">
        <v>70</v>
      </c>
      <c r="AB8" s="8">
        <f t="shared" si="1"/>
        <v>1.3722799451088024</v>
      </c>
      <c r="AC8">
        <f t="shared" si="2"/>
        <v>57.772985689080578</v>
      </c>
      <c r="AD8">
        <f t="shared" si="2"/>
        <v>4.7343658106253681</v>
      </c>
      <c r="AE8">
        <f t="shared" si="2"/>
        <v>7.0260733189570681</v>
      </c>
      <c r="AF8">
        <f t="shared" si="2"/>
        <v>4.2815134287394638</v>
      </c>
      <c r="AG8">
        <f t="shared" si="3"/>
        <v>17.210294526827898</v>
      </c>
      <c r="AH8">
        <f t="shared" si="3"/>
        <v>10.487523227285751</v>
      </c>
      <c r="AI8" s="15"/>
      <c r="AJ8" s="15"/>
      <c r="AK8">
        <f t="shared" si="4"/>
        <v>-91.805225653206648</v>
      </c>
      <c r="AL8">
        <f t="shared" si="5"/>
        <v>7.4776372853077326</v>
      </c>
      <c r="AM8">
        <f t="shared" si="8"/>
        <v>14.656169079203156</v>
      </c>
      <c r="AN8">
        <f t="shared" si="6"/>
        <v>-106.4613947324098</v>
      </c>
      <c r="AO8">
        <f t="shared" si="7"/>
        <v>-77.149056574003495</v>
      </c>
    </row>
    <row r="9" spans="1:41" x14ac:dyDescent="0.25">
      <c r="A9" s="8" t="s">
        <v>56</v>
      </c>
      <c r="B9" s="8" t="s">
        <v>57</v>
      </c>
      <c r="C9" s="8" t="s">
        <v>43</v>
      </c>
      <c r="D9" s="8" t="s">
        <v>50</v>
      </c>
      <c r="E9" s="8" t="s">
        <v>58</v>
      </c>
      <c r="F9" s="10">
        <v>96</v>
      </c>
      <c r="G9" s="10">
        <v>1</v>
      </c>
      <c r="H9" s="10" t="s">
        <v>59</v>
      </c>
      <c r="I9" s="10">
        <v>25</v>
      </c>
      <c r="J9" s="10">
        <v>70</v>
      </c>
      <c r="K9" s="10">
        <v>60</v>
      </c>
      <c r="L9" s="9" t="s">
        <v>47</v>
      </c>
      <c r="M9" s="10">
        <v>12</v>
      </c>
      <c r="N9" s="10">
        <v>1</v>
      </c>
      <c r="O9" s="10">
        <v>60</v>
      </c>
      <c r="P9" s="10">
        <v>3</v>
      </c>
      <c r="Q9" s="10">
        <v>85.769000000000005</v>
      </c>
      <c r="R9" s="10">
        <v>-3.2629999999999999</v>
      </c>
      <c r="S9" s="10">
        <v>4.9390000000000001</v>
      </c>
      <c r="T9" s="10">
        <f>2*2.491</f>
        <v>4.9820000000000002</v>
      </c>
      <c r="U9" s="10">
        <v>6</v>
      </c>
      <c r="V9" s="10">
        <v>6</v>
      </c>
      <c r="W9" s="10">
        <v>6</v>
      </c>
      <c r="X9" s="10">
        <v>6</v>
      </c>
      <c r="Y9" s="9">
        <f t="shared" si="0"/>
        <v>12</v>
      </c>
      <c r="Z9" s="10">
        <v>98.453999999999994</v>
      </c>
      <c r="AA9" s="10">
        <v>100</v>
      </c>
      <c r="AB9" s="8">
        <f t="shared" si="1"/>
        <v>1.0157027647429258</v>
      </c>
      <c r="AC9">
        <f t="shared" si="2"/>
        <v>87.115810429236006</v>
      </c>
      <c r="AD9">
        <f t="shared" si="2"/>
        <v>-3.3142381213561665</v>
      </c>
      <c r="AE9">
        <f t="shared" si="2"/>
        <v>5.0165559550653107</v>
      </c>
      <c r="AF9">
        <f t="shared" si="2"/>
        <v>5.0602311739492567</v>
      </c>
      <c r="AG9">
        <f t="shared" si="3"/>
        <v>12.288002356030347</v>
      </c>
      <c r="AH9">
        <f t="shared" si="3"/>
        <v>12.394984356700384</v>
      </c>
      <c r="AI9" s="15"/>
      <c r="AJ9" s="15"/>
      <c r="AK9">
        <f t="shared" si="4"/>
        <v>-103.80440485490097</v>
      </c>
      <c r="AL9">
        <f t="shared" si="5"/>
        <v>-5.8127553326734134</v>
      </c>
      <c r="AM9">
        <f t="shared" si="8"/>
        <v>-11.393000452039891</v>
      </c>
      <c r="AN9">
        <f t="shared" si="6"/>
        <v>-92.411404402861081</v>
      </c>
      <c r="AO9">
        <f t="shared" si="7"/>
        <v>-115.19740530694085</v>
      </c>
    </row>
    <row r="10" spans="1:41" x14ac:dyDescent="0.25">
      <c r="A10" s="8" t="s">
        <v>56</v>
      </c>
      <c r="B10" s="8" t="s">
        <v>49</v>
      </c>
      <c r="C10" s="8" t="s">
        <v>43</v>
      </c>
      <c r="D10" s="8" t="s">
        <v>60</v>
      </c>
      <c r="E10" s="8" t="s">
        <v>58</v>
      </c>
      <c r="F10" s="10">
        <v>97</v>
      </c>
      <c r="G10" s="10">
        <v>1</v>
      </c>
      <c r="H10" s="10" t="s">
        <v>59</v>
      </c>
      <c r="I10" s="10">
        <v>25</v>
      </c>
      <c r="J10" s="10">
        <v>70</v>
      </c>
      <c r="K10" s="10">
        <v>60</v>
      </c>
      <c r="L10" s="9" t="s">
        <v>47</v>
      </c>
      <c r="M10" s="10">
        <v>12</v>
      </c>
      <c r="N10" s="10">
        <v>1</v>
      </c>
      <c r="O10" s="10">
        <v>60</v>
      </c>
      <c r="P10" s="10">
        <v>3</v>
      </c>
      <c r="Q10" s="10">
        <v>89.253</v>
      </c>
      <c r="R10" s="10">
        <v>-1.8080000000000001</v>
      </c>
      <c r="S10" s="10">
        <v>2.4689999999999999</v>
      </c>
      <c r="T10" s="10">
        <v>10.583</v>
      </c>
      <c r="U10" s="10">
        <v>6</v>
      </c>
      <c r="V10" s="10">
        <v>6</v>
      </c>
      <c r="W10" s="10">
        <v>6</v>
      </c>
      <c r="X10" s="10">
        <v>6</v>
      </c>
      <c r="Y10" s="9">
        <f t="shared" si="0"/>
        <v>12</v>
      </c>
      <c r="Z10" s="10">
        <v>100.16</v>
      </c>
      <c r="AA10" s="10">
        <v>100</v>
      </c>
      <c r="AB10" s="8">
        <f t="shared" si="1"/>
        <v>0.99840255591054317</v>
      </c>
      <c r="AC10">
        <f t="shared" si="2"/>
        <v>89.110423322683715</v>
      </c>
      <c r="AD10">
        <f t="shared" si="2"/>
        <v>-1.805111821086262</v>
      </c>
      <c r="AE10">
        <f t="shared" si="2"/>
        <v>2.4650559105431311</v>
      </c>
      <c r="AF10">
        <f t="shared" si="2"/>
        <v>10.566094249201278</v>
      </c>
      <c r="AG10">
        <f t="shared" si="3"/>
        <v>6.0381291682624463</v>
      </c>
      <c r="AH10">
        <f t="shared" si="3"/>
        <v>25.881539484698852</v>
      </c>
      <c r="AI10" s="15"/>
      <c r="AJ10" s="15"/>
      <c r="AK10">
        <f t="shared" si="4"/>
        <v>-102.02570221729242</v>
      </c>
      <c r="AL10">
        <f t="shared" si="5"/>
        <v>-11.857436928985207</v>
      </c>
      <c r="AM10">
        <f t="shared" si="8"/>
        <v>-23.240576380811007</v>
      </c>
      <c r="AN10">
        <f t="shared" si="6"/>
        <v>-78.785125836481413</v>
      </c>
      <c r="AO10">
        <f t="shared" si="7"/>
        <v>-125.26627859810343</v>
      </c>
    </row>
    <row r="11" spans="1:41" x14ac:dyDescent="0.25">
      <c r="A11" s="8" t="s">
        <v>56</v>
      </c>
      <c r="B11" s="8" t="s">
        <v>61</v>
      </c>
      <c r="C11" s="8" t="s">
        <v>43</v>
      </c>
      <c r="D11" s="8" t="s">
        <v>50</v>
      </c>
      <c r="E11" s="8" t="s">
        <v>58</v>
      </c>
      <c r="F11" s="10">
        <v>98</v>
      </c>
      <c r="G11" s="10">
        <v>1</v>
      </c>
      <c r="H11" s="10" t="s">
        <v>59</v>
      </c>
      <c r="I11" s="10">
        <v>25</v>
      </c>
      <c r="J11" s="10">
        <v>70</v>
      </c>
      <c r="K11" s="10">
        <v>60</v>
      </c>
      <c r="L11" s="9" t="s">
        <v>47</v>
      </c>
      <c r="M11" s="10">
        <v>12</v>
      </c>
      <c r="N11" s="10">
        <v>1</v>
      </c>
      <c r="O11" s="10">
        <v>60</v>
      </c>
      <c r="P11" s="10">
        <v>3</v>
      </c>
      <c r="Q11" s="10">
        <v>99.88</v>
      </c>
      <c r="R11" s="10">
        <v>4.3070000000000004</v>
      </c>
      <c r="S11" s="10">
        <v>8.702</v>
      </c>
      <c r="T11" s="10">
        <f>2*2.881</f>
        <v>5.7619999999999996</v>
      </c>
      <c r="U11" s="10">
        <v>6</v>
      </c>
      <c r="V11" s="10">
        <v>6</v>
      </c>
      <c r="W11" s="10">
        <v>6</v>
      </c>
      <c r="X11" s="10">
        <v>6</v>
      </c>
      <c r="Y11" s="9">
        <f t="shared" si="0"/>
        <v>12</v>
      </c>
      <c r="Z11" s="10">
        <v>120.34099999999999</v>
      </c>
      <c r="AA11" s="10">
        <v>100</v>
      </c>
      <c r="AB11" s="8">
        <f t="shared" si="1"/>
        <v>0.83097198793428673</v>
      </c>
      <c r="AC11">
        <f t="shared" si="2"/>
        <v>82.99748215487655</v>
      </c>
      <c r="AD11">
        <f t="shared" si="2"/>
        <v>3.5789963520329731</v>
      </c>
      <c r="AE11">
        <f t="shared" si="2"/>
        <v>7.2311182390041626</v>
      </c>
      <c r="AF11">
        <f t="shared" si="2"/>
        <v>4.7880605944773595</v>
      </c>
      <c r="AG11">
        <f t="shared" si="3"/>
        <v>17.712549955293053</v>
      </c>
      <c r="AH11">
        <f t="shared" si="3"/>
        <v>11.728305313996618</v>
      </c>
      <c r="AI11" s="15"/>
      <c r="AJ11" s="15"/>
      <c r="AK11">
        <f t="shared" si="4"/>
        <v>-95.687825390468561</v>
      </c>
      <c r="AL11">
        <f t="shared" si="5"/>
        <v>5.7811432164871803</v>
      </c>
      <c r="AM11">
        <f t="shared" si="8"/>
        <v>11.331040704314873</v>
      </c>
      <c r="AN11">
        <f t="shared" si="6"/>
        <v>-107.01886609478343</v>
      </c>
      <c r="AO11">
        <f t="shared" si="7"/>
        <v>-84.356784686153688</v>
      </c>
    </row>
    <row r="12" spans="1:41" x14ac:dyDescent="0.25">
      <c r="A12" s="8" t="s">
        <v>56</v>
      </c>
      <c r="B12" s="8" t="s">
        <v>62</v>
      </c>
      <c r="C12" s="8" t="s">
        <v>43</v>
      </c>
      <c r="D12" s="8" t="s">
        <v>50</v>
      </c>
      <c r="E12" s="8" t="s">
        <v>58</v>
      </c>
      <c r="F12" s="10">
        <v>99</v>
      </c>
      <c r="G12" s="10">
        <v>1</v>
      </c>
      <c r="H12" s="10" t="s">
        <v>63</v>
      </c>
      <c r="I12" s="10">
        <v>25</v>
      </c>
      <c r="J12" s="10">
        <v>70</v>
      </c>
      <c r="K12" s="10">
        <v>60</v>
      </c>
      <c r="L12" s="9" t="s">
        <v>47</v>
      </c>
      <c r="M12" s="10">
        <v>12</v>
      </c>
      <c r="N12" s="10">
        <v>1</v>
      </c>
      <c r="O12" s="10">
        <v>60</v>
      </c>
      <c r="P12" s="10">
        <v>3</v>
      </c>
      <c r="Q12" s="10">
        <v>96.793000000000006</v>
      </c>
      <c r="R12" s="10">
        <v>5.7619999999999996</v>
      </c>
      <c r="S12" s="10">
        <v>4.9169999999999998</v>
      </c>
      <c r="T12" s="10">
        <v>6.3280000000000003</v>
      </c>
      <c r="U12" s="10">
        <v>8</v>
      </c>
      <c r="V12" s="10">
        <v>8</v>
      </c>
      <c r="W12" s="10">
        <v>8</v>
      </c>
      <c r="X12" s="10">
        <v>8</v>
      </c>
      <c r="Y12" s="9">
        <f t="shared" si="0"/>
        <v>16</v>
      </c>
      <c r="Z12" s="10">
        <v>106.649</v>
      </c>
      <c r="AA12" s="10">
        <v>100</v>
      </c>
      <c r="AB12" s="8">
        <f t="shared" si="1"/>
        <v>0.93765529915892321</v>
      </c>
      <c r="AC12">
        <f t="shared" si="2"/>
        <v>90.758469371489653</v>
      </c>
      <c r="AD12">
        <f t="shared" si="2"/>
        <v>5.4027698337537151</v>
      </c>
      <c r="AE12">
        <f t="shared" si="2"/>
        <v>4.6104511059644251</v>
      </c>
      <c r="AF12">
        <f t="shared" si="2"/>
        <v>5.9334827330776667</v>
      </c>
      <c r="AG12">
        <f t="shared" si="3"/>
        <v>13.040324965425851</v>
      </c>
      <c r="AH12">
        <f t="shared" si="3"/>
        <v>16.78242350645003</v>
      </c>
      <c r="AI12" s="15"/>
      <c r="AJ12" s="15"/>
      <c r="AK12">
        <f t="shared" si="4"/>
        <v>-94.047090182141275</v>
      </c>
      <c r="AL12">
        <f t="shared" si="5"/>
        <v>6.5446529974689431</v>
      </c>
      <c r="AM12">
        <f t="shared" si="8"/>
        <v>12.827519875039128</v>
      </c>
      <c r="AN12">
        <f t="shared" si="6"/>
        <v>-106.8746100571804</v>
      </c>
      <c r="AO12">
        <f t="shared" si="7"/>
        <v>-81.219570307102146</v>
      </c>
    </row>
    <row r="13" spans="1:41" x14ac:dyDescent="0.25">
      <c r="A13" s="8" t="s">
        <v>56</v>
      </c>
      <c r="B13" s="8" t="s">
        <v>53</v>
      </c>
      <c r="C13" s="8" t="s">
        <v>43</v>
      </c>
      <c r="D13" s="8" t="s">
        <v>50</v>
      </c>
      <c r="E13" s="8" t="s">
        <v>58</v>
      </c>
      <c r="F13" s="10">
        <v>100</v>
      </c>
      <c r="G13" s="10">
        <v>1</v>
      </c>
      <c r="H13" s="10" t="s">
        <v>46</v>
      </c>
      <c r="I13" s="10">
        <v>25</v>
      </c>
      <c r="J13" s="10">
        <v>70</v>
      </c>
      <c r="K13" s="10">
        <v>60</v>
      </c>
      <c r="L13" s="9" t="s">
        <v>47</v>
      </c>
      <c r="M13" s="10">
        <v>12</v>
      </c>
      <c r="N13" s="10">
        <v>1</v>
      </c>
      <c r="O13" s="10">
        <v>60</v>
      </c>
      <c r="P13" s="10">
        <v>3</v>
      </c>
      <c r="Q13" s="10">
        <v>98.337000000000003</v>
      </c>
      <c r="R13" s="10">
        <v>-2.1749999999999998</v>
      </c>
      <c r="S13" s="10">
        <v>1.4410000000000001</v>
      </c>
      <c r="T13" s="10">
        <v>8.0549999999999997</v>
      </c>
      <c r="U13" s="10">
        <v>8</v>
      </c>
      <c r="V13" s="10">
        <v>8</v>
      </c>
      <c r="W13" s="10">
        <v>8</v>
      </c>
      <c r="X13" s="10">
        <v>8</v>
      </c>
      <c r="Y13" s="9">
        <f t="shared" si="0"/>
        <v>16</v>
      </c>
      <c r="Z13" s="10">
        <v>107.274</v>
      </c>
      <c r="AA13" s="10">
        <v>100</v>
      </c>
      <c r="AB13" s="8">
        <f t="shared" si="1"/>
        <v>0.93219232992150936</v>
      </c>
      <c r="AC13">
        <f t="shared" si="2"/>
        <v>91.668997147491467</v>
      </c>
      <c r="AD13">
        <f t="shared" si="2"/>
        <v>-2.0275183175792826</v>
      </c>
      <c r="AE13">
        <f t="shared" si="2"/>
        <v>1.3432891474168951</v>
      </c>
      <c r="AF13">
        <f t="shared" si="2"/>
        <v>7.5088092175177579</v>
      </c>
      <c r="AG13">
        <f t="shared" si="3"/>
        <v>3.7993954609311298</v>
      </c>
      <c r="AH13">
        <f t="shared" si="3"/>
        <v>21.238119665371443</v>
      </c>
      <c r="AI13" s="15"/>
      <c r="AJ13" s="15"/>
      <c r="AK13">
        <f t="shared" si="4"/>
        <v>-102.21178193355502</v>
      </c>
      <c r="AL13">
        <f t="shared" si="5"/>
        <v>-8.1912841091255402</v>
      </c>
      <c r="AM13">
        <f t="shared" si="8"/>
        <v>-16.054916853886059</v>
      </c>
      <c r="AN13">
        <f t="shared" si="6"/>
        <v>-86.156865079668961</v>
      </c>
      <c r="AO13">
        <f t="shared" si="7"/>
        <v>-118.26669878744107</v>
      </c>
    </row>
    <row r="14" spans="1:41" x14ac:dyDescent="0.25">
      <c r="A14" s="11" t="s">
        <v>56</v>
      </c>
      <c r="B14" s="11" t="s">
        <v>42</v>
      </c>
      <c r="C14" s="11" t="s">
        <v>43</v>
      </c>
      <c r="D14" s="11" t="s">
        <v>60</v>
      </c>
      <c r="E14" s="11" t="s">
        <v>64</v>
      </c>
      <c r="F14" s="11"/>
      <c r="G14" s="12">
        <v>1</v>
      </c>
      <c r="H14" s="11" t="s">
        <v>59</v>
      </c>
      <c r="I14" s="12">
        <v>25</v>
      </c>
      <c r="J14" s="11">
        <v>70</v>
      </c>
      <c r="K14" s="10">
        <v>60</v>
      </c>
      <c r="L14" s="9" t="s">
        <v>47</v>
      </c>
      <c r="M14" s="11">
        <v>12</v>
      </c>
      <c r="N14" s="11">
        <v>1</v>
      </c>
      <c r="O14" s="11">
        <v>60</v>
      </c>
      <c r="P14" s="11">
        <v>3</v>
      </c>
      <c r="Q14" s="11">
        <v>82.873000000000005</v>
      </c>
      <c r="R14" s="11">
        <v>6.3789999999999996</v>
      </c>
      <c r="S14" s="11">
        <f>2*3.131</f>
        <v>6.2619999999999996</v>
      </c>
      <c r="T14" s="11">
        <v>4.9390000000000001</v>
      </c>
      <c r="U14" s="11">
        <v>6</v>
      </c>
      <c r="V14" s="11">
        <v>6</v>
      </c>
      <c r="W14" s="11">
        <v>6</v>
      </c>
      <c r="X14" s="11">
        <v>6</v>
      </c>
      <c r="Y14" s="9">
        <f t="shared" si="0"/>
        <v>12</v>
      </c>
      <c r="Z14" s="11">
        <v>99.483000000000004</v>
      </c>
      <c r="AA14" s="11">
        <v>100</v>
      </c>
      <c r="AB14" s="11">
        <f t="shared" si="1"/>
        <v>1.0051968678065599</v>
      </c>
      <c r="AC14">
        <f t="shared" si="2"/>
        <v>83.303680025733044</v>
      </c>
      <c r="AD14">
        <f t="shared" si="2"/>
        <v>6.412150819738045</v>
      </c>
      <c r="AE14">
        <f t="shared" si="2"/>
        <v>6.2945427862046781</v>
      </c>
      <c r="AF14">
        <f t="shared" si="2"/>
        <v>4.9646673300965993</v>
      </c>
      <c r="AG14">
        <f t="shared" si="3"/>
        <v>15.418417990318204</v>
      </c>
      <c r="AH14">
        <f t="shared" si="3"/>
        <v>12.160901701402366</v>
      </c>
      <c r="AI14" s="15"/>
      <c r="AJ14" s="15"/>
      <c r="AK14">
        <f t="shared" si="4"/>
        <v>-92.302680004343998</v>
      </c>
      <c r="AL14">
        <f t="shared" si="5"/>
        <v>5.9880349474037615</v>
      </c>
      <c r="AM14">
        <f t="shared" si="8"/>
        <v>11.736548496911372</v>
      </c>
      <c r="AN14">
        <f t="shared" si="6"/>
        <v>-104.03922850125537</v>
      </c>
      <c r="AO14">
        <f t="shared" si="7"/>
        <v>-80.56613150743263</v>
      </c>
    </row>
    <row r="15" spans="1:41" x14ac:dyDescent="0.25">
      <c r="A15" s="13" t="s">
        <v>56</v>
      </c>
      <c r="B15" s="13" t="s">
        <v>42</v>
      </c>
      <c r="C15" s="11" t="s">
        <v>43</v>
      </c>
      <c r="D15" s="13" t="s">
        <v>65</v>
      </c>
      <c r="E15" s="13" t="s">
        <v>64</v>
      </c>
      <c r="F15" s="13"/>
      <c r="G15" s="14">
        <v>1</v>
      </c>
      <c r="H15" s="13" t="s">
        <v>59</v>
      </c>
      <c r="I15" s="14">
        <v>25</v>
      </c>
      <c r="J15" s="13">
        <v>70</v>
      </c>
      <c r="K15" s="10">
        <v>60</v>
      </c>
      <c r="L15" s="9" t="s">
        <v>47</v>
      </c>
      <c r="M15" s="13">
        <v>12</v>
      </c>
      <c r="N15" s="13">
        <v>1</v>
      </c>
      <c r="O15" s="13">
        <v>60</v>
      </c>
      <c r="P15" s="13">
        <v>3</v>
      </c>
      <c r="Q15" s="13">
        <v>31.1</v>
      </c>
      <c r="R15" s="13">
        <v>-1.08</v>
      </c>
      <c r="S15" s="13">
        <v>2.31</v>
      </c>
      <c r="T15" s="13">
        <v>5.08</v>
      </c>
      <c r="U15" s="13">
        <v>6</v>
      </c>
      <c r="V15" s="13">
        <v>6</v>
      </c>
      <c r="W15" s="13">
        <v>6</v>
      </c>
      <c r="X15" s="13">
        <v>6</v>
      </c>
      <c r="Y15" s="9">
        <f t="shared" si="0"/>
        <v>12</v>
      </c>
      <c r="Z15" s="13">
        <v>37.72</v>
      </c>
      <c r="AA15" s="13">
        <v>100</v>
      </c>
      <c r="AB15" s="13">
        <f t="shared" si="1"/>
        <v>2.6511134676564159</v>
      </c>
      <c r="AC15">
        <f t="shared" si="2"/>
        <v>82.449628844114542</v>
      </c>
      <c r="AD15">
        <f t="shared" si="2"/>
        <v>-2.8632025450689293</v>
      </c>
      <c r="AE15">
        <f t="shared" si="2"/>
        <v>6.1240721102863205</v>
      </c>
      <c r="AF15">
        <f t="shared" si="2"/>
        <v>13.467656415694593</v>
      </c>
      <c r="AG15">
        <f t="shared" si="3"/>
        <v>15.000851818210872</v>
      </c>
      <c r="AH15">
        <f t="shared" si="3"/>
        <v>32.988886249571962</v>
      </c>
      <c r="AI15" s="15"/>
      <c r="AJ15" s="15"/>
      <c r="AK15">
        <f t="shared" si="4"/>
        <v>-103.47266881028938</v>
      </c>
      <c r="AL15">
        <f t="shared" si="5"/>
        <v>-16.33644157487398</v>
      </c>
      <c r="AM15">
        <f t="shared" si="8"/>
        <v>-32.019425486753001</v>
      </c>
      <c r="AN15">
        <f t="shared" si="6"/>
        <v>-71.453243323536384</v>
      </c>
      <c r="AO15">
        <f t="shared" si="7"/>
        <v>-135.49209429704237</v>
      </c>
    </row>
    <row r="16" spans="1:41" x14ac:dyDescent="0.25">
      <c r="A16" s="13" t="s">
        <v>56</v>
      </c>
      <c r="B16" s="13" t="s">
        <v>42</v>
      </c>
      <c r="C16" s="11" t="s">
        <v>43</v>
      </c>
      <c r="D16" s="13" t="s">
        <v>66</v>
      </c>
      <c r="E16" s="13" t="s">
        <v>64</v>
      </c>
      <c r="F16" s="13"/>
      <c r="G16" s="14">
        <v>1</v>
      </c>
      <c r="H16" s="13" t="s">
        <v>59</v>
      </c>
      <c r="I16" s="14">
        <v>25</v>
      </c>
      <c r="J16" s="13">
        <v>70</v>
      </c>
      <c r="K16" s="10">
        <v>60</v>
      </c>
      <c r="L16" s="9" t="s">
        <v>47</v>
      </c>
      <c r="M16" s="13">
        <v>12</v>
      </c>
      <c r="N16" s="13">
        <v>1</v>
      </c>
      <c r="O16" s="13">
        <v>60</v>
      </c>
      <c r="P16" s="13">
        <v>3</v>
      </c>
      <c r="Q16" s="13">
        <v>31.1</v>
      </c>
      <c r="R16" s="13">
        <v>1.23</v>
      </c>
      <c r="S16" s="13">
        <v>2.31</v>
      </c>
      <c r="T16" s="13">
        <v>3.7</v>
      </c>
      <c r="U16" s="13">
        <v>6</v>
      </c>
      <c r="V16" s="13">
        <v>6</v>
      </c>
      <c r="W16" s="13">
        <v>6</v>
      </c>
      <c r="X16" s="13">
        <v>6</v>
      </c>
      <c r="Y16" s="9">
        <f t="shared" si="0"/>
        <v>12</v>
      </c>
      <c r="Z16" s="13">
        <v>37.72</v>
      </c>
      <c r="AA16" s="13">
        <v>100</v>
      </c>
      <c r="AB16" s="13">
        <f t="shared" si="1"/>
        <v>2.6511134676564159</v>
      </c>
      <c r="AC16">
        <f t="shared" si="2"/>
        <v>82.449628844114542</v>
      </c>
      <c r="AD16">
        <f t="shared" si="2"/>
        <v>3.2608695652173916</v>
      </c>
      <c r="AE16">
        <f t="shared" si="2"/>
        <v>6.1240721102863205</v>
      </c>
      <c r="AF16">
        <f t="shared" si="2"/>
        <v>9.8091198303287399</v>
      </c>
      <c r="AG16">
        <f t="shared" si="3"/>
        <v>15.000851818210872</v>
      </c>
      <c r="AH16">
        <f t="shared" si="3"/>
        <v>24.027338410121313</v>
      </c>
      <c r="AI16" s="15"/>
      <c r="AJ16" s="15"/>
      <c r="AK16">
        <f t="shared" si="4"/>
        <v>-96.045016077170416</v>
      </c>
      <c r="AL16">
        <f t="shared" si="5"/>
        <v>11.900732337388238</v>
      </c>
      <c r="AM16">
        <f t="shared" si="8"/>
        <v>23.325435381280947</v>
      </c>
      <c r="AN16">
        <f t="shared" si="6"/>
        <v>-119.37045145845136</v>
      </c>
      <c r="AO16">
        <f t="shared" si="7"/>
        <v>-72.719580695889476</v>
      </c>
    </row>
  </sheetData>
  <conditionalFormatting sqref="P9:P16">
    <cfRule type="cellIs" dxfId="2" priority="2" operator="greaterThan">
      <formula>5</formula>
    </cfRule>
  </conditionalFormatting>
  <conditionalFormatting sqref="P2:P3">
    <cfRule type="cellIs" dxfId="1" priority="1" operator="greaterThan">
      <formula>5</formula>
    </cfRule>
  </conditionalFormatting>
  <conditionalFormatting sqref="P4:P8">
    <cfRule type="cellIs" dxfId="0" priority="3" operator="greaterThan">
      <formula>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2015-11-26T13:12:42Z</dcterms:modified>
</cp:coreProperties>
</file>