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6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USER\Desktop\Nicoletta PhD\Grafici\"/>
    </mc:Choice>
  </mc:AlternateContent>
  <xr:revisionPtr revIDLastSave="0" documentId="13_ncr:1_{1ABB5D2D-ACA1-4638-B369-ADCC74B262C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Furfural - Figure2 - TableS3" sheetId="2" r:id="rId1"/>
    <sheet name="Figure 3" sheetId="5" r:id="rId2"/>
    <sheet name="DFF - Figure 4, 5 and Table S5" sheetId="1" r:id="rId3"/>
    <sheet name="Figure S1" sheetId="6" r:id="rId4"/>
    <sheet name="Figure S6" sheetId="7" r:id="rId5"/>
    <sheet name="Calibration" sheetId="4" r:id="rId6"/>
  </sheets>
  <externalReferences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7" l="1"/>
  <c r="D23" i="7"/>
  <c r="E22" i="7"/>
  <c r="D22" i="7"/>
  <c r="E21" i="7"/>
  <c r="D21" i="7"/>
  <c r="E20" i="7"/>
  <c r="D20" i="7"/>
  <c r="E19" i="7"/>
  <c r="D19" i="7"/>
  <c r="E18" i="7"/>
  <c r="D18" i="7"/>
  <c r="E8" i="7"/>
  <c r="D8" i="7"/>
  <c r="E7" i="7"/>
  <c r="D7" i="7"/>
  <c r="E6" i="7"/>
  <c r="D6" i="7"/>
  <c r="E5" i="7"/>
  <c r="D5" i="7"/>
  <c r="E4" i="7"/>
  <c r="D4" i="7"/>
  <c r="E3" i="7"/>
  <c r="D3" i="7"/>
  <c r="G36" i="6"/>
  <c r="F36" i="6"/>
  <c r="H35" i="6"/>
  <c r="G35" i="6"/>
  <c r="J35" i="6" s="1"/>
  <c r="F35" i="6"/>
  <c r="I35" i="6" s="1"/>
  <c r="I34" i="6"/>
  <c r="H34" i="6"/>
  <c r="G34" i="6"/>
  <c r="J34" i="6" s="1"/>
  <c r="F34" i="6"/>
  <c r="H25" i="6"/>
  <c r="G25" i="6"/>
  <c r="J25" i="6" s="1"/>
  <c r="F25" i="6"/>
  <c r="I25" i="6" s="1"/>
  <c r="E25" i="6"/>
  <c r="E26" i="6" s="1"/>
  <c r="G24" i="6"/>
  <c r="F24" i="6"/>
  <c r="G23" i="6"/>
  <c r="F23" i="6"/>
  <c r="G22" i="6"/>
  <c r="F22" i="6"/>
  <c r="G21" i="6"/>
  <c r="F21" i="6"/>
  <c r="H20" i="6"/>
  <c r="G20" i="6"/>
  <c r="J20" i="6" s="1"/>
  <c r="F20" i="6"/>
  <c r="I20" i="6" s="1"/>
  <c r="G19" i="6"/>
  <c r="F19" i="6"/>
  <c r="H18" i="6"/>
  <c r="G18" i="6"/>
  <c r="J18" i="6" s="1"/>
  <c r="F18" i="6"/>
  <c r="I18" i="6" s="1"/>
  <c r="I17" i="6"/>
  <c r="H17" i="6"/>
  <c r="G17" i="6"/>
  <c r="J17" i="6" s="1"/>
  <c r="F17" i="6"/>
  <c r="H16" i="6"/>
  <c r="G16" i="6"/>
  <c r="J16" i="6" s="1"/>
  <c r="F16" i="6"/>
  <c r="I16" i="6" s="1"/>
  <c r="B8" i="6"/>
  <c r="G36" i="5"/>
  <c r="H36" i="5" s="1"/>
  <c r="F36" i="5"/>
  <c r="H35" i="5"/>
  <c r="I35" i="5" s="1"/>
  <c r="G35" i="5"/>
  <c r="J35" i="5" s="1"/>
  <c r="F35" i="5"/>
  <c r="AI34" i="5"/>
  <c r="AH34" i="5"/>
  <c r="U34" i="5"/>
  <c r="T34" i="5"/>
  <c r="I34" i="5"/>
  <c r="H34" i="5"/>
  <c r="G34" i="5"/>
  <c r="J34" i="5" s="1"/>
  <c r="F34" i="5"/>
  <c r="AI33" i="5"/>
  <c r="AH33" i="5"/>
  <c r="AJ32" i="5"/>
  <c r="AL32" i="5" s="1"/>
  <c r="AI32" i="5"/>
  <c r="AH32" i="5"/>
  <c r="AJ31" i="5"/>
  <c r="AL31" i="5" s="1"/>
  <c r="AI31" i="5"/>
  <c r="AH31" i="5"/>
  <c r="AI30" i="5"/>
  <c r="AH30" i="5"/>
  <c r="AJ29" i="5"/>
  <c r="AL29" i="5" s="1"/>
  <c r="AI29" i="5"/>
  <c r="AH29" i="5"/>
  <c r="AJ28" i="5"/>
  <c r="AL28" i="5" s="1"/>
  <c r="AI28" i="5"/>
  <c r="AH28" i="5"/>
  <c r="AI27" i="5"/>
  <c r="AH27" i="5"/>
  <c r="AJ26" i="5"/>
  <c r="AL26" i="5" s="1"/>
  <c r="AI26" i="5"/>
  <c r="AH26" i="5"/>
  <c r="S26" i="5"/>
  <c r="AJ25" i="5"/>
  <c r="AL25" i="5" s="1"/>
  <c r="AI25" i="5"/>
  <c r="AH25" i="5"/>
  <c r="U25" i="5"/>
  <c r="S25" i="5"/>
  <c r="T25" i="5" s="1"/>
  <c r="G25" i="5"/>
  <c r="E25" i="5"/>
  <c r="F25" i="5" s="1"/>
  <c r="AI24" i="5"/>
  <c r="AH24" i="5"/>
  <c r="U24" i="5"/>
  <c r="T24" i="5"/>
  <c r="I24" i="5"/>
  <c r="H24" i="5"/>
  <c r="J24" i="5" s="1"/>
  <c r="G24" i="5"/>
  <c r="F24" i="5"/>
  <c r="AI23" i="5"/>
  <c r="AH23" i="5"/>
  <c r="V23" i="5"/>
  <c r="W23" i="5" s="1"/>
  <c r="U23" i="5"/>
  <c r="T23" i="5"/>
  <c r="H23" i="5"/>
  <c r="J23" i="5" s="1"/>
  <c r="G23" i="5"/>
  <c r="F23" i="5"/>
  <c r="AJ22" i="5"/>
  <c r="AL22" i="5" s="1"/>
  <c r="AI22" i="5"/>
  <c r="AH22" i="5"/>
  <c r="U22" i="5"/>
  <c r="V22" i="5" s="1"/>
  <c r="W22" i="5" s="1"/>
  <c r="T22" i="5"/>
  <c r="G22" i="5"/>
  <c r="H22" i="5" s="1"/>
  <c r="F22" i="5"/>
  <c r="AJ21" i="5"/>
  <c r="AL21" i="5" s="1"/>
  <c r="AI21" i="5"/>
  <c r="AH21" i="5"/>
  <c r="V21" i="5"/>
  <c r="W21" i="5" s="1"/>
  <c r="U21" i="5"/>
  <c r="T21" i="5"/>
  <c r="G21" i="5"/>
  <c r="F21" i="5"/>
  <c r="H21" i="5" s="1"/>
  <c r="AJ20" i="5"/>
  <c r="AL20" i="5" s="1"/>
  <c r="AI20" i="5"/>
  <c r="AH20" i="5"/>
  <c r="U20" i="5"/>
  <c r="V20" i="5" s="1"/>
  <c r="W20" i="5" s="1"/>
  <c r="T20" i="5"/>
  <c r="G20" i="5"/>
  <c r="F20" i="5"/>
  <c r="AI19" i="5"/>
  <c r="AH19" i="5"/>
  <c r="V19" i="5"/>
  <c r="W19" i="5" s="1"/>
  <c r="U19" i="5"/>
  <c r="T19" i="5"/>
  <c r="G19" i="5"/>
  <c r="F19" i="5"/>
  <c r="AI18" i="5"/>
  <c r="AH18" i="5"/>
  <c r="U18" i="5"/>
  <c r="V18" i="5" s="1"/>
  <c r="W18" i="5" s="1"/>
  <c r="T18" i="5"/>
  <c r="H18" i="5"/>
  <c r="J18" i="5" s="1"/>
  <c r="G18" i="5"/>
  <c r="F18" i="5"/>
  <c r="AI17" i="5"/>
  <c r="AH17" i="5"/>
  <c r="U17" i="5"/>
  <c r="T17" i="5"/>
  <c r="G17" i="5"/>
  <c r="F17" i="5"/>
  <c r="AI16" i="5"/>
  <c r="AH16" i="5"/>
  <c r="AJ16" i="5" s="1"/>
  <c r="U16" i="5"/>
  <c r="V16" i="5" s="1"/>
  <c r="W16" i="5" s="1"/>
  <c r="T16" i="5"/>
  <c r="G16" i="5"/>
  <c r="H16" i="5" s="1"/>
  <c r="J16" i="5" s="1"/>
  <c r="F16" i="5"/>
  <c r="AD8" i="5"/>
  <c r="P8" i="5"/>
  <c r="B8" i="5"/>
  <c r="A15" i="4"/>
  <c r="A16" i="4" s="1"/>
  <c r="A17" i="4" s="1"/>
  <c r="A18" i="4" s="1"/>
  <c r="A14" i="4"/>
  <c r="G222" i="2"/>
  <c r="D90" i="2"/>
  <c r="F92" i="2"/>
  <c r="D92" i="2"/>
  <c r="F14" i="1"/>
  <c r="G14" i="1" s="1"/>
  <c r="I146" i="1"/>
  <c r="F146" i="1"/>
  <c r="H85" i="1"/>
  <c r="E85" i="1"/>
  <c r="F2" i="1"/>
  <c r="G2" i="1" s="1"/>
  <c r="G177" i="2"/>
  <c r="D177" i="2"/>
  <c r="G174" i="2"/>
  <c r="G175" i="2"/>
  <c r="G176" i="2"/>
  <c r="G178" i="2"/>
  <c r="G173" i="2"/>
  <c r="D173" i="2"/>
  <c r="D183" i="2"/>
  <c r="G185" i="2"/>
  <c r="H173" i="2"/>
  <c r="F222" i="2"/>
  <c r="D222" i="2" s="1"/>
  <c r="H176" i="2"/>
  <c r="E173" i="2"/>
  <c r="F173" i="2"/>
  <c r="E118" i="2"/>
  <c r="J94" i="2"/>
  <c r="J92" i="2"/>
  <c r="H92" i="2"/>
  <c r="F90" i="2"/>
  <c r="T76" i="2"/>
  <c r="H183" i="2"/>
  <c r="K16" i="6" l="1"/>
  <c r="B40" i="6" s="1"/>
  <c r="L16" i="6"/>
  <c r="C40" i="6" s="1"/>
  <c r="I22" i="6"/>
  <c r="I19" i="6"/>
  <c r="J19" i="6"/>
  <c r="I21" i="6"/>
  <c r="E27" i="6"/>
  <c r="G26" i="6"/>
  <c r="F26" i="6"/>
  <c r="H19" i="6"/>
  <c r="H21" i="6"/>
  <c r="J21" i="6" s="1"/>
  <c r="H23" i="6"/>
  <c r="J23" i="6" s="1"/>
  <c r="H36" i="6"/>
  <c r="I36" i="6" s="1"/>
  <c r="H22" i="6"/>
  <c r="J22" i="6" s="1"/>
  <c r="H24" i="6"/>
  <c r="J24" i="6" s="1"/>
  <c r="AL23" i="5"/>
  <c r="AK16" i="5"/>
  <c r="AL16" i="5"/>
  <c r="AM16" i="5" s="1"/>
  <c r="J19" i="5"/>
  <c r="AL33" i="5"/>
  <c r="J21" i="5"/>
  <c r="I21" i="5"/>
  <c r="AJ24" i="5"/>
  <c r="AL24" i="5" s="1"/>
  <c r="AJ27" i="5"/>
  <c r="AL27" i="5" s="1"/>
  <c r="I16" i="5"/>
  <c r="V17" i="5"/>
  <c r="W17" i="5" s="1"/>
  <c r="I18" i="5"/>
  <c r="AJ18" i="5"/>
  <c r="AL18" i="5" s="1"/>
  <c r="AM18" i="5" s="1"/>
  <c r="H20" i="5"/>
  <c r="J20" i="5" s="1"/>
  <c r="J22" i="5"/>
  <c r="I23" i="5"/>
  <c r="AJ23" i="5"/>
  <c r="AK23" i="5" s="1"/>
  <c r="W25" i="5"/>
  <c r="AK25" i="5"/>
  <c r="AK26" i="5"/>
  <c r="AK31" i="5"/>
  <c r="AM31" i="5" s="1"/>
  <c r="AK32" i="5"/>
  <c r="AM32" i="5" s="1"/>
  <c r="X16" i="5"/>
  <c r="X18" i="5"/>
  <c r="X22" i="5"/>
  <c r="AM25" i="5"/>
  <c r="J36" i="5"/>
  <c r="H17" i="5"/>
  <c r="J17" i="5" s="1"/>
  <c r="AJ17" i="5"/>
  <c r="AL17" i="5" s="1"/>
  <c r="H19" i="5"/>
  <c r="AJ19" i="5"/>
  <c r="AL19" i="5" s="1"/>
  <c r="X20" i="5"/>
  <c r="AK20" i="5"/>
  <c r="AM20" i="5" s="1"/>
  <c r="AK21" i="5"/>
  <c r="AM21" i="5" s="1"/>
  <c r="AM22" i="5"/>
  <c r="H25" i="5"/>
  <c r="I25" i="5" s="1"/>
  <c r="X25" i="5"/>
  <c r="S27" i="5"/>
  <c r="U26" i="5"/>
  <c r="AK30" i="5"/>
  <c r="AJ30" i="5"/>
  <c r="AL30" i="5" s="1"/>
  <c r="V34" i="5"/>
  <c r="W34" i="5" s="1"/>
  <c r="I17" i="5"/>
  <c r="I19" i="5"/>
  <c r="AM26" i="5"/>
  <c r="AJ33" i="5"/>
  <c r="AK33" i="5" s="1"/>
  <c r="X17" i="5"/>
  <c r="AK18" i="5"/>
  <c r="X19" i="5"/>
  <c r="I20" i="5"/>
  <c r="X21" i="5"/>
  <c r="I22" i="5"/>
  <c r="AK22" i="5"/>
  <c r="X23" i="5"/>
  <c r="V24" i="5"/>
  <c r="W24" i="5" s="1"/>
  <c r="V25" i="5"/>
  <c r="T26" i="5"/>
  <c r="AK28" i="5"/>
  <c r="AM28" i="5" s="1"/>
  <c r="AK29" i="5"/>
  <c r="AM29" i="5" s="1"/>
  <c r="AJ34" i="5"/>
  <c r="AL34" i="5" s="1"/>
  <c r="I36" i="5"/>
  <c r="E26" i="5"/>
  <c r="I24" i="6" l="1"/>
  <c r="E28" i="6"/>
  <c r="G27" i="6"/>
  <c r="F27" i="6"/>
  <c r="H26" i="6"/>
  <c r="I26" i="6" s="1"/>
  <c r="L19" i="6"/>
  <c r="C41" i="6" s="1"/>
  <c r="K19" i="6"/>
  <c r="B41" i="6" s="1"/>
  <c r="L22" i="6"/>
  <c r="C42" i="6" s="1"/>
  <c r="K22" i="6"/>
  <c r="B42" i="6" s="1"/>
  <c r="J36" i="6"/>
  <c r="I23" i="6"/>
  <c r="L16" i="5"/>
  <c r="C40" i="5" s="1"/>
  <c r="AU16" i="5" s="1"/>
  <c r="K16" i="5"/>
  <c r="B40" i="5" s="1"/>
  <c r="AT16" i="5" s="1"/>
  <c r="AN31" i="5"/>
  <c r="AD42" i="5" s="1"/>
  <c r="AX21" i="5" s="1"/>
  <c r="AM33" i="5"/>
  <c r="AO31" i="5" s="1"/>
  <c r="AE42" i="5" s="1"/>
  <c r="AY21" i="5" s="1"/>
  <c r="J25" i="5"/>
  <c r="L22" i="5"/>
  <c r="C42" i="5" s="1"/>
  <c r="AU18" i="5" s="1"/>
  <c r="K22" i="5"/>
  <c r="B42" i="5" s="1"/>
  <c r="AT18" i="5" s="1"/>
  <c r="AK27" i="5"/>
  <c r="AM27" i="5" s="1"/>
  <c r="T27" i="5"/>
  <c r="S28" i="5"/>
  <c r="U27" i="5"/>
  <c r="AM23" i="5"/>
  <c r="W26" i="5"/>
  <c r="Z19" i="5"/>
  <c r="Q39" i="5" s="1"/>
  <c r="AW17" i="5" s="1"/>
  <c r="Y19" i="5"/>
  <c r="P39" i="5" s="1"/>
  <c r="AV17" i="5" s="1"/>
  <c r="Y16" i="5"/>
  <c r="P38" i="5" s="1"/>
  <c r="AV16" i="5" s="1"/>
  <c r="Z16" i="5"/>
  <c r="Q38" i="5" s="1"/>
  <c r="AW16" i="5" s="1"/>
  <c r="AK17" i="5"/>
  <c r="AM17" i="5" s="1"/>
  <c r="F26" i="5"/>
  <c r="E27" i="5"/>
  <c r="G26" i="5"/>
  <c r="AK19" i="5"/>
  <c r="AM19" i="5" s="1"/>
  <c r="K19" i="5"/>
  <c r="B41" i="5" s="1"/>
  <c r="AT17" i="5" s="1"/>
  <c r="L19" i="5"/>
  <c r="C41" i="5" s="1"/>
  <c r="AU17" i="5" s="1"/>
  <c r="AK34" i="5"/>
  <c r="AM34" i="5" s="1"/>
  <c r="AM30" i="5"/>
  <c r="AO28" i="5" s="1"/>
  <c r="AE41" i="5" s="1"/>
  <c r="AY20" i="5" s="1"/>
  <c r="V26" i="5"/>
  <c r="X26" i="5" s="1"/>
  <c r="X24" i="5"/>
  <c r="Z22" i="5" s="1"/>
  <c r="Q40" i="5" s="1"/>
  <c r="AW18" i="5" s="1"/>
  <c r="X34" i="5"/>
  <c r="AK24" i="5"/>
  <c r="AM24" i="5" s="1"/>
  <c r="E222" i="2"/>
  <c r="G209" i="2"/>
  <c r="G182" i="2"/>
  <c r="G211" i="2"/>
  <c r="G212" i="2"/>
  <c r="G214" i="2"/>
  <c r="F210" i="2"/>
  <c r="D210" i="2" s="1"/>
  <c r="F211" i="2"/>
  <c r="D211" i="2" s="1"/>
  <c r="F212" i="2"/>
  <c r="D212" i="2" s="1"/>
  <c r="F213" i="2"/>
  <c r="D213" i="2" s="1"/>
  <c r="F214" i="2"/>
  <c r="F209" i="2"/>
  <c r="D209" i="2" s="1"/>
  <c r="E209" i="2"/>
  <c r="E210" i="2"/>
  <c r="G210" i="2" s="1"/>
  <c r="E211" i="2"/>
  <c r="E212" i="2"/>
  <c r="E213" i="2"/>
  <c r="G213" i="2" s="1"/>
  <c r="E214" i="2"/>
  <c r="D214" i="2"/>
  <c r="F201" i="2"/>
  <c r="D201" i="2" s="1"/>
  <c r="F202" i="2"/>
  <c r="D202" i="2" s="1"/>
  <c r="F203" i="2"/>
  <c r="F204" i="2"/>
  <c r="F205" i="2"/>
  <c r="F200" i="2"/>
  <c r="D200" i="2" s="1"/>
  <c r="E200" i="2"/>
  <c r="G200" i="2" s="1"/>
  <c r="E201" i="2"/>
  <c r="E202" i="2"/>
  <c r="E203" i="2"/>
  <c r="G203" i="2" s="1"/>
  <c r="E204" i="2"/>
  <c r="G204" i="2" s="1"/>
  <c r="E205" i="2"/>
  <c r="G205" i="2" s="1"/>
  <c r="E192" i="2"/>
  <c r="E193" i="2"/>
  <c r="E194" i="2"/>
  <c r="G194" i="2" s="1"/>
  <c r="E195" i="2"/>
  <c r="G195" i="2" s="1"/>
  <c r="E196" i="2"/>
  <c r="E191" i="2"/>
  <c r="D193" i="2"/>
  <c r="G201" i="2"/>
  <c r="G192" i="2"/>
  <c r="G193" i="2"/>
  <c r="G196" i="2"/>
  <c r="F192" i="2"/>
  <c r="D192" i="2" s="1"/>
  <c r="F193" i="2"/>
  <c r="F194" i="2"/>
  <c r="D194" i="2" s="1"/>
  <c r="F195" i="2"/>
  <c r="D195" i="2" s="1"/>
  <c r="F196" i="2"/>
  <c r="F191" i="2"/>
  <c r="D191" i="2" s="1"/>
  <c r="F187" i="2"/>
  <c r="D187" i="2" s="1"/>
  <c r="E187" i="2"/>
  <c r="G187" i="2" s="1"/>
  <c r="D181" i="2"/>
  <c r="D179" i="2"/>
  <c r="D180" i="2"/>
  <c r="G183" i="2"/>
  <c r="F174" i="2"/>
  <c r="F175" i="2"/>
  <c r="D175" i="2" s="1"/>
  <c r="F176" i="2"/>
  <c r="D176" i="2" s="1"/>
  <c r="F177" i="2"/>
  <c r="F178" i="2"/>
  <c r="D178" i="2" s="1"/>
  <c r="F179" i="2"/>
  <c r="F180" i="2"/>
  <c r="F181" i="2"/>
  <c r="F182" i="2"/>
  <c r="D182" i="2" s="1"/>
  <c r="F183" i="2"/>
  <c r="F184" i="2"/>
  <c r="D184" i="2" s="1"/>
  <c r="F185" i="2"/>
  <c r="D185" i="2" s="1"/>
  <c r="F186" i="2"/>
  <c r="D186" i="2" s="1"/>
  <c r="E174" i="2"/>
  <c r="E175" i="2"/>
  <c r="H175" i="2" s="1"/>
  <c r="I175" i="2" s="1"/>
  <c r="E176" i="2"/>
  <c r="E177" i="2"/>
  <c r="E178" i="2"/>
  <c r="E179" i="2"/>
  <c r="E180" i="2"/>
  <c r="E181" i="2"/>
  <c r="E182" i="2"/>
  <c r="H182" i="2" s="1"/>
  <c r="I182" i="2" s="1"/>
  <c r="E183" i="2"/>
  <c r="E184" i="2"/>
  <c r="G184" i="2" s="1"/>
  <c r="E185" i="2"/>
  <c r="E186" i="2"/>
  <c r="G186" i="2" s="1"/>
  <c r="H178" i="2"/>
  <c r="I178" i="2" s="1"/>
  <c r="H179" i="2"/>
  <c r="I179" i="2" s="1"/>
  <c r="H214" i="2"/>
  <c r="I214" i="2" s="1"/>
  <c r="H211" i="2"/>
  <c r="I211" i="2" s="1"/>
  <c r="H201" i="2"/>
  <c r="I201" i="2" s="1"/>
  <c r="H194" i="2"/>
  <c r="I194" i="2" s="1"/>
  <c r="H193" i="2"/>
  <c r="I193" i="2" s="1"/>
  <c r="L180" i="2"/>
  <c r="H162" i="1"/>
  <c r="H147" i="1"/>
  <c r="H146" i="1"/>
  <c r="F150" i="2"/>
  <c r="D150" i="2" s="1"/>
  <c r="E150" i="2"/>
  <c r="F119" i="2"/>
  <c r="D119" i="2" s="1"/>
  <c r="F120" i="2"/>
  <c r="D120" i="2" s="1"/>
  <c r="F121" i="2"/>
  <c r="D121" i="2" s="1"/>
  <c r="F122" i="2"/>
  <c r="D122" i="2" s="1"/>
  <c r="F123" i="2"/>
  <c r="F127" i="2"/>
  <c r="D127" i="2" s="1"/>
  <c r="F128" i="2"/>
  <c r="D128" i="2" s="1"/>
  <c r="F129" i="2"/>
  <c r="F130" i="2"/>
  <c r="D130" i="2" s="1"/>
  <c r="F131" i="2"/>
  <c r="D131" i="2" s="1"/>
  <c r="F132" i="2"/>
  <c r="D132" i="2" s="1"/>
  <c r="F136" i="2"/>
  <c r="D136" i="2" s="1"/>
  <c r="F137" i="2"/>
  <c r="D137" i="2" s="1"/>
  <c r="F138" i="2"/>
  <c r="D138" i="2" s="1"/>
  <c r="F139" i="2"/>
  <c r="F140" i="2"/>
  <c r="F141" i="2"/>
  <c r="D141" i="2" s="1"/>
  <c r="F145" i="2"/>
  <c r="D145" i="2" s="1"/>
  <c r="F146" i="2"/>
  <c r="D146" i="2" s="1"/>
  <c r="F147" i="2"/>
  <c r="D147" i="2" s="1"/>
  <c r="F148" i="2"/>
  <c r="D148" i="2" s="1"/>
  <c r="F149" i="2"/>
  <c r="D149" i="2" s="1"/>
  <c r="F118" i="2"/>
  <c r="E128" i="2"/>
  <c r="G128" i="2" s="1"/>
  <c r="E129" i="2"/>
  <c r="G129" i="2" s="1"/>
  <c r="E130" i="2"/>
  <c r="E131" i="2"/>
  <c r="E132" i="2"/>
  <c r="G132" i="2" s="1"/>
  <c r="E136" i="2"/>
  <c r="E137" i="2"/>
  <c r="H137" i="2" s="1"/>
  <c r="I137" i="2" s="1"/>
  <c r="E138" i="2"/>
  <c r="E139" i="2"/>
  <c r="G139" i="2" s="1"/>
  <c r="E140" i="2"/>
  <c r="E141" i="2"/>
  <c r="E145" i="2"/>
  <c r="E146" i="2"/>
  <c r="G146" i="2" s="1"/>
  <c r="E147" i="2"/>
  <c r="E148" i="2"/>
  <c r="G148" i="2" s="1"/>
  <c r="E149" i="2"/>
  <c r="G149" i="2" s="1"/>
  <c r="G150" i="2"/>
  <c r="E127" i="2"/>
  <c r="E119" i="2"/>
  <c r="H119" i="2" s="1"/>
  <c r="I119" i="2" s="1"/>
  <c r="E120" i="2"/>
  <c r="E121" i="2"/>
  <c r="G121" i="2" s="1"/>
  <c r="E122" i="2"/>
  <c r="E123" i="2"/>
  <c r="H121" i="2"/>
  <c r="I121" i="2" s="1"/>
  <c r="G122" i="2"/>
  <c r="G140" i="2"/>
  <c r="L116" i="2"/>
  <c r="G163" i="1"/>
  <c r="H165" i="1"/>
  <c r="F149" i="1"/>
  <c r="G165" i="1"/>
  <c r="E165" i="1" s="1"/>
  <c r="F165" i="1"/>
  <c r="F157" i="1"/>
  <c r="I157" i="1" s="1"/>
  <c r="J157" i="1" s="1"/>
  <c r="F156" i="1"/>
  <c r="H156" i="1" s="1"/>
  <c r="E156" i="1"/>
  <c r="F148" i="1"/>
  <c r="I148" i="1" s="1"/>
  <c r="J148" i="1" s="1"/>
  <c r="J146" i="1"/>
  <c r="E147" i="1"/>
  <c r="E148" i="1"/>
  <c r="E149" i="1"/>
  <c r="E146" i="1"/>
  <c r="G164" i="1"/>
  <c r="G166" i="1"/>
  <c r="E166" i="1" s="1"/>
  <c r="F163" i="1"/>
  <c r="H163" i="1" s="1"/>
  <c r="F164" i="1"/>
  <c r="H164" i="1" s="1"/>
  <c r="F166" i="1"/>
  <c r="H166" i="1" s="1"/>
  <c r="F162" i="1"/>
  <c r="G162" i="1"/>
  <c r="I162" i="1" s="1"/>
  <c r="J162" i="1" s="1"/>
  <c r="E163" i="1"/>
  <c r="E164" i="1"/>
  <c r="E158" i="1"/>
  <c r="E154" i="1"/>
  <c r="F155" i="1"/>
  <c r="H155" i="1" s="1"/>
  <c r="F158" i="1"/>
  <c r="H158" i="1" s="1"/>
  <c r="F154" i="1"/>
  <c r="H154" i="1" s="1"/>
  <c r="F147" i="1"/>
  <c r="I147" i="1" s="1"/>
  <c r="J147" i="1" s="1"/>
  <c r="F150" i="1"/>
  <c r="E155" i="1"/>
  <c r="E157" i="1"/>
  <c r="I155" i="1"/>
  <c r="J155" i="1" s="1"/>
  <c r="E150" i="1"/>
  <c r="F87" i="1"/>
  <c r="D88" i="1" s="1"/>
  <c r="I85" i="1"/>
  <c r="E95" i="1"/>
  <c r="G95" i="1" s="1"/>
  <c r="F95" i="1"/>
  <c r="D96" i="1" s="1"/>
  <c r="E94" i="1"/>
  <c r="E106" i="1"/>
  <c r="G106" i="1" s="1"/>
  <c r="E107" i="1"/>
  <c r="G107" i="1" s="1"/>
  <c r="E108" i="1"/>
  <c r="G108" i="1" s="1"/>
  <c r="E109" i="1"/>
  <c r="G109" i="1" s="1"/>
  <c r="E110" i="1"/>
  <c r="E100" i="1"/>
  <c r="G100" i="1" s="1"/>
  <c r="E101" i="1"/>
  <c r="G101" i="1" s="1"/>
  <c r="E102" i="1"/>
  <c r="G102" i="1" s="1"/>
  <c r="E103" i="1"/>
  <c r="G103" i="1" s="1"/>
  <c r="E99" i="1"/>
  <c r="G99" i="1" s="1"/>
  <c r="E96" i="1"/>
  <c r="G96" i="1" s="1"/>
  <c r="E93" i="1"/>
  <c r="G93" i="1" s="1"/>
  <c r="E92" i="1"/>
  <c r="G92" i="1" s="1"/>
  <c r="F92" i="1"/>
  <c r="D93" i="1" s="1"/>
  <c r="E86" i="1"/>
  <c r="G86" i="1" s="1"/>
  <c r="E87" i="1"/>
  <c r="G87" i="1" s="1"/>
  <c r="E88" i="1"/>
  <c r="G88" i="1" s="1"/>
  <c r="E89" i="1"/>
  <c r="D86" i="1"/>
  <c r="F99" i="1"/>
  <c r="D100" i="1" s="1"/>
  <c r="D87" i="1"/>
  <c r="F88" i="1"/>
  <c r="D89" i="1" s="1"/>
  <c r="F89" i="1"/>
  <c r="D90" i="1" s="1"/>
  <c r="F93" i="1"/>
  <c r="D94" i="1" s="1"/>
  <c r="F94" i="1"/>
  <c r="D95" i="1" s="1"/>
  <c r="F96" i="1"/>
  <c r="D97" i="1" s="1"/>
  <c r="F100" i="1"/>
  <c r="D101" i="1" s="1"/>
  <c r="F101" i="1"/>
  <c r="D102" i="1" s="1"/>
  <c r="F102" i="1"/>
  <c r="D103" i="1" s="1"/>
  <c r="F103" i="1"/>
  <c r="F106" i="1"/>
  <c r="F107" i="1"/>
  <c r="D108" i="1" s="1"/>
  <c r="F108" i="1"/>
  <c r="D109" i="1" s="1"/>
  <c r="F109" i="1"/>
  <c r="D110" i="1" s="1"/>
  <c r="F110" i="1"/>
  <c r="D111" i="1" s="1"/>
  <c r="H94" i="2"/>
  <c r="I94" i="2" s="1"/>
  <c r="I92" i="2"/>
  <c r="F3" i="1"/>
  <c r="G3" i="1" s="1"/>
  <c r="F4" i="1"/>
  <c r="G4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D94" i="2"/>
  <c r="F94" i="2" s="1"/>
  <c r="D93" i="2"/>
  <c r="F93" i="2" s="1"/>
  <c r="D91" i="2"/>
  <c r="F91" i="2" s="1"/>
  <c r="H27" i="6" l="1"/>
  <c r="I27" i="6" s="1"/>
  <c r="J27" i="6"/>
  <c r="J26" i="6"/>
  <c r="G28" i="6"/>
  <c r="F28" i="6"/>
  <c r="E29" i="6"/>
  <c r="AN25" i="5"/>
  <c r="AD40" i="5" s="1"/>
  <c r="AX19" i="5" s="1"/>
  <c r="AO25" i="5"/>
  <c r="AE40" i="5" s="1"/>
  <c r="AY19" i="5" s="1"/>
  <c r="AO22" i="5"/>
  <c r="AE39" i="5" s="1"/>
  <c r="AY18" i="5" s="1"/>
  <c r="AN22" i="5"/>
  <c r="AD39" i="5" s="1"/>
  <c r="AX18" i="5" s="1"/>
  <c r="AO16" i="5"/>
  <c r="AE37" i="5" s="1"/>
  <c r="AY16" i="5" s="1"/>
  <c r="AN16" i="5"/>
  <c r="AD37" i="5" s="1"/>
  <c r="AX16" i="5" s="1"/>
  <c r="AO19" i="5"/>
  <c r="AE38" i="5" s="1"/>
  <c r="AY17" i="5" s="1"/>
  <c r="AN19" i="5"/>
  <c r="AD38" i="5" s="1"/>
  <c r="AX17" i="5" s="1"/>
  <c r="AN28" i="5"/>
  <c r="AD41" i="5" s="1"/>
  <c r="AX20" i="5" s="1"/>
  <c r="Y22" i="5"/>
  <c r="P40" i="5" s="1"/>
  <c r="AV18" i="5" s="1"/>
  <c r="H26" i="5"/>
  <c r="J26" i="5" s="1"/>
  <c r="E28" i="5"/>
  <c r="G27" i="5"/>
  <c r="F27" i="5"/>
  <c r="V27" i="5"/>
  <c r="W27" i="5" s="1"/>
  <c r="I26" i="5"/>
  <c r="T28" i="5"/>
  <c r="S29" i="5"/>
  <c r="U28" i="5"/>
  <c r="H148" i="1"/>
  <c r="H157" i="1"/>
  <c r="I149" i="1"/>
  <c r="J149" i="1" s="1"/>
  <c r="H127" i="2"/>
  <c r="I127" i="2" s="1"/>
  <c r="H120" i="2"/>
  <c r="I120" i="2" s="1"/>
  <c r="H145" i="2"/>
  <c r="I145" i="2" s="1"/>
  <c r="D118" i="2"/>
  <c r="H118" i="2"/>
  <c r="I118" i="2" s="1"/>
  <c r="H212" i="2"/>
  <c r="I212" i="2" s="1"/>
  <c r="D203" i="2"/>
  <c r="H203" i="2"/>
  <c r="I203" i="2" s="1"/>
  <c r="D204" i="2"/>
  <c r="H204" i="2"/>
  <c r="I204" i="2" s="1"/>
  <c r="D205" i="2"/>
  <c r="H205" i="2"/>
  <c r="I205" i="2" s="1"/>
  <c r="D196" i="2"/>
  <c r="H196" i="2"/>
  <c r="I196" i="2" s="1"/>
  <c r="D123" i="2"/>
  <c r="H123" i="2"/>
  <c r="I123" i="2" s="1"/>
  <c r="H222" i="2"/>
  <c r="I222" i="2" s="1"/>
  <c r="H209" i="2"/>
  <c r="I209" i="2" s="1"/>
  <c r="H191" i="2"/>
  <c r="I191" i="2" s="1"/>
  <c r="H187" i="2"/>
  <c r="I187" i="2" s="1"/>
  <c r="I183" i="2"/>
  <c r="G191" i="2"/>
  <c r="H186" i="2"/>
  <c r="I186" i="2" s="1"/>
  <c r="H202" i="2"/>
  <c r="I202" i="2" s="1"/>
  <c r="G202" i="2"/>
  <c r="H184" i="2"/>
  <c r="I184" i="2" s="1"/>
  <c r="H192" i="2"/>
  <c r="I192" i="2" s="1"/>
  <c r="H174" i="2"/>
  <c r="I174" i="2" s="1"/>
  <c r="D174" i="2"/>
  <c r="I173" i="2"/>
  <c r="H213" i="2"/>
  <c r="I213" i="2" s="1"/>
  <c r="H200" i="2"/>
  <c r="I200" i="2" s="1"/>
  <c r="H195" i="2"/>
  <c r="I195" i="2" s="1"/>
  <c r="H181" i="2"/>
  <c r="I181" i="2" s="1"/>
  <c r="I176" i="2"/>
  <c r="H177" i="2"/>
  <c r="I177" i="2" s="1"/>
  <c r="H180" i="2"/>
  <c r="I180" i="2" s="1"/>
  <c r="H185" i="2"/>
  <c r="I185" i="2" s="1"/>
  <c r="H210" i="2"/>
  <c r="I210" i="2" s="1"/>
  <c r="H141" i="2"/>
  <c r="I141" i="2" s="1"/>
  <c r="H132" i="2"/>
  <c r="I132" i="2" s="1"/>
  <c r="H140" i="2"/>
  <c r="I140" i="2" s="1"/>
  <c r="H148" i="2"/>
  <c r="I148" i="2" s="1"/>
  <c r="H131" i="2"/>
  <c r="I131" i="2" s="1"/>
  <c r="H149" i="2"/>
  <c r="I149" i="2" s="1"/>
  <c r="H129" i="2"/>
  <c r="I129" i="2" s="1"/>
  <c r="H147" i="2"/>
  <c r="I147" i="2" s="1"/>
  <c r="H136" i="2"/>
  <c r="I136" i="2" s="1"/>
  <c r="D140" i="2"/>
  <c r="D129" i="2"/>
  <c r="H138" i="2"/>
  <c r="I138" i="2" s="1"/>
  <c r="G136" i="2"/>
  <c r="G118" i="2"/>
  <c r="H122" i="2"/>
  <c r="I122" i="2" s="1"/>
  <c r="H130" i="2"/>
  <c r="I130" i="2" s="1"/>
  <c r="G147" i="2"/>
  <c r="H139" i="2"/>
  <c r="I139" i="2" s="1"/>
  <c r="G120" i="2"/>
  <c r="G131" i="2"/>
  <c r="G138" i="2"/>
  <c r="D139" i="2"/>
  <c r="G123" i="2"/>
  <c r="G119" i="2"/>
  <c r="G130" i="2"/>
  <c r="G141" i="2"/>
  <c r="G137" i="2"/>
  <c r="H150" i="2"/>
  <c r="I150" i="2" s="1"/>
  <c r="H146" i="2"/>
  <c r="I146" i="2" s="1"/>
  <c r="H128" i="2"/>
  <c r="I128" i="2" s="1"/>
  <c r="G127" i="2"/>
  <c r="G145" i="2"/>
  <c r="I165" i="1"/>
  <c r="J165" i="1" s="1"/>
  <c r="I150" i="1"/>
  <c r="J150" i="1" s="1"/>
  <c r="I156" i="1"/>
  <c r="J156" i="1" s="1"/>
  <c r="I163" i="1"/>
  <c r="J163" i="1" s="1"/>
  <c r="I164" i="1"/>
  <c r="J164" i="1" s="1"/>
  <c r="I154" i="1"/>
  <c r="J154" i="1" s="1"/>
  <c r="E162" i="1"/>
  <c r="I166" i="1"/>
  <c r="J166" i="1" s="1"/>
  <c r="I158" i="1"/>
  <c r="J158" i="1" s="1"/>
  <c r="H94" i="1"/>
  <c r="I94" i="1" s="1"/>
  <c r="H95" i="1"/>
  <c r="I95" i="1" s="1"/>
  <c r="H106" i="1"/>
  <c r="I106" i="1" s="1"/>
  <c r="H103" i="1"/>
  <c r="I103" i="1" s="1"/>
  <c r="G94" i="1"/>
  <c r="D107" i="1"/>
  <c r="H102" i="1"/>
  <c r="I102" i="1" s="1"/>
  <c r="H92" i="1"/>
  <c r="I92" i="1" s="1"/>
  <c r="H89" i="1"/>
  <c r="I89" i="1" s="1"/>
  <c r="H108" i="1"/>
  <c r="I108" i="1" s="1"/>
  <c r="H101" i="1"/>
  <c r="I101" i="1" s="1"/>
  <c r="H110" i="1"/>
  <c r="I110" i="1" s="1"/>
  <c r="G110" i="1"/>
  <c r="D104" i="1"/>
  <c r="H109" i="1"/>
  <c r="I109" i="1" s="1"/>
  <c r="H88" i="1"/>
  <c r="I88" i="1" s="1"/>
  <c r="G85" i="1"/>
  <c r="H96" i="1"/>
  <c r="I96" i="1" s="1"/>
  <c r="H99" i="1"/>
  <c r="I99" i="1" s="1"/>
  <c r="H87" i="1"/>
  <c r="I87" i="1" s="1"/>
  <c r="G89" i="1"/>
  <c r="H100" i="1"/>
  <c r="I100" i="1" s="1"/>
  <c r="H107" i="1"/>
  <c r="I107" i="1" s="1"/>
  <c r="H93" i="1"/>
  <c r="I93" i="1" s="1"/>
  <c r="H86" i="1"/>
  <c r="I86" i="1" s="1"/>
  <c r="E30" i="6" l="1"/>
  <c r="G29" i="6"/>
  <c r="F29" i="6"/>
  <c r="K25" i="6"/>
  <c r="B43" i="6" s="1"/>
  <c r="L25" i="6"/>
  <c r="C43" i="6" s="1"/>
  <c r="H28" i="6"/>
  <c r="J28" i="6" s="1"/>
  <c r="F28" i="5"/>
  <c r="E29" i="5"/>
  <c r="G28" i="5"/>
  <c r="V28" i="5"/>
  <c r="W28" i="5" s="1"/>
  <c r="X27" i="5"/>
  <c r="S30" i="5"/>
  <c r="U29" i="5"/>
  <c r="T29" i="5"/>
  <c r="H27" i="5"/>
  <c r="I27" i="5" s="1"/>
  <c r="H150" i="1"/>
  <c r="H149" i="1"/>
  <c r="I29" i="6" l="1"/>
  <c r="J29" i="6"/>
  <c r="H29" i="6"/>
  <c r="I28" i="6"/>
  <c r="F30" i="6"/>
  <c r="E31" i="6"/>
  <c r="G30" i="6"/>
  <c r="J27" i="5"/>
  <c r="T30" i="5"/>
  <c r="S31" i="5"/>
  <c r="U30" i="5"/>
  <c r="X28" i="5"/>
  <c r="H28" i="5"/>
  <c r="I28" i="5" s="1"/>
  <c r="V29" i="5"/>
  <c r="X29" i="5"/>
  <c r="W29" i="5"/>
  <c r="Y25" i="5"/>
  <c r="P41" i="5" s="1"/>
  <c r="AV19" i="5" s="1"/>
  <c r="Z25" i="5"/>
  <c r="Q41" i="5" s="1"/>
  <c r="AW19" i="5" s="1"/>
  <c r="F29" i="5"/>
  <c r="G29" i="5"/>
  <c r="E30" i="5"/>
  <c r="G31" i="6" l="1"/>
  <c r="F31" i="6"/>
  <c r="E32" i="6"/>
  <c r="H30" i="6"/>
  <c r="I30" i="6" s="1"/>
  <c r="J30" i="6"/>
  <c r="K28" i="6" s="1"/>
  <c r="B44" i="6" s="1"/>
  <c r="E31" i="5"/>
  <c r="G30" i="5"/>
  <c r="F30" i="5"/>
  <c r="J29" i="5"/>
  <c r="H29" i="5"/>
  <c r="W30" i="5"/>
  <c r="K25" i="5"/>
  <c r="B43" i="5" s="1"/>
  <c r="AT19" i="5" s="1"/>
  <c r="L25" i="5"/>
  <c r="C43" i="5" s="1"/>
  <c r="AU19" i="5" s="1"/>
  <c r="T31" i="5"/>
  <c r="S32" i="5"/>
  <c r="U31" i="5"/>
  <c r="J28" i="5"/>
  <c r="I29" i="5"/>
  <c r="X30" i="5"/>
  <c r="Z28" i="5" s="1"/>
  <c r="Q42" i="5" s="1"/>
  <c r="AW20" i="5" s="1"/>
  <c r="V30" i="5"/>
  <c r="H31" i="6" l="1"/>
  <c r="J31" i="6" s="1"/>
  <c r="I31" i="6"/>
  <c r="L28" i="6"/>
  <c r="C44" i="6" s="1"/>
  <c r="E33" i="6"/>
  <c r="G32" i="6"/>
  <c r="F32" i="6"/>
  <c r="V31" i="5"/>
  <c r="X31" i="5" s="1"/>
  <c r="Y28" i="5"/>
  <c r="P42" i="5" s="1"/>
  <c r="AV20" i="5" s="1"/>
  <c r="H30" i="5"/>
  <c r="I30" i="5" s="1"/>
  <c r="J30" i="5"/>
  <c r="L28" i="5" s="1"/>
  <c r="C44" i="5" s="1"/>
  <c r="AU20" i="5" s="1"/>
  <c r="S33" i="5"/>
  <c r="U32" i="5"/>
  <c r="T32" i="5"/>
  <c r="F31" i="5"/>
  <c r="E32" i="5"/>
  <c r="G31" i="5"/>
  <c r="I32" i="6" l="1"/>
  <c r="J32" i="6"/>
  <c r="H32" i="6"/>
  <c r="F33" i="6"/>
  <c r="G33" i="6"/>
  <c r="W31" i="5"/>
  <c r="J31" i="5"/>
  <c r="H31" i="5"/>
  <c r="F32" i="5"/>
  <c r="G32" i="5"/>
  <c r="E33" i="5"/>
  <c r="V32" i="5"/>
  <c r="W32" i="5" s="1"/>
  <c r="X32" i="5"/>
  <c r="K28" i="5"/>
  <c r="B44" i="5" s="1"/>
  <c r="AT20" i="5" s="1"/>
  <c r="I31" i="5"/>
  <c r="T33" i="5"/>
  <c r="U33" i="5"/>
  <c r="H33" i="6" l="1"/>
  <c r="J33" i="6"/>
  <c r="K31" i="6" s="1"/>
  <c r="B45" i="6" s="1"/>
  <c r="I33" i="6"/>
  <c r="L31" i="6"/>
  <c r="C45" i="6" s="1"/>
  <c r="H32" i="5"/>
  <c r="J32" i="5" s="1"/>
  <c r="X33" i="5"/>
  <c r="Y31" i="5" s="1"/>
  <c r="P43" i="5" s="1"/>
  <c r="AV21" i="5" s="1"/>
  <c r="V33" i="5"/>
  <c r="W33" i="5"/>
  <c r="G33" i="5"/>
  <c r="F33" i="5"/>
  <c r="H33" i="5" l="1"/>
  <c r="I33" i="5" s="1"/>
  <c r="J33" i="5"/>
  <c r="L31" i="5" s="1"/>
  <c r="C45" i="5" s="1"/>
  <c r="AU21" i="5" s="1"/>
  <c r="Z31" i="5"/>
  <c r="Q43" i="5" s="1"/>
  <c r="AW21" i="5" s="1"/>
  <c r="I32" i="5"/>
  <c r="K31" i="5" l="1"/>
  <c r="B45" i="5" s="1"/>
  <c r="AT21" i="5" s="1"/>
</calcChain>
</file>

<file path=xl/sharedStrings.xml><?xml version="1.0" encoding="utf-8"?>
<sst xmlns="http://schemas.openxmlformats.org/spreadsheetml/2006/main" count="659" uniqueCount="233">
  <si>
    <t>PEG20</t>
  </si>
  <si>
    <t>PEG29</t>
  </si>
  <si>
    <t>PEG23</t>
  </si>
  <si>
    <t>PEG90</t>
  </si>
  <si>
    <t>TA_kan6</t>
  </si>
  <si>
    <t>TA_kan7</t>
  </si>
  <si>
    <t>TA_kan8</t>
  </si>
  <si>
    <t xml:space="preserve">, PEG29: Arthrobacter citreus,PEG90: Arthrobacter sp. ATA-117 mutant, TA_kan6: Tetrasohaera japonica; TA_kan7 – TA_kan8: Exophiala xenobiotica variant 1, variant 2 </t>
  </si>
  <si>
    <t>ATA-200</t>
  </si>
  <si>
    <t>ATA-237</t>
  </si>
  <si>
    <t>ATA-238</t>
  </si>
  <si>
    <t>ATA-251</t>
  </si>
  <si>
    <t>ATA-254</t>
  </si>
  <si>
    <t>ATA-256</t>
  </si>
  <si>
    <t>ATA-260</t>
  </si>
  <si>
    <t>ATA-303</t>
  </si>
  <si>
    <t>ATA-412</t>
  </si>
  <si>
    <t>ATA-415</t>
  </si>
  <si>
    <t>TA-P1-BO4</t>
  </si>
  <si>
    <t>TA-P2-B01</t>
  </si>
  <si>
    <t>ATA-013</t>
  </si>
  <si>
    <t>ATA-025</t>
  </si>
  <si>
    <t>ATA-113</t>
  </si>
  <si>
    <t>ATA-217</t>
  </si>
  <si>
    <t>ATA-234</t>
  </si>
  <si>
    <t>ATA-301</t>
  </si>
  <si>
    <t>TA-P1-F03</t>
  </si>
  <si>
    <t>TA-P1-G05</t>
  </si>
  <si>
    <t>TA-P2-A07</t>
  </si>
  <si>
    <t>ATA-024</t>
  </si>
  <si>
    <t>ATA-033</t>
  </si>
  <si>
    <t>TA-P1-A06</t>
  </si>
  <si>
    <t>TA-P1-G06</t>
  </si>
  <si>
    <t>ATA panel</t>
  </si>
  <si>
    <t>ATA commerciali migliori vs furfural</t>
  </si>
  <si>
    <t>TA_Bm</t>
  </si>
  <si>
    <t>x</t>
  </si>
  <si>
    <t>volume of extraction (L)</t>
  </si>
  <si>
    <t>[amine] mM (cal. Curves)</t>
  </si>
  <si>
    <t>[furfural imine] mM (cal. Curve furfural)</t>
  </si>
  <si>
    <t>mmol S residuo</t>
  </si>
  <si>
    <t>Area amine</t>
  </si>
  <si>
    <t>Area furfuryl imine</t>
  </si>
  <si>
    <t>YP/S</t>
  </si>
  <si>
    <t>umol P</t>
  </si>
  <si>
    <t>CODEXIS</t>
  </si>
  <si>
    <t>&lt; 1</t>
  </si>
  <si>
    <t>TA-P2-A01</t>
  </si>
  <si>
    <t>ATA-007</t>
  </si>
  <si>
    <t>ATA-117</t>
  </si>
  <si>
    <t>Code name</t>
  </si>
  <si>
    <t>Insert: ATA coding gene from</t>
  </si>
  <si>
    <t>His-Tag</t>
  </si>
  <si>
    <t>Chromobacterium violaceum (CV-TA)</t>
  </si>
  <si>
    <t>Arthrobacter citreus (ArS-TA)</t>
  </si>
  <si>
    <t>Arthrobacter sp. KNK168 (ArR-TA)</t>
  </si>
  <si>
    <t>Arthrobacter sp. ATA-117 mutant (ArRmut11-TA)</t>
  </si>
  <si>
    <t>Area composto ? A 2.8'</t>
  </si>
  <si>
    <t>TA_kan_1</t>
  </si>
  <si>
    <t>pEHisTEV</t>
  </si>
  <si>
    <t>Pseudocardia acaciae</t>
  </si>
  <si>
    <t>WP_028922477</t>
  </si>
  <si>
    <t>(N) His-tag</t>
  </si>
  <si>
    <t>TA_kan_2</t>
  </si>
  <si>
    <t>Shinella sp.</t>
  </si>
  <si>
    <t>WP_050745125</t>
  </si>
  <si>
    <t>TA_kan_3</t>
  </si>
  <si>
    <t>Tetrasohaera japonica</t>
  </si>
  <si>
    <t>WP_048556467</t>
  </si>
  <si>
    <t>TA_kan_4</t>
  </si>
  <si>
    <t>pET28a</t>
  </si>
  <si>
    <t>Exophiala sideris</t>
  </si>
  <si>
    <t>KIV86981</t>
  </si>
  <si>
    <t>(C) His-tag</t>
  </si>
  <si>
    <t>TA_kan_5</t>
  </si>
  <si>
    <t>Exophiala xenobiotica</t>
  </si>
  <si>
    <t>XP_013320890</t>
  </si>
  <si>
    <t>TA_kan_6</t>
  </si>
  <si>
    <t xml:space="preserve">Tetrasohaera japonica </t>
  </si>
  <si>
    <t>TA_amp_7</t>
  </si>
  <si>
    <t>pMS470Δ8</t>
  </si>
  <si>
    <t>Exophiala xenobiotica -variant 1-</t>
  </si>
  <si>
    <t>TA_amp_8</t>
  </si>
  <si>
    <t>Exophiala xenobiotica -variant 2-</t>
  </si>
  <si>
    <t>&gt; 99</t>
  </si>
  <si>
    <t>Area BAF amine</t>
  </si>
  <si>
    <t>[BAH amine] mM</t>
  </si>
  <si>
    <t>mM</t>
  </si>
  <si>
    <t>Conversion %</t>
  </si>
  <si>
    <t>TA1*</t>
  </si>
  <si>
    <t>TA2*</t>
  </si>
  <si>
    <t>TA3*</t>
  </si>
  <si>
    <t>TA4*</t>
  </si>
  <si>
    <t>TA5*</t>
  </si>
  <si>
    <t>TA6*</t>
  </si>
  <si>
    <t>TA7*</t>
  </si>
  <si>
    <t>TA8*</t>
  </si>
  <si>
    <t>TA_C1 (Bacillus Megaterium)</t>
  </si>
  <si>
    <t>TA-P1-B04</t>
  </si>
  <si>
    <t>TA_C2 (bacillus megaterium)</t>
  </si>
  <si>
    <t>CV-TA**</t>
  </si>
  <si>
    <t>ArR-TA**</t>
  </si>
  <si>
    <t>ArS-TA**</t>
  </si>
  <si>
    <t>ArRmut11-TA**</t>
  </si>
  <si>
    <t>y=</t>
  </si>
  <si>
    <t>TA_BM_mut</t>
  </si>
  <si>
    <t>TA_Vf_Mut</t>
  </si>
  <si>
    <t>furfuryl amine</t>
  </si>
  <si>
    <t>furfuryl immine</t>
  </si>
  <si>
    <t>Conversion</t>
  </si>
  <si>
    <t>Y P/S</t>
  </si>
  <si>
    <t>mmol tot</t>
  </si>
  <si>
    <t>mmol perse</t>
  </si>
  <si>
    <t>Area S (immine)</t>
  </si>
  <si>
    <t>Area P amine</t>
  </si>
  <si>
    <t>mmol Immine (S)</t>
  </si>
  <si>
    <t>mmol Ammine (P)</t>
  </si>
  <si>
    <t>Volume tot (uL):</t>
  </si>
  <si>
    <t>Volume prelievo (uL)</t>
  </si>
  <si>
    <t>ArRmut11-TA</t>
  </si>
  <si>
    <t>TA_Bm_mut</t>
  </si>
  <si>
    <t>ammine</t>
  </si>
  <si>
    <t xml:space="preserve">x </t>
  </si>
  <si>
    <t>500-501 A-D</t>
  </si>
  <si>
    <t>511-515 A-C</t>
  </si>
  <si>
    <t>mM (25 uL DMSO)</t>
  </si>
  <si>
    <t>mM (50 uL DMSO)</t>
  </si>
  <si>
    <t>TA_kan1*</t>
  </si>
  <si>
    <t>TA_kan2*</t>
  </si>
  <si>
    <t>TA_kan3*</t>
  </si>
  <si>
    <t>TA_kan4*</t>
  </si>
  <si>
    <t>TA_kan5*</t>
  </si>
  <si>
    <t>TA_kan6*</t>
  </si>
  <si>
    <t>TA_kan7*</t>
  </si>
  <si>
    <t>TA_kan8*</t>
  </si>
  <si>
    <t>Area furfuril amine</t>
  </si>
  <si>
    <t>Area furfuryl immine</t>
  </si>
  <si>
    <t>Cf</t>
  </si>
  <si>
    <t xml:space="preserve"> mM</t>
  </si>
  <si>
    <t>mmol amine</t>
  </si>
  <si>
    <t>mmol immine</t>
  </si>
  <si>
    <t>CV-TA</t>
  </si>
  <si>
    <t>ArR-TA</t>
  </si>
  <si>
    <t>Volume tot (mL)</t>
  </si>
  <si>
    <t>TA_Bm***</t>
  </si>
  <si>
    <t>TA_Bm_mut***</t>
  </si>
  <si>
    <t>TA_Vf***</t>
  </si>
  <si>
    <t>TA_Vf_mut***</t>
  </si>
  <si>
    <t>TA_Aterr***</t>
  </si>
  <si>
    <t>ArS-TA</t>
  </si>
  <si>
    <t>Cv-TA**</t>
  </si>
  <si>
    <t>Cv-TA</t>
  </si>
  <si>
    <t>Best ATAs vs furfural</t>
  </si>
  <si>
    <t>lost mmol</t>
  </si>
  <si>
    <t>(No residues of substrate)</t>
  </si>
  <si>
    <t>Slope furfural imine</t>
  </si>
  <si>
    <t>Lost mmol</t>
  </si>
  <si>
    <t xml:space="preserve"> tot volume (mL)</t>
  </si>
  <si>
    <t>Correlation factor</t>
  </si>
  <si>
    <t>Slope furfuryl Amine</t>
  </si>
  <si>
    <t>m</t>
  </si>
  <si>
    <t>q</t>
  </si>
  <si>
    <t>Yield BAF Yp/s x 100</t>
  </si>
  <si>
    <t>Yield BAF %</t>
  </si>
  <si>
    <t>Conversion (GC peak)</t>
  </si>
  <si>
    <t>Taken volume (uL)</t>
  </si>
  <si>
    <t>S initial</t>
  </si>
  <si>
    <t xml:space="preserve"> BAF amine calibration 1</t>
  </si>
  <si>
    <t>BAF</t>
  </si>
  <si>
    <t>imine</t>
  </si>
  <si>
    <t>amine</t>
  </si>
  <si>
    <t>Area S (as imine)</t>
  </si>
  <si>
    <t>no traces</t>
  </si>
  <si>
    <t>Furfural amine conversion (GC peak)</t>
  </si>
  <si>
    <t>Old column, old cal. Curves</t>
  </si>
  <si>
    <t>GC on the right, new column</t>
  </si>
  <si>
    <t>pH 6.5 (GC on the left, new column)</t>
  </si>
  <si>
    <t>mM (25 ul DMSO)</t>
  </si>
  <si>
    <t>mM (50 ul DMSO)</t>
  </si>
  <si>
    <t>mM (100 uL DMSO)</t>
  </si>
  <si>
    <t>Conversion % (GC peak)</t>
  </si>
  <si>
    <t>Q</t>
  </si>
  <si>
    <t>Trial Q, Using 16 mg enzime, 200 mM of furfrural</t>
  </si>
  <si>
    <t>Area imine (8.5')</t>
  </si>
  <si>
    <t>Concentration [mM]</t>
  </si>
  <si>
    <r>
      <t>DFF (</t>
    </r>
    <r>
      <rPr>
        <b/>
        <sz val="11"/>
        <color theme="1"/>
        <rFont val="Calibri"/>
        <family val="2"/>
        <scheme val="minor"/>
      </rPr>
      <t>3b</t>
    </r>
    <r>
      <rPr>
        <sz val="11"/>
        <color theme="1"/>
        <rFont val="Calibri"/>
        <family val="2"/>
        <scheme val="minor"/>
      </rPr>
      <t>)</t>
    </r>
  </si>
  <si>
    <r>
      <t>BAMF (</t>
    </r>
    <r>
      <rPr>
        <b/>
        <sz val="11"/>
        <color theme="1"/>
        <rFont val="Calibri"/>
        <family val="2"/>
        <scheme val="minor"/>
      </rPr>
      <t>3a</t>
    </r>
    <r>
      <rPr>
        <sz val="11"/>
        <color theme="1"/>
        <rFont val="Calibri"/>
        <family val="2"/>
        <scheme val="minor"/>
      </rPr>
      <t>)</t>
    </r>
  </si>
  <si>
    <r>
      <t>FAm (</t>
    </r>
    <r>
      <rPr>
        <b/>
        <sz val="11"/>
        <color theme="1"/>
        <rFont val="Calibri"/>
        <family val="2"/>
        <scheme val="minor"/>
      </rPr>
      <t>1a</t>
    </r>
    <r>
      <rPr>
        <sz val="11"/>
        <color theme="1"/>
        <rFont val="Calibri"/>
        <family val="2"/>
        <scheme val="minor"/>
      </rPr>
      <t>)</t>
    </r>
  </si>
  <si>
    <r>
      <t>Furfural imine (</t>
    </r>
    <r>
      <rPr>
        <b/>
        <sz val="11"/>
        <color theme="1"/>
        <rFont val="Calibri"/>
        <family val="2"/>
        <scheme val="minor"/>
      </rPr>
      <t>1c</t>
    </r>
    <r>
      <rPr>
        <sz val="11"/>
        <color theme="1"/>
        <rFont val="Calibri"/>
        <family val="2"/>
        <scheme val="minor"/>
      </rPr>
      <t>)</t>
    </r>
  </si>
  <si>
    <r>
      <t>Furfural (</t>
    </r>
    <r>
      <rPr>
        <b/>
        <sz val="11"/>
        <color theme="1"/>
        <rFont val="Calibri"/>
        <family val="2"/>
        <scheme val="minor"/>
      </rPr>
      <t>1b</t>
    </r>
    <r>
      <rPr>
        <sz val="11"/>
        <color theme="1"/>
        <rFont val="Calibri"/>
        <family val="2"/>
        <scheme val="minor"/>
      </rPr>
      <t>)</t>
    </r>
  </si>
  <si>
    <t>Reaction conditions</t>
  </si>
  <si>
    <t>Initial concentration (mM)</t>
  </si>
  <si>
    <t>Reaction volume (mL)</t>
  </si>
  <si>
    <t>Initial mols</t>
  </si>
  <si>
    <t>Slopes from calibration curves</t>
  </si>
  <si>
    <t xml:space="preserve">HMF </t>
  </si>
  <si>
    <t xml:space="preserve">HMFA </t>
  </si>
  <si>
    <t>ATA</t>
  </si>
  <si>
    <t>Rn</t>
  </si>
  <si>
    <t>HMF Area</t>
  </si>
  <si>
    <t xml:space="preserve">HMFA Area </t>
  </si>
  <si>
    <t xml:space="preserve">Dilution </t>
  </si>
  <si>
    <t>HMF Concentration</t>
  </si>
  <si>
    <t>HMFA Concentration</t>
  </si>
  <si>
    <t>Mass balance</t>
  </si>
  <si>
    <t>Norm. HMF Conc.</t>
  </si>
  <si>
    <t xml:space="preserve">Norm. HMFA Conc. </t>
  </si>
  <si>
    <t>Av. Conversion (%)</t>
  </si>
  <si>
    <t>Desvest</t>
  </si>
  <si>
    <t>Conversion (%)</t>
  </si>
  <si>
    <t xml:space="preserve">50 mM </t>
  </si>
  <si>
    <t>Desvest (%)</t>
  </si>
  <si>
    <t xml:space="preserve">100 mM </t>
  </si>
  <si>
    <t xml:space="preserve">200 mM </t>
  </si>
  <si>
    <t>Cv</t>
  </si>
  <si>
    <t>ArS</t>
  </si>
  <si>
    <t>ArRMut11</t>
  </si>
  <si>
    <t>Vf</t>
  </si>
  <si>
    <t>Vf-Mut</t>
  </si>
  <si>
    <t>Bm</t>
  </si>
  <si>
    <t>Blank</t>
  </si>
  <si>
    <t>HMF concentration (mM)</t>
  </si>
  <si>
    <t>Area 1 280 nm</t>
  </si>
  <si>
    <t>Area 2 280 nm</t>
  </si>
  <si>
    <t>Media 280nm</t>
  </si>
  <si>
    <t xml:space="preserve">Error 280 nm </t>
  </si>
  <si>
    <t>HMFA concentration (mM)</t>
  </si>
  <si>
    <t>Area 1 210 nm</t>
  </si>
  <si>
    <t>Area 2 210 nm</t>
  </si>
  <si>
    <t>Media 210 nm</t>
  </si>
  <si>
    <t>Error 210 nm</t>
  </si>
  <si>
    <t xml:space="preserve">Samples with the selected concentrations were prepared and then 20 uL were diluted in 980 uL of 1% ACN in water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</si>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</sst>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10" fontId="0" fillId="0" borderId="0" xfId="0" applyNumberFormat="1"/>
    <xf numFmtId="9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9" fontId="0" fillId="0" borderId="0" xfId="0" applyNumberFormat="1"/>
    <xf numFmtId="10" fontId="0" fillId="2" borderId="0" xfId="0" applyNumberFormat="1" applyFill="1"/>
    <xf numFmtId="10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/>
    <xf numFmtId="2" fontId="0" fillId="0" borderId="0" xfId="0" applyNumberFormat="1"/>
    <xf numFmtId="2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right" vertical="center"/>
    </xf>
    <xf numFmtId="0" fontId="0" fillId="5" borderId="0" xfId="0" applyFill="1"/>
    <xf numFmtId="10" fontId="0" fillId="5" borderId="0" xfId="0" applyNumberFormat="1" applyFill="1"/>
    <xf numFmtId="2" fontId="0" fillId="5" borderId="0" xfId="0" applyNumberFormat="1" applyFill="1"/>
    <xf numFmtId="0" fontId="0" fillId="0" borderId="0" xfId="0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 applyAlignment="1">
      <alignment horizontal="center" vertical="center"/>
    </xf>
    <xf numFmtId="10" fontId="0" fillId="6" borderId="0" xfId="0" applyNumberFormat="1" applyFill="1"/>
    <xf numFmtId="0" fontId="6" fillId="6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textRotation="255"/>
    </xf>
    <xf numFmtId="0" fontId="6" fillId="7" borderId="3" xfId="0" applyFont="1" applyFill="1" applyBorder="1" applyAlignment="1">
      <alignment horizontal="center"/>
    </xf>
    <xf numFmtId="0" fontId="6" fillId="7" borderId="4" xfId="0" applyFont="1" applyFill="1" applyBorder="1" applyAlignment="1">
      <alignment horizontal="center"/>
    </xf>
    <xf numFmtId="0" fontId="6" fillId="7" borderId="5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0" fontId="6" fillId="7" borderId="3" xfId="0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3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C7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872421863161614E-2"/>
          <c:y val="6.686335356252962E-2"/>
          <c:w val="0.92246827664004583"/>
          <c:h val="0.8257374100148797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'Furfural - Figure2 - TableS3'!$A$2:$A$7</c:f>
              <c:strCache>
                <c:ptCount val="6"/>
                <c:pt idx="0">
                  <c:v>PEG20</c:v>
                </c:pt>
                <c:pt idx="1">
                  <c:v>PEG29</c:v>
                </c:pt>
                <c:pt idx="2">
                  <c:v>PEG90</c:v>
                </c:pt>
                <c:pt idx="3">
                  <c:v>TA_kan6</c:v>
                </c:pt>
                <c:pt idx="4">
                  <c:v>TA_kan7</c:v>
                </c:pt>
                <c:pt idx="5">
                  <c:v>TA_kan8</c:v>
                </c:pt>
              </c:strCache>
            </c:strRef>
          </c:cat>
          <c:val>
            <c:numRef>
              <c:f>'Furfural - Figure2 - TableS3'!$E$2:$E$7</c:f>
              <c:numCache>
                <c:formatCode>0%</c:formatCode>
                <c:ptCount val="6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0.70199999999999996</c:v>
                </c:pt>
                <c:pt idx="4">
                  <c:v>0.76139999999999997</c:v>
                </c:pt>
                <c:pt idx="5">
                  <c:v>0.91600000000000004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7-481E-974F-1C53DD8EE63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0"/>
        <c:overlap val="-24"/>
        <c:axId val="1020311328"/>
        <c:axId val="1020295520"/>
      </c:barChart>
      <c:catAx>
        <c:axId val="102031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020295520"/>
        <c:crosses val="autoZero"/>
        <c:auto val="1"/>
        <c:lblAlgn val="ctr"/>
        <c:lblOffset val="100"/>
        <c:noMultiLvlLbl val="0"/>
      </c:catAx>
      <c:valAx>
        <c:axId val="1020295520"/>
        <c:scaling>
          <c:orientation val="minMax"/>
          <c:max val="1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cap="all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1200" b="1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Conversion (%)</a:t>
                </a:r>
              </a:p>
            </c:rich>
          </c:tx>
          <c:layout>
            <c:manualLayout>
              <c:xMode val="edge"/>
              <c:yMode val="edge"/>
              <c:x val="9.6627586555244407E-3"/>
              <c:y val="0.282269140469389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cap="all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crossAx val="10203113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'DFF - Figure 4, 5 and Table S5'!$A$78</c:f>
              <c:strCache>
                <c:ptCount val="1"/>
                <c:pt idx="0">
                  <c:v>TA_Bm</c:v>
                </c:pt>
              </c:strCache>
            </c:strRef>
          </c:tx>
          <c:spPr>
            <a:ln w="2222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('DFF - Figure 4, 5 and Table S5'!$A$77,'DFF - Figure 4, 5 and Table S5'!$A$84,'DFF - Figure 4, 5 and Table S5'!$A$91,'DFF - Figure 4, 5 and Table S5'!$A$98,'DFF - Figure 4, 5 and Table S5'!$A$105)</c:f>
              <c:numCache>
                <c:formatCode>General</c:formatCode>
                <c:ptCount val="5"/>
                <c:pt idx="0">
                  <c:v>28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('DFF - Figure 4, 5 and Table S5'!$G$78,'DFF - Figure 4, 5 and Table S5'!$G$85,'DFF - Figure 4, 5 and Table S5'!$G$92,'DFF - Figure 4, 5 and Table S5'!$G$99,'DFF - Figure 4, 5 and Table S5'!$G$106)</c:f>
              <c:numCache>
                <c:formatCode>0.00%</c:formatCode>
                <c:ptCount val="5"/>
                <c:pt idx="0">
                  <c:v>0.99</c:v>
                </c:pt>
                <c:pt idx="1">
                  <c:v>0.98262965122635648</c:v>
                </c:pt>
                <c:pt idx="2">
                  <c:v>0.43922200153066809</c:v>
                </c:pt>
                <c:pt idx="3">
                  <c:v>3.6275921134152123E-2</c:v>
                </c:pt>
                <c:pt idx="4">
                  <c:v>1.6854431648383694E-2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BE0-409C-9BAC-01268E5D86D1}"/>
            </c:ext>
          </c:extLst>
        </c:ser>
        <c:ser>
          <c:idx val="1"/>
          <c:order val="1"/>
          <c:tx>
            <c:strRef>
              <c:f>'DFF - Figure 4, 5 and Table S5'!$A$86</c:f>
              <c:strCache>
                <c:ptCount val="1"/>
                <c:pt idx="0">
                  <c:v>TA_Bm_mut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('DFF - Figure 4, 5 and Table S5'!$A$77,'DFF - Figure 4, 5 and Table S5'!$A$84,'DFF - Figure 4, 5 and Table S5'!$A$91,'DFF - Figure 4, 5 and Table S5'!$A$98,'DFF - Figure 4, 5 and Table S5'!$A$105)</c:f>
              <c:numCache>
                <c:formatCode>General</c:formatCode>
                <c:ptCount val="5"/>
                <c:pt idx="0">
                  <c:v>28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('DFF - Figure 4, 5 and Table S5'!$G$79,'DFF - Figure 4, 5 and Table S5'!$G$86,'DFF - Figure 4, 5 and Table S5'!$G$93,'DFF - Figure 4, 5 and Table S5'!$G$100,'DFF - Figure 4, 5 and Table S5'!$G$107)</c:f>
              <c:numCache>
                <c:formatCode>0.00%</c:formatCode>
                <c:ptCount val="5"/>
                <c:pt idx="0">
                  <c:v>0.99</c:v>
                </c:pt>
                <c:pt idx="1">
                  <c:v>0.64369601661868148</c:v>
                </c:pt>
                <c:pt idx="2">
                  <c:v>3.3708863296767387E-2</c:v>
                </c:pt>
                <c:pt idx="3">
                  <c:v>2.2472575531178256E-2</c:v>
                </c:pt>
                <c:pt idx="4">
                  <c:v>1.6854431648383694E-2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BE0-409C-9BAC-01268E5D86D1}"/>
            </c:ext>
          </c:extLst>
        </c:ser>
        <c:ser>
          <c:idx val="2"/>
          <c:order val="2"/>
          <c:tx>
            <c:strRef>
              <c:f>'DFF - Figure 4, 5 and Table S5'!$A$87</c:f>
              <c:strCache>
                <c:ptCount val="1"/>
                <c:pt idx="0">
                  <c:v>ArRmut11-TA</c:v>
                </c:pt>
              </c:strCache>
            </c:strRef>
          </c:tx>
          <c:spPr>
            <a:ln w="2222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('DFF - Figure 4, 5 and Table S5'!$A$77,'DFF - Figure 4, 5 and Table S5'!$A$84,'DFF - Figure 4, 5 and Table S5'!$A$91,'DFF - Figure 4, 5 and Table S5'!$A$98,'DFF - Figure 4, 5 and Table S5'!$A$105)</c:f>
              <c:numCache>
                <c:formatCode>General</c:formatCode>
                <c:ptCount val="5"/>
                <c:pt idx="0">
                  <c:v>28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('DFF - Figure 4, 5 and Table S5'!$G$80,'DFF - Figure 4, 5 and Table S5'!$G$87,'DFF - Figure 4, 5 and Table S5'!$G$94,'DFF - Figure 4, 5 and Table S5'!$G$101,'DFF - Figure 4, 5 and Table S5'!$G$108)</c:f>
              <c:numCache>
                <c:formatCode>0.00%</c:formatCode>
                <c:ptCount val="5"/>
                <c:pt idx="0">
                  <c:v>0.99</c:v>
                </c:pt>
                <c:pt idx="1">
                  <c:v>0.73170942818615847</c:v>
                </c:pt>
                <c:pt idx="2">
                  <c:v>0.22499681110827655</c:v>
                </c:pt>
                <c:pt idx="3">
                  <c:v>7.4026325060437118E-2</c:v>
                </c:pt>
                <c:pt idx="4">
                  <c:v>4.8538348700754408E-2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BE0-409C-9BAC-01268E5D86D1}"/>
            </c:ext>
          </c:extLst>
        </c:ser>
        <c:ser>
          <c:idx val="3"/>
          <c:order val="3"/>
          <c:tx>
            <c:strRef>
              <c:f>'DFF - Figure 4, 5 and Table S5'!$A$88</c:f>
              <c:strCache>
                <c:ptCount val="1"/>
                <c:pt idx="0">
                  <c:v>ATA-025</c:v>
                </c:pt>
              </c:strCache>
            </c:strRef>
          </c:tx>
          <c:spPr>
            <a:ln w="2222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AC75D5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('DFF - Figure 4, 5 and Table S5'!$A$77,'DFF - Figure 4, 5 and Table S5'!$A$84,'DFF - Figure 4, 5 and Table S5'!$A$91,'DFF - Figure 4, 5 and Table S5'!$A$98,'DFF - Figure 4, 5 and Table S5'!$A$105)</c:f>
              <c:numCache>
                <c:formatCode>General</c:formatCode>
                <c:ptCount val="5"/>
                <c:pt idx="0">
                  <c:v>28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('DFF - Figure 4, 5 and Table S5'!$G$81,'DFF - Figure 4, 5 and Table S5'!$G$88,'DFF - Figure 4, 5 and Table S5'!$G$95,'DFF - Figure 4, 5 and Table S5'!$G$102,'DFF - Figure 4, 5 and Table S5'!$G$109)</c:f>
              <c:numCache>
                <c:formatCode>0.00%</c:formatCode>
                <c:ptCount val="5"/>
                <c:pt idx="0">
                  <c:v>0.99</c:v>
                </c:pt>
                <c:pt idx="1">
                  <c:v>0.73349065199169072</c:v>
                </c:pt>
                <c:pt idx="2">
                  <c:v>0.361481376872335</c:v>
                </c:pt>
                <c:pt idx="3">
                  <c:v>8.2666703111143505E-2</c:v>
                </c:pt>
                <c:pt idx="4">
                  <c:v>3.9711951966179528E-2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BE0-409C-9BAC-01268E5D86D1}"/>
            </c:ext>
          </c:extLst>
        </c:ser>
        <c:ser>
          <c:idx val="4"/>
          <c:order val="4"/>
          <c:tx>
            <c:strRef>
              <c:f>'DFF - Figure 4, 5 and Table S5'!$A$82</c:f>
              <c:strCache>
                <c:ptCount val="1"/>
                <c:pt idx="0">
                  <c:v>ATA-251</c:v>
                </c:pt>
              </c:strCache>
            </c:strRef>
          </c:tx>
          <c:spPr>
            <a:ln w="2222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('DFF - Figure 4, 5 and Table S5'!$A$77,'DFF - Figure 4, 5 and Table S5'!$A$84,'DFF - Figure 4, 5 and Table S5'!$A$91,'DFF - Figure 4, 5 and Table S5'!$A$98,'DFF - Figure 4, 5 and Table S5'!$A$105)</c:f>
              <c:numCache>
                <c:formatCode>General</c:formatCode>
                <c:ptCount val="5"/>
                <c:pt idx="0">
                  <c:v>28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('DFF - Figure 4, 5 and Table S5'!$G$82,'DFF - Figure 4, 5 and Table S5'!$G$89,'DFF - Figure 4, 5 and Table S5'!$G$96,'DFF - Figure 4, 5 and Table S5'!$G$103,'DFF - Figure 4, 5 and Table S5'!$G$110)</c:f>
              <c:numCache>
                <c:formatCode>0.00%</c:formatCode>
                <c:ptCount val="5"/>
                <c:pt idx="0">
                  <c:v>0.99</c:v>
                </c:pt>
                <c:pt idx="1">
                  <c:v>0.69498250665111694</c:v>
                </c:pt>
                <c:pt idx="2">
                  <c:v>0.17037565144502353</c:v>
                </c:pt>
                <c:pt idx="3">
                  <c:v>0.11100228385388197</c:v>
                </c:pt>
                <c:pt idx="4">
                  <c:v>2.6808329385181677E-2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BE0-409C-9BAC-01268E5D86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51855"/>
        <c:axId val="517973071"/>
      </c:scatterChart>
      <c:valAx>
        <c:axId val="517951855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1200" b="0"/>
                  <a:t>Substrate 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73071"/>
        <c:crosses val="autoZero"/>
        <c:crossBetween val="midCat"/>
        <c:majorUnit val="50"/>
      </c:valAx>
      <c:valAx>
        <c:axId val="517973071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1200" b="0"/>
                  <a:t>BAF Area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51855"/>
        <c:crosses val="autoZero"/>
        <c:crossBetween val="midCat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'DFF - Figure 4, 5 and Table S5'!$A$78</c:f>
              <c:strCache>
                <c:ptCount val="1"/>
                <c:pt idx="0">
                  <c:v>TA_Bm</c:v>
                </c:pt>
              </c:strCache>
            </c:strRef>
          </c:tx>
          <c:spPr>
            <a:ln w="19050" cap="rnd">
              <a:solidFill>
                <a:schemeClr val="accent6">
                  <a:lumMod val="75000"/>
                  <a:alpha val="99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20000"/>
                  <a:lumOff val="80000"/>
                  <a:alpha val="99000"/>
                </a:schemeClr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('DFF - Figure 4, 5 and Table S5'!$A$145,'DFF - Figure 4, 5 and Table S5'!$A$153,'DFF - Figure 4, 5 and Table S5'!$A$161)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('DFF - Figure 4, 5 and Table S5'!$H$146,'DFF - Figure 4, 5 and Table S5'!$H$154,'DFF - Figure 4, 5 and Table S5'!$H$162)</c:f>
              <c:numCache>
                <c:formatCode>0.00%</c:formatCode>
                <c:ptCount val="3"/>
                <c:pt idx="0">
                  <c:v>0.99961039056375856</c:v>
                </c:pt>
                <c:pt idx="1">
                  <c:v>0.56197018841794533</c:v>
                </c:pt>
                <c:pt idx="2">
                  <c:v>0.12578628958781299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5A6-4EE0-85CC-2714FD7705DA}"/>
            </c:ext>
          </c:extLst>
        </c:ser>
        <c:ser>
          <c:idx val="1"/>
          <c:order val="1"/>
          <c:tx>
            <c:strRef>
              <c:f>'DFF - Figure 4, 5 and Table S5'!$A$86</c:f>
              <c:strCache>
                <c:ptCount val="1"/>
                <c:pt idx="0">
                  <c:v>TA_Bm_mut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('DFF - Figure 4, 5 and Table S5'!$A$145,'DFF - Figure 4, 5 and Table S5'!$A$153,'DFF - Figure 4, 5 and Table S5'!$A$161)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('DFF - Figure 4, 5 and Table S5'!$H$147,'DFF - Figure 4, 5 and Table S5'!$H$155,'DFF - Figure 4, 5 and Table S5'!$H$163)</c:f>
              <c:numCache>
                <c:formatCode>0.00%</c:formatCode>
                <c:ptCount val="3"/>
                <c:pt idx="0">
                  <c:v>0.99961957348557373</c:v>
                </c:pt>
                <c:pt idx="1">
                  <c:v>0.1080177849046977</c:v>
                </c:pt>
                <c:pt idx="2">
                  <c:v>2.6967090637413905E-2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5A6-4EE0-85CC-2714FD7705DA}"/>
            </c:ext>
          </c:extLst>
        </c:ser>
        <c:ser>
          <c:idx val="2"/>
          <c:order val="2"/>
          <c:tx>
            <c:strRef>
              <c:f>'DFF - Figure 4, 5 and Table S5'!$A$87</c:f>
              <c:strCache>
                <c:ptCount val="1"/>
                <c:pt idx="0">
                  <c:v>ArRmut11-TA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</c:marker>
          <c:xVal>
            <c:numRef>
              <c:f>('DFF - Figure 4, 5 and Table S5'!$A$145,'DFF - Figure 4, 5 and Table S5'!$A$153,'DFF - Figure 4, 5 and Table S5'!$A$161)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('DFF - Figure 4, 5 and Table S5'!$H$148,'DFF - Figure 4, 5 and Table S5'!$H$156,'DFF - Figure 4, 5 and Table S5'!$H$164)</c:f>
              <c:numCache>
                <c:formatCode>0.00%</c:formatCode>
                <c:ptCount val="3"/>
                <c:pt idx="0">
                  <c:v>0.99961638229758432</c:v>
                </c:pt>
                <c:pt idx="1">
                  <c:v>0.90808338496300878</c:v>
                </c:pt>
                <c:pt idx="2">
                  <c:v>0.2091530303582492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5A6-4EE0-85CC-2714FD7705DA}"/>
            </c:ext>
          </c:extLst>
        </c:ser>
        <c:ser>
          <c:idx val="3"/>
          <c:order val="3"/>
          <c:tx>
            <c:strRef>
              <c:f>'DFF - Figure 4, 5 and Table S5'!$A$88</c:f>
              <c:strCache>
                <c:ptCount val="1"/>
                <c:pt idx="0">
                  <c:v>ATA-025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AC75D5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('DFF - Figure 4, 5 and Table S5'!$A$145,'DFF - Figure 4, 5 and Table S5'!$A$153,'DFF - Figure 4, 5 and Table S5'!$A$161)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('DFF - Figure 4, 5 and Table S5'!$H$149,'DFF - Figure 4, 5 and Table S5'!$H$157,'DFF - Figure 4, 5 and Table S5'!$H$165)</c:f>
              <c:numCache>
                <c:formatCode>0.00%</c:formatCode>
                <c:ptCount val="3"/>
                <c:pt idx="0">
                  <c:v>0.99960726775220532</c:v>
                </c:pt>
                <c:pt idx="1">
                  <c:v>0.99980585421671742</c:v>
                </c:pt>
                <c:pt idx="2">
                  <c:v>0.73869127883669239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5A6-4EE0-85CC-2714FD7705DA}"/>
            </c:ext>
          </c:extLst>
        </c:ser>
        <c:ser>
          <c:idx val="4"/>
          <c:order val="4"/>
          <c:tx>
            <c:strRef>
              <c:f>'DFF - Figure 4, 5 and Table S5'!$A$82</c:f>
              <c:strCache>
                <c:ptCount val="1"/>
                <c:pt idx="0">
                  <c:v>ATA-251</c:v>
                </c:pt>
              </c:strCache>
            </c:strRef>
          </c:tx>
          <c:spPr>
            <a:ln w="22225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('DFF - Figure 4, 5 and Table S5'!$A$145,'DFF - Figure 4, 5 and Table S5'!$A$153,'DFF - Figure 4, 5 and Table S5'!$A$161)</c:f>
              <c:numCache>
                <c:formatCode>General</c:formatCode>
                <c:ptCount val="3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</c:numCache>
            </c:numRef>
          </c:xVal>
          <c:yVal>
            <c:numRef>
              <c:f>('DFF - Figure 4, 5 and Table S5'!$H$150,'DFF - Figure 4, 5 and Table S5'!$H$158,'DFF - Figure 4, 5 and Table S5'!$H$166)</c:f>
              <c:numCache>
                <c:formatCode>0.00%</c:formatCode>
                <c:ptCount val="3"/>
                <c:pt idx="0">
                  <c:v>0.99961904531303203</c:v>
                </c:pt>
                <c:pt idx="1">
                  <c:v>0.93078829403403918</c:v>
                </c:pt>
                <c:pt idx="2">
                  <c:v>0.73869127883669239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E5A6-4EE0-85CC-2714FD7705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51855"/>
        <c:axId val="517973071"/>
      </c:scatterChart>
      <c:valAx>
        <c:axId val="517951855"/>
        <c:scaling>
          <c:orientation val="minMax"/>
          <c:max val="100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1200" b="0"/>
                  <a:t>Substrate 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73071"/>
        <c:crosses val="autoZero"/>
        <c:crossBetween val="midCat"/>
        <c:majorUnit val="25"/>
      </c:valAx>
      <c:valAx>
        <c:axId val="517973071"/>
        <c:scaling>
          <c:orientation val="minMax"/>
          <c:max val="1.100000000000000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 sz="1200" b="0"/>
                  <a:t>BAF Area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51855"/>
        <c:crosses val="autoZero"/>
        <c:crossBetween val="midCat"/>
        <c:majorUnit val="0.1"/>
      </c:valAx>
      <c:spPr>
        <a:noFill/>
        <a:ln>
          <a:solidFill>
            <a:schemeClr val="tx1">
              <a:lumMod val="75000"/>
              <a:lumOff val="25000"/>
            </a:schemeClr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'Figure S1'!$A$40:$A$45</c:f>
              <c:strCache>
                <c:ptCount val="6"/>
                <c:pt idx="0">
                  <c:v>Cv</c:v>
                </c:pt>
                <c:pt idx="1">
                  <c:v>ArS</c:v>
                </c:pt>
                <c:pt idx="2">
                  <c:v>ArRMut11</c:v>
                </c:pt>
                <c:pt idx="3">
                  <c:v>Vf</c:v>
                </c:pt>
                <c:pt idx="4">
                  <c:v>Vf-Mut</c:v>
                </c:pt>
                <c:pt idx="5">
                  <c:v>Bm</c:v>
                </c:pt>
              </c:strCache>
            </c:strRef>
          </c:cat>
          <c:val>
            <c:numRef>
              <c:f>'Figure S1'!$B$40:$B$45</c:f>
              <c:numCache>
                <c:formatCode>0.0</c:formatCode>
                <c:ptCount val="6"/>
                <c:pt idx="0">
                  <c:v>99.877956307297623</c:v>
                </c:pt>
                <c:pt idx="1">
                  <c:v>99.873446279469547</c:v>
                </c:pt>
                <c:pt idx="2">
                  <c:v>99.890171447018091</c:v>
                </c:pt>
                <c:pt idx="3">
                  <c:v>99.497736419038517</c:v>
                </c:pt>
                <c:pt idx="4">
                  <c:v>99.912273445418577</c:v>
                </c:pt>
                <c:pt idx="5">
                  <c:v>99.875314173608217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18-4556-8613-F4DE33139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3614415"/>
        <c:axId val="203616143"/>
      </c:barChart>
      <c:catAx>
        <c:axId val="2036144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16143"/>
        <c:crosses val="autoZero"/>
        <c:auto val="1"/>
        <c:lblAlgn val="ctr"/>
        <c:lblOffset val="100"/>
        <c:noMultiLvlLbl val="0"/>
      </c:catAx>
      <c:valAx>
        <c:axId val="203616143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Conversion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3614415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5-Hydroxymethylfurfurylamine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'Figure S6'!$D$17</c:f>
              <c:strCache>
                <c:ptCount val="1"/>
                <c:pt idx="0">
                  <c:v>Media 210 nm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4055521391242499"/>
                  <c:y val="-2.630529706513958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errBars>
            <c:errDir val="y"/>
            <c:errBarType val="both"/>
            <c:errValType val="cust"/>
            <c:noEndCap val="0"/>
            <c:plus>
              <c:numRef>
                <c:f>'Figure S6'!$H$18:$H$24</c:f>
                <c:numCache>
                  <c:formatCode>General</c:formatCode>
                  <c:ptCount val="7"/>
                </c:numCache>
              </c:numRef>
            </c:plus>
            <c:minus>
              <c:numRef>
                <c:f>'Figure S6'!$H$18:$H$24</c:f>
                <c:numCache>
                  <c:formatCode>General</c:formatCode>
                  <c:ptCount val="7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'Figure S6'!$A$18:$A$23</c:f>
              <c:numCache>
                <c:formatCode>General</c:formatCode>
                <c:ptCount val="6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  <c:pt idx="5">
                  <c:v>75</c:v>
                </c:pt>
              </c:numCache>
            </c:numRef>
          </c:xVal>
          <c:yVal>
            <c:numRef>
              <c:f>'Figure S6'!$D$18:$D$23</c:f>
              <c:numCache>
                <c:formatCode>General</c:formatCode>
                <c:ptCount val="6"/>
                <c:pt idx="0">
                  <c:v>0</c:v>
                </c:pt>
                <c:pt idx="1">
                  <c:v>415.41300000000001</c:v>
                </c:pt>
                <c:pt idx="2">
                  <c:v>745.8</c:v>
                </c:pt>
                <c:pt idx="3">
                  <c:v>1563.4</c:v>
                </c:pt>
                <c:pt idx="4">
                  <c:v>3274.3999999999996</c:v>
                </c:pt>
                <c:pt idx="5">
                  <c:v>4893.1000000000004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979-4959-BBAB-1BE6E48FAA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63934880"/>
        <c:axId val="2055492992"/>
      </c:scatterChart>
      <c:valAx>
        <c:axId val="206393488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55492992"/>
        <c:crosses val="autoZero"/>
        <c:crossBetween val="midCat"/>
      </c:valAx>
      <c:valAx>
        <c:axId val="2055492992"/>
        <c:scaling>
          <c:orientation val="minMax"/>
          <c:max val="6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63934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5-Hydroxymethylfurfural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2179177602799649"/>
                  <c:y val="-2.81944444444444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'Figure S6'!$A$3:$A$7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25</c:v>
                </c:pt>
                <c:pt idx="4">
                  <c:v>50</c:v>
                </c:pt>
              </c:numCache>
            </c:numRef>
          </c:xVal>
          <c:yVal>
            <c:numRef>
              <c:f>'Figure S6'!$D$3:$D$7</c:f>
              <c:numCache>
                <c:formatCode>General</c:formatCode>
                <c:ptCount val="5"/>
                <c:pt idx="0">
                  <c:v>0</c:v>
                </c:pt>
                <c:pt idx="1">
                  <c:v>873.15</c:v>
                </c:pt>
                <c:pt idx="2">
                  <c:v>1610.3</c:v>
                </c:pt>
                <c:pt idx="3">
                  <c:v>4866.1000000000004</c:v>
                </c:pt>
                <c:pt idx="4">
                  <c:v>8841.4500000000007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67A-4358-BFA4-11D8EFF50E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006047"/>
        <c:axId val="1373005215"/>
      </c:scatterChart>
      <c:valAx>
        <c:axId val="1373006047"/>
        <c:scaling>
          <c:orientation val="minMax"/>
          <c:max val="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3005215"/>
        <c:crosses val="autoZero"/>
        <c:crossBetween val="midCat"/>
      </c:valAx>
      <c:valAx>
        <c:axId val="1373005215"/>
        <c:scaling>
          <c:orientation val="minMax"/>
          <c:max val="9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730060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BAMF (</a:t>
            </a:r>
            <a:r>
              <a:rPr lang="en-US" b="1"/>
              <a:t>3a</a:t>
            </a:r>
            <a:r>
              <a:rPr lang="en-US"/>
              <a:t>)</a:t>
            </a:r>
          </a:p>
        </c:rich>
      </c:tx>
      <c:layout>
        <c:manualLayout>
          <c:xMode val="edge"/>
          <c:yMode val="edge"/>
          <c:x val="0.4305029687453919"/>
          <c:y val="2.87642037411584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Calibration!$C$1</c:f>
              <c:strCache>
                <c:ptCount val="1"/>
                <c:pt idx="0">
                  <c:v>BAMF (3a)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3873108257999439"/>
                  <c:y val="-4.0651765524315304E-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Calibration!$A$2:$A$9</c:f>
              <c:numCache>
                <c:formatCode>General</c:formatCode>
                <c:ptCount val="8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25</c:v>
                </c:pt>
                <c:pt idx="4">
                  <c:v>40</c:v>
                </c:pt>
                <c:pt idx="5">
                  <c:v>50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Calibration!$C$2:$C$9</c:f>
              <c:numCache>
                <c:formatCode>General</c:formatCode>
                <c:ptCount val="8"/>
                <c:pt idx="0">
                  <c:v>412.57</c:v>
                </c:pt>
                <c:pt idx="1">
                  <c:v>808.05</c:v>
                </c:pt>
                <c:pt idx="3">
                  <c:v>1953.2</c:v>
                </c:pt>
                <c:pt idx="4">
                  <c:v>2841.5</c:v>
                </c:pt>
                <c:pt idx="5">
                  <c:v>3882.5</c:v>
                </c:pt>
                <c:pt idx="6">
                  <c:v>6342.51</c:v>
                </c:pt>
                <c:pt idx="7">
                  <c:v>8342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710-41EB-B703-2F0380BAE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076688"/>
        <c:axId val="748182736"/>
      </c:scatterChart>
      <c:valAx>
        <c:axId val="1936076688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8182736"/>
        <c:crosses val="autoZero"/>
        <c:crossBetween val="midCat"/>
      </c:valAx>
      <c:valAx>
        <c:axId val="748182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076688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FAm (</a:t>
            </a:r>
            <a:r>
              <a:rPr lang="en-US" b="1"/>
              <a:t>1a</a:t>
            </a:r>
            <a:r>
              <a:rPr lang="en-US"/>
              <a:t>)</a:t>
            </a:r>
          </a:p>
        </c:rich>
      </c:tx>
      <c:layout>
        <c:manualLayout>
          <c:xMode val="edge"/>
          <c:yMode val="edge"/>
          <c:x val="0.48013854115809934"/>
          <c:y val="4.12998608086720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Calibration!$B$12</c:f>
              <c:strCache>
                <c:ptCount val="1"/>
                <c:pt idx="0">
                  <c:v>FAm (1a)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2521359614275296"/>
                  <c:y val="6.7824902698527759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Calibration!$A$13:$A$20</c:f>
              <c:numCache>
                <c:formatCode>General</c:formatCode>
                <c:ptCount val="8"/>
                <c:pt idx="0">
                  <c:v>3.125</c:v>
                </c:pt>
                <c:pt idx="1">
                  <c:v>6.25</c:v>
                </c:pt>
                <c:pt idx="2">
                  <c:v>12.5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  <c:pt idx="6">
                  <c:v>150</c:v>
                </c:pt>
                <c:pt idx="7">
                  <c:v>200</c:v>
                </c:pt>
              </c:numCache>
            </c:numRef>
          </c:xVal>
          <c:yVal>
            <c:numRef>
              <c:f>Calibration!$B$13:$B$20</c:f>
              <c:numCache>
                <c:formatCode>General</c:formatCode>
                <c:ptCount val="8"/>
                <c:pt idx="0">
                  <c:v>296.39999999999998</c:v>
                </c:pt>
                <c:pt idx="1">
                  <c:v>616.70000000000005</c:v>
                </c:pt>
                <c:pt idx="2">
                  <c:v>1272.3</c:v>
                </c:pt>
                <c:pt idx="3">
                  <c:v>2664.7</c:v>
                </c:pt>
                <c:pt idx="4">
                  <c:v>5238.5</c:v>
                </c:pt>
                <c:pt idx="5">
                  <c:v>10616.3</c:v>
                </c:pt>
                <c:pt idx="6">
                  <c:v>15801.6</c:v>
                </c:pt>
                <c:pt idx="7">
                  <c:v>20924.099999999999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8BE-4127-BFEB-361F228692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2025696"/>
        <c:axId val="1782027968"/>
      </c:scatterChart>
      <c:valAx>
        <c:axId val="1782025696"/>
        <c:scaling>
          <c:orientation val="minMax"/>
          <c:max val="2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027968"/>
        <c:crosses val="autoZero"/>
        <c:crossBetween val="midCat"/>
      </c:valAx>
      <c:valAx>
        <c:axId val="178202796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025696"/>
        <c:crosses val="autoZero"/>
        <c:crossBetween val="midCat"/>
        <c:majorUnit val="5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Furfural (</a:t>
            </a:r>
            <a:r>
              <a:rPr lang="en-US" b="1"/>
              <a:t>1b</a:t>
            </a:r>
            <a:r>
              <a:rPr lang="en-US"/>
              <a:t>)</a:t>
            </a:r>
          </a:p>
        </c:rich>
      </c:tx>
      <c:layout>
        <c:manualLayout>
          <c:xMode val="edge"/>
          <c:yMode val="edge"/>
          <c:x val="0.49871060761708819"/>
          <c:y val="3.25605854603994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Calibration!$B$22</c:f>
              <c:strCache>
                <c:ptCount val="1"/>
                <c:pt idx="0">
                  <c:v>Furfural (1b)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0335338853198757"/>
                  <c:y val="-2.65963520441675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Calibration!$A$23:$A$31</c:f>
              <c:numCache>
                <c:formatCode>General</c:formatCode>
                <c:ptCount val="9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25</c:v>
                </c:pt>
                <c:pt idx="5">
                  <c:v>40</c:v>
                </c:pt>
                <c:pt idx="6">
                  <c:v>50</c:v>
                </c:pt>
                <c:pt idx="7">
                  <c:v>80</c:v>
                </c:pt>
                <c:pt idx="8">
                  <c:v>100</c:v>
                </c:pt>
              </c:numCache>
            </c:numRef>
          </c:xVal>
          <c:yVal>
            <c:numRef>
              <c:f>Calibration!$B$23:$B$31</c:f>
              <c:numCache>
                <c:formatCode>General</c:formatCode>
                <c:ptCount val="9"/>
                <c:pt idx="0">
                  <c:v>172.6</c:v>
                </c:pt>
                <c:pt idx="1">
                  <c:v>368.2</c:v>
                </c:pt>
                <c:pt idx="2">
                  <c:v>763.6</c:v>
                </c:pt>
                <c:pt idx="3">
                  <c:v>1597.5</c:v>
                </c:pt>
                <c:pt idx="4">
                  <c:v>1984.6</c:v>
                </c:pt>
                <c:pt idx="5">
                  <c:v>3209.4</c:v>
                </c:pt>
                <c:pt idx="7">
                  <c:v>6848.3</c:v>
                </c:pt>
                <c:pt idx="8">
                  <c:v>8678.6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04D-44D0-8E95-A17C881C3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9897472"/>
        <c:axId val="901097167"/>
      </c:scatterChart>
      <c:valAx>
        <c:axId val="749897472"/>
        <c:scaling>
          <c:orientation val="minMax"/>
          <c:max val="1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097167"/>
        <c:crosses val="autoZero"/>
        <c:crossBetween val="midCat"/>
      </c:valAx>
      <c:valAx>
        <c:axId val="9010971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9897472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Furfuryl imine (</a:t>
            </a:r>
            <a:r>
              <a:rPr lang="en-US" b="1"/>
              <a:t>1c</a:t>
            </a:r>
            <a:r>
              <a:rPr lang="en-US"/>
              <a:t>)</a:t>
            </a:r>
          </a:p>
        </c:rich>
      </c:tx>
      <c:layout>
        <c:manualLayout>
          <c:xMode val="edge"/>
          <c:yMode val="edge"/>
          <c:x val="0.37435851817608756"/>
          <c:y val="2.87111843250497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Calibration!$C$12</c:f>
              <c:strCache>
                <c:ptCount val="1"/>
                <c:pt idx="0">
                  <c:v>Furfural imine (1c)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1960864556708972"/>
                  <c:y val="-2.754422521427502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Calibration!$A$13:$A$20</c:f>
              <c:numCache>
                <c:formatCode>General</c:formatCode>
                <c:ptCount val="8"/>
                <c:pt idx="0">
                  <c:v>3.125</c:v>
                </c:pt>
                <c:pt idx="1">
                  <c:v>6.25</c:v>
                </c:pt>
                <c:pt idx="2">
                  <c:v>12.5</c:v>
                </c:pt>
                <c:pt idx="3">
                  <c:v>25</c:v>
                </c:pt>
                <c:pt idx="4">
                  <c:v>50</c:v>
                </c:pt>
                <c:pt idx="5">
                  <c:v>100</c:v>
                </c:pt>
                <c:pt idx="6">
                  <c:v>150</c:v>
                </c:pt>
                <c:pt idx="7">
                  <c:v>200</c:v>
                </c:pt>
              </c:numCache>
            </c:numRef>
          </c:xVal>
          <c:yVal>
            <c:numRef>
              <c:f>Calibration!$C$13:$C$20</c:f>
              <c:numCache>
                <c:formatCode>General</c:formatCode>
                <c:ptCount val="8"/>
                <c:pt idx="0">
                  <c:v>283</c:v>
                </c:pt>
                <c:pt idx="1">
                  <c:v>588.20000000000005</c:v>
                </c:pt>
                <c:pt idx="2">
                  <c:v>1176.0999999999999</c:v>
                </c:pt>
                <c:pt idx="3">
                  <c:v>2212.9</c:v>
                </c:pt>
                <c:pt idx="4">
                  <c:v>4689.5</c:v>
                </c:pt>
                <c:pt idx="5">
                  <c:v>9506.25</c:v>
                </c:pt>
                <c:pt idx="6">
                  <c:v>14678.5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835-4C6D-9C91-F52636BAA6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2025696"/>
        <c:axId val="1782027968"/>
      </c:scatterChart>
      <c:valAx>
        <c:axId val="1782025696"/>
        <c:scaling>
          <c:orientation val="minMax"/>
          <c:max val="1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027968"/>
        <c:crosses val="autoZero"/>
        <c:crossBetween val="midCat"/>
        <c:majorUnit val="25"/>
      </c:valAx>
      <c:valAx>
        <c:axId val="1782027968"/>
        <c:scaling>
          <c:orientation val="minMax"/>
          <c:max val="160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2025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DFF (</a:t>
            </a:r>
            <a:r>
              <a:rPr lang="en-US" b="1"/>
              <a:t>3b</a:t>
            </a:r>
            <a:r>
              <a:rPr lang="en-US"/>
              <a:t>)</a:t>
            </a:r>
          </a:p>
        </c:rich>
      </c:tx>
      <c:layout>
        <c:manualLayout>
          <c:xMode val="edge"/>
          <c:yMode val="edge"/>
          <c:x val="0.48835007764563293"/>
          <c:y val="2.876420374115840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Calibration!$B$1</c:f>
              <c:strCache>
                <c:ptCount val="1"/>
                <c:pt idx="0">
                  <c:v>DFF (3b)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0632839895507284"/>
                  <c:y val="1.44937948263070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Calibration!$A$2:$A$9</c:f>
              <c:numCache>
                <c:formatCode>General</c:formatCode>
                <c:ptCount val="8"/>
                <c:pt idx="0">
                  <c:v>5</c:v>
                </c:pt>
                <c:pt idx="1">
                  <c:v>10</c:v>
                </c:pt>
                <c:pt idx="2">
                  <c:v>20</c:v>
                </c:pt>
                <c:pt idx="3">
                  <c:v>25</c:v>
                </c:pt>
                <c:pt idx="4">
                  <c:v>40</c:v>
                </c:pt>
                <c:pt idx="5">
                  <c:v>50</c:v>
                </c:pt>
                <c:pt idx="6">
                  <c:v>80</c:v>
                </c:pt>
                <c:pt idx="7">
                  <c:v>100</c:v>
                </c:pt>
              </c:numCache>
            </c:numRef>
          </c:xVal>
          <c:yVal>
            <c:numRef>
              <c:f>Calibration!$B$2:$B$9</c:f>
              <c:numCache>
                <c:formatCode>General</c:formatCode>
                <c:ptCount val="8"/>
                <c:pt idx="0">
                  <c:v>995.48099999999999</c:v>
                </c:pt>
                <c:pt idx="1">
                  <c:v>2072.65</c:v>
                </c:pt>
                <c:pt idx="2">
                  <c:v>4000.05</c:v>
                </c:pt>
                <c:pt idx="3">
                  <c:v>4634.13</c:v>
                </c:pt>
                <c:pt idx="4">
                  <c:v>8218.52</c:v>
                </c:pt>
                <c:pt idx="5">
                  <c:v>10724.9</c:v>
                </c:pt>
                <c:pt idx="6">
                  <c:v>17340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99F-426E-93E3-B2453BEAF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6076688"/>
        <c:axId val="748182736"/>
      </c:scatterChart>
      <c:valAx>
        <c:axId val="1936076688"/>
        <c:scaling>
          <c:orientation val="minMax"/>
          <c:max val="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48182736"/>
        <c:crosses val="autoZero"/>
        <c:crossBetween val="midCat"/>
        <c:majorUnit val="20"/>
      </c:valAx>
      <c:valAx>
        <c:axId val="748182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Peak area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6076688"/>
        <c:crosses val="autoZero"/>
        <c:crossBetween val="midCat"/>
        <c:majorUnit val="4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496892420907505E-2"/>
          <c:y val="1.215805083150218E-2"/>
          <c:w val="0.94317941758978929"/>
          <c:h val="0.7930122161286595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'Furfural - Figure2 - TableS3'!$A$24:$A$48</c:f>
              <c:strCache>
                <c:ptCount val="25"/>
                <c:pt idx="0">
                  <c:v>ATA-200</c:v>
                </c:pt>
                <c:pt idx="1">
                  <c:v>ATA-237</c:v>
                </c:pt>
                <c:pt idx="2">
                  <c:v>ATA-238</c:v>
                </c:pt>
                <c:pt idx="3">
                  <c:v>ATA-251</c:v>
                </c:pt>
                <c:pt idx="4">
                  <c:v>ATA-254</c:v>
                </c:pt>
                <c:pt idx="5">
                  <c:v>ATA-256</c:v>
                </c:pt>
                <c:pt idx="6">
                  <c:v>ATA-260</c:v>
                </c:pt>
                <c:pt idx="7">
                  <c:v>ATA-303</c:v>
                </c:pt>
                <c:pt idx="8">
                  <c:v>ATA-412</c:v>
                </c:pt>
                <c:pt idx="9">
                  <c:v>ATA-415</c:v>
                </c:pt>
                <c:pt idx="10">
                  <c:v>TA-P1-BO4</c:v>
                </c:pt>
                <c:pt idx="11">
                  <c:v>TA-P2-B01</c:v>
                </c:pt>
                <c:pt idx="12">
                  <c:v>ATA-013</c:v>
                </c:pt>
                <c:pt idx="13">
                  <c:v>ATA-025</c:v>
                </c:pt>
                <c:pt idx="14">
                  <c:v>ATA-113</c:v>
                </c:pt>
                <c:pt idx="15">
                  <c:v>ATA-217</c:v>
                </c:pt>
                <c:pt idx="16">
                  <c:v>ATA-234</c:v>
                </c:pt>
                <c:pt idx="17">
                  <c:v>ATA-301</c:v>
                </c:pt>
                <c:pt idx="18">
                  <c:v>TA-P1-F03</c:v>
                </c:pt>
                <c:pt idx="19">
                  <c:v>TA-P1-G05</c:v>
                </c:pt>
                <c:pt idx="20">
                  <c:v>TA-P2-A07</c:v>
                </c:pt>
                <c:pt idx="21">
                  <c:v>ATA-024</c:v>
                </c:pt>
                <c:pt idx="22">
                  <c:v>ATA-033</c:v>
                </c:pt>
                <c:pt idx="23">
                  <c:v>TA-P1-A06</c:v>
                </c:pt>
                <c:pt idx="24">
                  <c:v>TA-P1-G06</c:v>
                </c:pt>
              </c:strCache>
            </c:strRef>
          </c:cat>
          <c:val>
            <c:numRef>
              <c:f>'Furfural - Figure2 - TableS3'!$B$24:$B$48</c:f>
              <c:numCache>
                <c:formatCode>0%</c:formatCode>
                <c:ptCount val="25"/>
                <c:pt idx="0">
                  <c:v>0.99</c:v>
                </c:pt>
                <c:pt idx="1">
                  <c:v>0.99</c:v>
                </c:pt>
                <c:pt idx="2">
                  <c:v>0.99</c:v>
                </c:pt>
                <c:pt idx="3">
                  <c:v>0.99</c:v>
                </c:pt>
                <c:pt idx="4">
                  <c:v>0.99</c:v>
                </c:pt>
                <c:pt idx="5">
                  <c:v>0.99</c:v>
                </c:pt>
                <c:pt idx="6">
                  <c:v>0.99</c:v>
                </c:pt>
                <c:pt idx="7">
                  <c:v>0.99</c:v>
                </c:pt>
                <c:pt idx="8">
                  <c:v>0.99</c:v>
                </c:pt>
                <c:pt idx="9">
                  <c:v>0.99</c:v>
                </c:pt>
                <c:pt idx="10">
                  <c:v>0.99</c:v>
                </c:pt>
                <c:pt idx="11">
                  <c:v>0.99</c:v>
                </c:pt>
                <c:pt idx="12">
                  <c:v>0.99</c:v>
                </c:pt>
                <c:pt idx="13">
                  <c:v>0.99</c:v>
                </c:pt>
                <c:pt idx="14">
                  <c:v>0.99</c:v>
                </c:pt>
                <c:pt idx="15">
                  <c:v>0.99</c:v>
                </c:pt>
                <c:pt idx="16">
                  <c:v>0.99</c:v>
                </c:pt>
                <c:pt idx="17">
                  <c:v>0.99</c:v>
                </c:pt>
                <c:pt idx="18">
                  <c:v>0.99</c:v>
                </c:pt>
                <c:pt idx="19">
                  <c:v>0.99</c:v>
                </c:pt>
                <c:pt idx="20">
                  <c:v>0.99</c:v>
                </c:pt>
                <c:pt idx="21">
                  <c:v>0.99</c:v>
                </c:pt>
                <c:pt idx="22">
                  <c:v>0.99</c:v>
                </c:pt>
                <c:pt idx="23">
                  <c:v>0.99</c:v>
                </c:pt>
                <c:pt idx="24">
                  <c:v>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C7-41ED-9D75-545861F34C03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303624399"/>
        <c:axId val="1303616079"/>
      </c:barChart>
      <c:catAx>
        <c:axId val="1303624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3616079"/>
        <c:crosses val="autoZero"/>
        <c:auto val="1"/>
        <c:lblAlgn val="ctr"/>
        <c:lblOffset val="100"/>
        <c:noMultiLvlLbl val="0"/>
      </c:catAx>
      <c:valAx>
        <c:axId val="1303616079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crossAx val="1303624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496892420907505E-2"/>
          <c:y val="1.215805083150218E-2"/>
          <c:w val="0.71017780959198284"/>
          <c:h val="0.8318052538691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'Furfural - Figure2 - TableS3'!$A$52</c:f>
              <c:strCache>
                <c:ptCount val="1"/>
                <c:pt idx="0">
                  <c:v>ATA panel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'Furfural - Figure2 - TableS3'!$A$52</c:f>
              <c:strCache>
                <c:ptCount val="1"/>
                <c:pt idx="0">
                  <c:v>ATA panel</c:v>
                </c:pt>
              </c:strCache>
            </c:strRef>
          </c:cat>
          <c:val>
            <c:numRef>
              <c:f>'Furfural - Figure2 - TableS3'!$B$52</c:f>
              <c:numCache>
                <c:formatCode>0%</c:formatCode>
                <c:ptCount val="1"/>
                <c:pt idx="0">
                  <c:v>0.99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1-4E2C-AAC7-5A745B52BD7F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1"/>
        <c:overlap val="-24"/>
        <c:axId val="1303624399"/>
        <c:axId val="1303616079"/>
      </c:barChart>
      <c:catAx>
        <c:axId val="1303624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03616079"/>
        <c:crosses val="autoZero"/>
        <c:auto val="1"/>
        <c:lblAlgn val="ctr"/>
        <c:lblOffset val="100"/>
        <c:noMultiLvlLbl val="0"/>
      </c:catAx>
      <c:valAx>
        <c:axId val="1303616079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50" cap="non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50000"/>
                      <a:lumOff val="5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crossAx val="13036243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360117022436629E-2"/>
          <c:y val="3.9430798074542105E-2"/>
          <c:w val="0.86729978347202397"/>
          <c:h val="0.7547536442474360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'Furfural - Figure2 - TableS3'!$B$77</c:f>
              <c:strCache>
                <c:ptCount val="1"/>
                <c:pt idx="0">
                  <c:v>Furfural amine conversion (GC peak)</c:v>
                </c:pt>
              </c:strCache>
            </c:strRef>
          </c:tx>
          <c:spPr>
            <a:solidFill>
              <a:schemeClr val="accent5">
                <a:lumMod val="20000"/>
                <a:lumOff val="80000"/>
                <a:alpha val="99000"/>
              </a:schemeClr>
            </a:solidFill>
            <a:ln w="19050" cap="flat" cmpd="sng" algn="ctr">
              <a:solidFill>
                <a:schemeClr val="tx1">
                  <a:lumMod val="65000"/>
                  <a:lumOff val="35000"/>
                  <a:alpha val="99000"/>
                </a:schemeClr>
              </a:solidFill>
              <a:miter lim="800000"/>
            </a:ln>
            <a:effectLst/>
          </c:spPr>
          <c:invertIfNegative val="0"/>
          <c:cat>
            <c:strRef>
              <c:f>'Furfural - Figure2 - TableS3'!$A$78:$A$94</c:f>
              <c:strCache>
                <c:ptCount val="17"/>
                <c:pt idx="0">
                  <c:v>Cv-TA**</c:v>
                </c:pt>
                <c:pt idx="1">
                  <c:v>ArS-TA**</c:v>
                </c:pt>
                <c:pt idx="2">
                  <c:v>ArR-TA**</c:v>
                </c:pt>
                <c:pt idx="3">
                  <c:v>ArRmut11-TA**</c:v>
                </c:pt>
                <c:pt idx="4">
                  <c:v>TA_kan1*</c:v>
                </c:pt>
                <c:pt idx="5">
                  <c:v>TA_kan2*</c:v>
                </c:pt>
                <c:pt idx="6">
                  <c:v>TA_kan3*</c:v>
                </c:pt>
                <c:pt idx="7">
                  <c:v>TA_kan4*</c:v>
                </c:pt>
                <c:pt idx="8">
                  <c:v>TA_kan5*</c:v>
                </c:pt>
                <c:pt idx="9">
                  <c:v>TA_kan6*</c:v>
                </c:pt>
                <c:pt idx="10">
                  <c:v>TA_kan7*</c:v>
                </c:pt>
                <c:pt idx="11">
                  <c:v>TA_kan8*</c:v>
                </c:pt>
                <c:pt idx="12">
                  <c:v>TA_Bm***</c:v>
                </c:pt>
                <c:pt idx="13">
                  <c:v>TA_Bm_mut***</c:v>
                </c:pt>
                <c:pt idx="14">
                  <c:v>TA_Vf***</c:v>
                </c:pt>
                <c:pt idx="15">
                  <c:v>TA_Vf_mut***</c:v>
                </c:pt>
                <c:pt idx="16">
                  <c:v>TA_Aterr***</c:v>
                </c:pt>
              </c:strCache>
            </c:strRef>
          </c:cat>
          <c:val>
            <c:numRef>
              <c:f>'Furfural - Figure2 - TableS3'!$B$78:$B$94</c:f>
              <c:numCache>
                <c:formatCode>0.00%</c:formatCode>
                <c:ptCount val="17"/>
                <c:pt idx="0">
                  <c:v>0.99</c:v>
                </c:pt>
                <c:pt idx="1">
                  <c:v>0.99</c:v>
                </c:pt>
                <c:pt idx="2">
                  <c:v>0.56999999999999995</c:v>
                </c:pt>
                <c:pt idx="3">
                  <c:v>0.99</c:v>
                </c:pt>
                <c:pt idx="4">
                  <c:v>0.21199999999999999</c:v>
                </c:pt>
                <c:pt idx="5">
                  <c:v>2.5999999999999999E-2</c:v>
                </c:pt>
                <c:pt idx="6">
                  <c:v>0.29399999999999998</c:v>
                </c:pt>
                <c:pt idx="7">
                  <c:v>8.5000000000000006E-3</c:v>
                </c:pt>
                <c:pt idx="8">
                  <c:v>0.30599999999999999</c:v>
                </c:pt>
                <c:pt idx="9">
                  <c:v>0.70199999999999996</c:v>
                </c:pt>
                <c:pt idx="10">
                  <c:v>0.76139999999999997</c:v>
                </c:pt>
                <c:pt idx="11">
                  <c:v>0.91600000000000004</c:v>
                </c:pt>
                <c:pt idx="12">
                  <c:v>0.99</c:v>
                </c:pt>
                <c:pt idx="13">
                  <c:v>0.99</c:v>
                </c:pt>
                <c:pt idx="14">
                  <c:v>0.66200000000000003</c:v>
                </c:pt>
                <c:pt idx="15">
                  <c:v>0.99</c:v>
                </c:pt>
                <c:pt idx="16">
                  <c:v>3.6000000000000004E-2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3F-40C9-90A0-801DBF2C0F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35"/>
        <c:axId val="1841115263"/>
        <c:axId val="1841128991"/>
      </c:barChart>
      <c:catAx>
        <c:axId val="184111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128991"/>
        <c:crosses val="autoZero"/>
        <c:auto val="1"/>
        <c:lblAlgn val="ctr"/>
        <c:lblOffset val="100"/>
        <c:noMultiLvlLbl val="0"/>
      </c:catAx>
      <c:valAx>
        <c:axId val="1841128991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200" b="1">
                    <a:solidFill>
                      <a:sysClr val="windowText" lastClr="000000"/>
                    </a:solidFill>
                  </a:rPr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1115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41639619674216"/>
          <c:y val="0.10988854850097796"/>
          <c:w val="0.87127944130391677"/>
          <c:h val="0.75658330237111626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'Furfural - Figure2 - TableS3'!$A$118</c:f>
              <c:strCache>
                <c:ptCount val="1"/>
                <c:pt idx="0">
                  <c:v>Cv-TA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('Furfural - Figure2 - TableS3'!$A$108,'Furfural - Figure2 - TableS3'!$A$117,'Furfural - Figure2 - TableS3'!$A$126,'Furfural - Figure2 - TableS3'!$A$135,'Furfural - Figure2 - TableS3'!$A$144)</c:f>
              <c:numCache>
                <c:formatCode>General</c:formatCode>
                <c:ptCount val="5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TableS3'!$G$109,'Furfural - Figure2 - TableS3'!$G$118,'Furfural - Figure2 - TableS3'!$G$127,'Furfural - Figure2 - TableS3'!$G$136,'Furfural - Figure2 - TableS3'!$G$145)</c:f>
              <c:numCache>
                <c:formatCode>0.00%</c:formatCode>
                <c:ptCount val="5"/>
                <c:pt idx="0">
                  <c:v>0.99</c:v>
                </c:pt>
                <c:pt idx="1">
                  <c:v>0.96830080913850547</c:v>
                </c:pt>
                <c:pt idx="2">
                  <c:v>0.76491194669205143</c:v>
                </c:pt>
                <c:pt idx="3">
                  <c:v>0.74669205140409334</c:v>
                </c:pt>
                <c:pt idx="4">
                  <c:v>0.58135173726796763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95C-4614-8E9A-72749025328A}"/>
            </c:ext>
          </c:extLst>
        </c:ser>
        <c:ser>
          <c:idx val="1"/>
          <c:order val="1"/>
          <c:tx>
            <c:strRef>
              <c:f>'Furfural - Figure2 - TableS3'!$A$110</c:f>
              <c:strCache>
                <c:ptCount val="1"/>
                <c:pt idx="0">
                  <c:v>ArS-TA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('Furfural - Figure2 - TableS3'!$A$108,'Furfural - Figure2 - TableS3'!$A$117,'Furfural - Figure2 - TableS3'!$A$126,'Furfural - Figure2 - TableS3'!$A$135,'Furfural - Figure2 - TableS3'!$A$144)</c:f>
              <c:numCache>
                <c:formatCode>General</c:formatCode>
                <c:ptCount val="5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TableS3'!$G$110,'Furfural - Figure2 - TableS3'!$G$119,'Furfural - Figure2 - TableS3'!$G$128,'Furfural - Figure2 - TableS3'!$G$137,'Furfural - Figure2 - TableS3'!$G$146)</c:f>
              <c:numCache>
                <c:formatCode>0.00%</c:formatCode>
                <c:ptCount val="5"/>
                <c:pt idx="0">
                  <c:v>0.99</c:v>
                </c:pt>
                <c:pt idx="1">
                  <c:v>0.76116135173726807</c:v>
                </c:pt>
                <c:pt idx="2">
                  <c:v>0.78819609709662075</c:v>
                </c:pt>
                <c:pt idx="3">
                  <c:v>0.69833412660637795</c:v>
                </c:pt>
                <c:pt idx="4">
                  <c:v>0.36281770585435508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95C-4614-8E9A-72749025328A}"/>
            </c:ext>
          </c:extLst>
        </c:ser>
        <c:ser>
          <c:idx val="2"/>
          <c:order val="2"/>
          <c:tx>
            <c:strRef>
              <c:f>'Furfural - Figure2 - TableS3'!$A$111</c:f>
              <c:strCache>
                <c:ptCount val="1"/>
                <c:pt idx="0">
                  <c:v>ArRmut11-TA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rgbClr val="AC75D5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('Furfural - Figure2 - TableS3'!$A$108,'Furfural - Figure2 - TableS3'!$A$117,'Furfural - Figure2 - TableS3'!$A$126,'Furfural - Figure2 - TableS3'!$A$135,'Furfural - Figure2 - TableS3'!$A$144)</c:f>
              <c:numCache>
                <c:formatCode>General</c:formatCode>
                <c:ptCount val="5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TableS3'!$G$111,'Furfural - Figure2 - TableS3'!$G$120,'Furfural - Figure2 - TableS3'!$G$129,'Furfural - Figure2 - TableS3'!$G$138,'Furfural - Figure2 - TableS3'!$G$147)</c:f>
              <c:numCache>
                <c:formatCode>0.00%</c:formatCode>
                <c:ptCount val="5"/>
                <c:pt idx="0">
                  <c:v>0.99</c:v>
                </c:pt>
                <c:pt idx="1">
                  <c:v>0.75103284150404581</c:v>
                </c:pt>
                <c:pt idx="2">
                  <c:v>0.53663969538315082</c:v>
                </c:pt>
                <c:pt idx="3">
                  <c:v>0.21814374107567824</c:v>
                </c:pt>
                <c:pt idx="4">
                  <c:v>0.10369347929557353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95C-4614-8E9A-72749025328A}"/>
            </c:ext>
          </c:extLst>
        </c:ser>
        <c:ser>
          <c:idx val="3"/>
          <c:order val="3"/>
          <c:tx>
            <c:strRef>
              <c:f>'Furfural - Figure2 - TableS3'!$A$112</c:f>
              <c:strCache>
                <c:ptCount val="1"/>
                <c:pt idx="0">
                  <c:v>TA_Bm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4">
                  <a:lumMod val="20000"/>
                  <a:lumOff val="80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('Furfural - Figure2 - TableS3'!$A$108,'Furfural - Figure2 - TableS3'!$A$117,'Furfural - Figure2 - TableS3'!$A$126,'Furfural - Figure2 - TableS3'!$A$135,'Furfural - Figure2 - TableS3'!$A$144)</c:f>
              <c:numCache>
                <c:formatCode>General</c:formatCode>
                <c:ptCount val="5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TableS3'!$G$112,'Furfural - Figure2 - TableS3'!$G$121,'Furfural - Figure2 - TableS3'!$G$130,'Furfural - Figure2 - TableS3'!$G$139,'Furfural - Figure2 - TableS3'!$G$148)</c:f>
              <c:numCache>
                <c:formatCode>0.00%</c:formatCode>
                <c:ptCount val="5"/>
                <c:pt idx="0">
                  <c:v>0.99</c:v>
                </c:pt>
                <c:pt idx="1">
                  <c:v>0.77384102808186583</c:v>
                </c:pt>
                <c:pt idx="2">
                  <c:v>0.26082817705854355</c:v>
                </c:pt>
                <c:pt idx="3">
                  <c:v>5.0744090115817868E-2</c:v>
                </c:pt>
                <c:pt idx="4">
                  <c:v>1.5992384578772015E-2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95C-4614-8E9A-72749025328A}"/>
            </c:ext>
          </c:extLst>
        </c:ser>
        <c:ser>
          <c:idx val="4"/>
          <c:order val="4"/>
          <c:tx>
            <c:strRef>
              <c:f>'Furfural - Figure2 - TableS3'!$A$113</c:f>
              <c:strCache>
                <c:ptCount val="1"/>
                <c:pt idx="0">
                  <c:v>TA_BM_mut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('Furfural - Figure2 - TableS3'!$A$108,'Furfural - Figure2 - TableS3'!$A$117,'Furfural - Figure2 - TableS3'!$A$126,'Furfural - Figure2 - TableS3'!$A$135,'Furfural - Figure2 - TableS3'!$A$144)</c:f>
              <c:numCache>
                <c:formatCode>General</c:formatCode>
                <c:ptCount val="5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TableS3'!$G$113,'Furfural - Figure2 - TableS3'!$G$122,'Furfural - Figure2 - TableS3'!$G$131,'Furfural - Figure2 - TableS3'!$G$140,'Furfural - Figure2 - TableS3'!$G$149)</c:f>
              <c:numCache>
                <c:formatCode>0.00%</c:formatCode>
                <c:ptCount val="5"/>
                <c:pt idx="0">
                  <c:v>0.99</c:v>
                </c:pt>
                <c:pt idx="1">
                  <c:v>0.73229890528319852</c:v>
                </c:pt>
                <c:pt idx="2">
                  <c:v>4.7082341742027606E-2</c:v>
                </c:pt>
                <c:pt idx="3">
                  <c:v>1.4088529271775346E-2</c:v>
                </c:pt>
                <c:pt idx="4">
                  <c:v>2.7986673012851022E-3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95C-4614-8E9A-72749025328A}"/>
            </c:ext>
          </c:extLst>
        </c:ser>
        <c:ser>
          <c:idx val="5"/>
          <c:order val="5"/>
          <c:tx>
            <c:strRef>
              <c:f>'Furfural - Figure2 - TableS3'!$A$114</c:f>
              <c:strCache>
                <c:ptCount val="1"/>
                <c:pt idx="0">
                  <c:v>TA_Vf_Mut</c:v>
                </c:pt>
              </c:strCache>
            </c:strRef>
          </c:tx>
          <c:spPr>
            <a:ln w="25400" cap="rnd">
              <a:solidFill>
                <a:schemeClr val="bg2">
                  <a:lumMod val="25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('Furfural - Figure2 - TableS3'!$A$108,'Furfural - Figure2 - TableS3'!$A$117,'Furfural - Figure2 - TableS3'!$A$126,'Furfural - Figure2 - TableS3'!$A$135,'Furfural - Figure2 - TableS3'!$A$144)</c:f>
              <c:numCache>
                <c:formatCode>General</c:formatCode>
                <c:ptCount val="5"/>
                <c:pt idx="0">
                  <c:v>25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TableS3'!$G$114,'Furfural - Figure2 - TableS3'!$G$123,'Furfural - Figure2 - TableS3'!$G$132,'Furfural - Figure2 - TableS3'!$G$141,'Furfural - Figure2 - TableS3'!$G$150)</c:f>
              <c:numCache>
                <c:formatCode>0.00%</c:formatCode>
                <c:ptCount val="5"/>
                <c:pt idx="0">
                  <c:v>0.99</c:v>
                </c:pt>
                <c:pt idx="1">
                  <c:v>7.6039980961446929E-2</c:v>
                </c:pt>
                <c:pt idx="2">
                  <c:v>9.9000475963826745E-3</c:v>
                </c:pt>
                <c:pt idx="3">
                  <c:v>4.4423290496588934E-3</c:v>
                </c:pt>
                <c:pt idx="4">
                  <c:v>2.9509757258448358E-3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95C-4614-8E9A-7274902532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51855"/>
        <c:axId val="517973071"/>
      </c:scatterChart>
      <c:valAx>
        <c:axId val="517951855"/>
        <c:scaling>
          <c:orientation val="minMax"/>
          <c:max val="200"/>
          <c:min val="25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Georgia" panose="02040502050405020303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/>
                  <a:t>Substrate concentration (mM)</a:t>
                </a:r>
              </a:p>
            </c:rich>
          </c:tx>
          <c:layout>
            <c:manualLayout>
              <c:xMode val="edge"/>
              <c:yMode val="edge"/>
              <c:x val="0.33407918038136092"/>
              <c:y val="0.947567450098983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Georgia" panose="02040502050405020303" pitchFamily="18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Georgia" panose="02040502050405020303" pitchFamily="18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73071"/>
        <c:crosses val="autoZero"/>
        <c:crossBetween val="midCat"/>
        <c:majorUnit val="25"/>
      </c:valAx>
      <c:valAx>
        <c:axId val="517973071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Georgia" panose="02040502050405020303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/>
                  <a:t>Amine Area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Georgia" panose="02040502050405020303" pitchFamily="18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Georgia" panose="02040502050405020303" pitchFamily="18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51855"/>
        <c:crosses val="autoZero"/>
        <c:crossBetween val="midCat"/>
        <c:majorUnit val="0.2"/>
      </c:valAx>
      <c:spPr>
        <a:noFill/>
        <a:ln w="12700">
          <a:solidFill>
            <a:schemeClr val="bg2">
              <a:lumMod val="10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Georgia" panose="02040502050405020303" pitchFamily="18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Georgia" panose="02040502050405020303" pitchFamily="18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29084881136269"/>
          <c:y val="0.11353602854179339"/>
          <c:w val="0.81781147571864521"/>
          <c:h val="0.742557376389239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'Furfural - Figure2 - TableS3'!$A$173</c:f>
              <c:strCache>
                <c:ptCount val="1"/>
                <c:pt idx="0">
                  <c:v>Cv-TA</c:v>
                </c:pt>
              </c:strCache>
            </c:strRef>
          </c:tx>
          <c:spPr>
            <a:ln w="2540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2">
                  <a:lumMod val="40000"/>
                  <a:lumOff val="60000"/>
                </a:schemeClr>
              </a:solidFill>
              <a:ln w="952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('Furfural - Figure2 - TableS3'!$A$172,'Furfural - Figure2 - TableS3'!$A$181,'Furfural - Figure2 - TableS3'!$A$190,'Furfural - Figure2 - TableS3'!$A$199,'Furfural - Figure2 - TableS3'!$A$208)</c:f>
              <c:numCache>
                <c:formatCode>General</c:formatCode>
                <c:ptCount val="5"/>
                <c:pt idx="0">
                  <c:v>33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TableS3'!$G$173,'Furfural - Figure2 - TableS3'!$G$182,'Furfural - Figure2 - TableS3'!$G$191,'Furfural - Figure2 - TableS3'!$G$200,'Furfural - Figure2 - TableS3'!$G$209)</c:f>
              <c:numCache>
                <c:formatCode>0.00%</c:formatCode>
                <c:ptCount val="5"/>
                <c:pt idx="0">
                  <c:v>0.99920371940099162</c:v>
                </c:pt>
                <c:pt idx="1">
                  <c:v>0.96667180396085395</c:v>
                </c:pt>
                <c:pt idx="2">
                  <c:v>0.99227479386607076</c:v>
                </c:pt>
                <c:pt idx="3">
                  <c:v>0.92674218489121774</c:v>
                </c:pt>
                <c:pt idx="4">
                  <c:v>0.88850466209447487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162-4B13-9E39-C5E610265398}"/>
            </c:ext>
          </c:extLst>
        </c:ser>
        <c:ser>
          <c:idx val="1"/>
          <c:order val="1"/>
          <c:tx>
            <c:strRef>
              <c:f>'Furfural - Figure2 - TableS3'!$A$110</c:f>
              <c:strCache>
                <c:ptCount val="1"/>
                <c:pt idx="0">
                  <c:v>ArS-TA</c:v>
                </c:pt>
              </c:strCache>
            </c:strRef>
          </c:tx>
          <c:spPr>
            <a:ln w="2540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6">
                  <a:lumMod val="60000"/>
                  <a:lumOff val="40000"/>
                </a:schemeClr>
              </a:solidFill>
              <a:ln w="9525">
                <a:solidFill>
                  <a:schemeClr val="accent6">
                    <a:lumMod val="50000"/>
                  </a:schemeClr>
                </a:solidFill>
              </a:ln>
              <a:effectLst/>
            </c:spPr>
          </c:marker>
          <c:xVal>
            <c:numRef>
              <c:f>('Furfural - Figure2 - TableS3'!$A$172,'Furfural - Figure2 - TableS3'!$A$181,'Furfural - Figure2 - TableS3'!$A$190,'Furfural - Figure2 - TableS3'!$A$199,'Furfural - Figure2 - TableS3'!$A$208)</c:f>
              <c:numCache>
                <c:formatCode>General</c:formatCode>
                <c:ptCount val="5"/>
                <c:pt idx="0">
                  <c:v>33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TableS3'!$G$174,'Furfural - Figure2 - TableS3'!$G$183,'Furfural - Figure2 - TableS3'!$G$192,'Furfural - Figure2 - TableS3'!$G$201,'Furfural - Figure2 - TableS3'!$G$210)</c:f>
              <c:numCache>
                <c:formatCode>0.00%</c:formatCode>
                <c:ptCount val="5"/>
                <c:pt idx="0">
                  <c:v>0.8612556948073633</c:v>
                </c:pt>
                <c:pt idx="1">
                  <c:v>0.80523233412961404</c:v>
                </c:pt>
                <c:pt idx="2">
                  <c:v>0.79425136780457739</c:v>
                </c:pt>
                <c:pt idx="3">
                  <c:v>0.85267524594795929</c:v>
                </c:pt>
                <c:pt idx="4">
                  <c:v>0.5689874393157125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62-4B13-9E39-C5E610265398}"/>
            </c:ext>
          </c:extLst>
        </c:ser>
        <c:ser>
          <c:idx val="2"/>
          <c:order val="2"/>
          <c:tx>
            <c:strRef>
              <c:f>'Furfural - Figure2 - TableS3'!$A$111</c:f>
              <c:strCache>
                <c:ptCount val="1"/>
                <c:pt idx="0">
                  <c:v>ArRmut11-TA</c:v>
                </c:pt>
              </c:strCache>
            </c:strRef>
          </c:tx>
          <c:spPr>
            <a:ln w="2540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rgbClr val="AC75D5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('Furfural - Figure2 - TableS3'!$A$172,'Furfural - Figure2 - TableS3'!$A$181,'Furfural - Figure2 - TableS3'!$A$190,'Furfural - Figure2 - TableS3'!$A$199,'Furfural - Figure2 - TableS3'!$A$208)</c:f>
              <c:numCache>
                <c:formatCode>General</c:formatCode>
                <c:ptCount val="5"/>
                <c:pt idx="0">
                  <c:v>33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TableS3'!$G$175,'Furfural - Figure2 - TableS3'!$G$184,'Furfural - Figure2 - TableS3'!$G$193,'Furfural - Figure2 - TableS3'!$G$202,'Furfural - Figure2 - TableS3'!$G$211)</c:f>
              <c:numCache>
                <c:formatCode>0.00%</c:formatCode>
                <c:ptCount val="5"/>
                <c:pt idx="0">
                  <c:v>0.95565347549627433</c:v>
                </c:pt>
                <c:pt idx="1">
                  <c:v>0.491292286352778</c:v>
                </c:pt>
                <c:pt idx="2">
                  <c:v>0.54301841719966093</c:v>
                </c:pt>
                <c:pt idx="3">
                  <c:v>0.31313092394235958</c:v>
                </c:pt>
                <c:pt idx="4">
                  <c:v>0.18802496724974957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162-4B13-9E39-C5E610265398}"/>
            </c:ext>
          </c:extLst>
        </c:ser>
        <c:ser>
          <c:idx val="3"/>
          <c:order val="3"/>
          <c:tx>
            <c:strRef>
              <c:f>'Furfural - Figure2 - TableS3'!$A$112</c:f>
              <c:strCache>
                <c:ptCount val="1"/>
                <c:pt idx="0">
                  <c:v>TA_Bm</c:v>
                </c:pt>
              </c:strCache>
            </c:strRef>
          </c:tx>
          <c:spPr>
            <a:ln w="2540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4">
                  <a:lumMod val="20000"/>
                  <a:lumOff val="80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('Furfural - Figure2 - TableS3'!$A$172,'Furfural - Figure2 - TableS3'!$A$181,'Furfural - Figure2 - TableS3'!$A$190,'Furfural - Figure2 - TableS3'!$A$199,'Furfural - Figure2 - TableS3'!$A$208)</c:f>
              <c:numCache>
                <c:formatCode>General</c:formatCode>
                <c:ptCount val="5"/>
                <c:pt idx="0">
                  <c:v>33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TableS3'!$G$176,'Furfural - Figure2 - TableS3'!$G$185,'Furfural - Figure2 - TableS3'!$G$194,'Furfural - Figure2 - TableS3'!$G$203,'Furfural - Figure2 - TableS3'!$G$212)</c:f>
              <c:numCache>
                <c:formatCode>0.00%</c:formatCode>
                <c:ptCount val="5"/>
                <c:pt idx="0">
                  <c:v>0.9801140012282803</c:v>
                </c:pt>
                <c:pt idx="1">
                  <c:v>0.93973953918471143</c:v>
                </c:pt>
                <c:pt idx="2">
                  <c:v>0.34643985512830389</c:v>
                </c:pt>
                <c:pt idx="3">
                  <c:v>0.10102489019033677</c:v>
                </c:pt>
                <c:pt idx="4">
                  <c:v>4.8229559990752867E-2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162-4B13-9E39-C5E610265398}"/>
            </c:ext>
          </c:extLst>
        </c:ser>
        <c:ser>
          <c:idx val="4"/>
          <c:order val="4"/>
          <c:tx>
            <c:strRef>
              <c:f>'Furfural - Figure2 - TableS3'!$A$113</c:f>
              <c:strCache>
                <c:ptCount val="1"/>
                <c:pt idx="0">
                  <c:v>TA_BM_mut</c:v>
                </c:pt>
              </c:strCache>
            </c:strRef>
          </c:tx>
          <c:spPr>
            <a:ln w="2540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accent5">
                  <a:lumMod val="40000"/>
                  <a:lumOff val="60000"/>
                </a:schemeClr>
              </a:solidFill>
              <a:ln w="952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('Furfural - Figure2 - TableS3'!$A$172,'Furfural - Figure2 - TableS3'!$A$181,'Furfural - Figure2 - TableS3'!$A$190,'Furfural - Figure2 - TableS3'!$A$199,'Furfural - Figure2 - TableS3'!$A$208)</c:f>
              <c:numCache>
                <c:formatCode>General</c:formatCode>
                <c:ptCount val="5"/>
                <c:pt idx="0">
                  <c:v>33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TableS3'!$G$177,'Furfural - Figure2 - TableS3'!$G$186,'Furfural - Figure2 - TableS3'!$G$195,'Furfural - Figure2 - TableS3'!$G$204,'Furfural - Figure2 - TableS3'!$G$213)</c:f>
              <c:numCache>
                <c:formatCode>0.00%</c:formatCode>
                <c:ptCount val="5"/>
                <c:pt idx="0">
                  <c:v>0.94981564119269302</c:v>
                </c:pt>
                <c:pt idx="1">
                  <c:v>0.56353548585959767</c:v>
                </c:pt>
                <c:pt idx="2">
                  <c:v>0.15820297449333437</c:v>
                </c:pt>
                <c:pt idx="3">
                  <c:v>4.360278441344944E-2</c:v>
                </c:pt>
                <c:pt idx="4">
                  <c:v>1.4217461662942127E-2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D162-4B13-9E39-C5E610265398}"/>
            </c:ext>
          </c:extLst>
        </c:ser>
        <c:ser>
          <c:idx val="5"/>
          <c:order val="5"/>
          <c:tx>
            <c:strRef>
              <c:f>'Furfural - Figure2 - TableS3'!$A$114</c:f>
              <c:strCache>
                <c:ptCount val="1"/>
                <c:pt idx="0">
                  <c:v>TA_Vf_Mut</c:v>
                </c:pt>
              </c:strCache>
            </c:strRef>
          </c:tx>
          <c:spPr>
            <a:ln w="25400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circle"/>
            <c:size val="10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25000"/>
                  </a:schemeClr>
                </a:solidFill>
              </a:ln>
              <a:effectLst/>
            </c:spPr>
          </c:marker>
          <c:xVal>
            <c:numRef>
              <c:f>('Furfural - Figure2 - TableS3'!$A$172,'Furfural - Figure2 - TableS3'!$A$181,'Furfural - Figure2 - TableS3'!$A$190,'Furfural - Figure2 - TableS3'!$A$199,'Furfural - Figure2 - TableS3'!$A$208)</c:f>
              <c:numCache>
                <c:formatCode>General</c:formatCode>
                <c:ptCount val="5"/>
                <c:pt idx="0">
                  <c:v>33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</c:numCache>
            </c:numRef>
          </c:xVal>
          <c:yVal>
            <c:numRef>
              <c:f>('Furfural - Figure2 - TableS3'!$G$178,'Furfural - Figure2 - TableS3'!$G$187,'Furfural - Figure2 - TableS3'!$G$196,'Furfural - Figure2 - TableS3'!$G$205,'Furfural - Figure2 - TableS3'!$G$214)</c:f>
              <c:numCache>
                <c:formatCode>0.00%</c:formatCode>
                <c:ptCount val="5"/>
                <c:pt idx="0">
                  <c:v>0.39504624732335303</c:v>
                </c:pt>
                <c:pt idx="1">
                  <c:v>0.18266933805964403</c:v>
                </c:pt>
                <c:pt idx="2">
                  <c:v>3.1555829544578876E-2</c:v>
                </c:pt>
                <c:pt idx="3">
                  <c:v>0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D162-4B13-9E39-C5E6102653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7951855"/>
        <c:axId val="517973071"/>
      </c:scatterChart>
      <c:valAx>
        <c:axId val="517951855"/>
        <c:scaling>
          <c:orientation val="minMax"/>
          <c:max val="201"/>
          <c:min val="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Georgia" panose="02040502050405020303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/>
                  <a:t>Substrate concentration (mM)</a:t>
                </a:r>
              </a:p>
            </c:rich>
          </c:tx>
          <c:layout>
            <c:manualLayout>
              <c:xMode val="edge"/>
              <c:yMode val="edge"/>
              <c:x val="0.38686131936857177"/>
              <c:y val="0.933258020303067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Georgia" panose="02040502050405020303" pitchFamily="18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Georgia" panose="02040502050405020303" pitchFamily="18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73071"/>
        <c:crosses val="autoZero"/>
        <c:crossBetween val="midCat"/>
        <c:majorUnit val="20"/>
      </c:valAx>
      <c:valAx>
        <c:axId val="517973071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ysClr val="windowText" lastClr="000000"/>
                    </a:solidFill>
                    <a:latin typeface="Georgia" panose="02040502050405020303" pitchFamily="18" charset="0"/>
                    <a:ea typeface="+mn-ea"/>
                    <a:cs typeface="Arial" panose="020B0604020202020204" pitchFamily="34" charset="0"/>
                  </a:defRPr>
                </a:pPr>
                <a:r>
                  <a:rPr lang="it-IT"/>
                  <a:t>Amine Area (%)</a:t>
                </a:r>
              </a:p>
            </c:rich>
          </c:tx>
          <c:layout>
            <c:manualLayout>
              <c:xMode val="edge"/>
              <c:yMode val="edge"/>
              <c:x val="3.1474215581006923E-2"/>
              <c:y val="0.37072702374506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ysClr val="windowText" lastClr="000000"/>
                  </a:solidFill>
                  <a:latin typeface="Georgia" panose="02040502050405020303" pitchFamily="18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0" i="0" u="none" strike="noStrike" kern="1200" baseline="0">
                <a:solidFill>
                  <a:sysClr val="windowText" lastClr="000000"/>
                </a:solidFill>
                <a:latin typeface="Georgia" panose="02040502050405020303" pitchFamily="18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7951855"/>
        <c:crosses val="autoZero"/>
        <c:crossBetween val="midCat"/>
        <c:majorUnit val="0.2"/>
      </c:valAx>
      <c:spPr>
        <a:noFill/>
        <a:ln w="19050">
          <a:solidFill>
            <a:schemeClr val="bg2">
              <a:lumMod val="10000"/>
            </a:schemeClr>
          </a:solidFill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baseline="0">
              <a:solidFill>
                <a:sysClr val="windowText" lastClr="000000"/>
              </a:solidFill>
              <a:latin typeface="Georgia" panose="02040502050405020303" pitchFamily="18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400">
          <a:solidFill>
            <a:sysClr val="windowText" lastClr="000000"/>
          </a:solidFill>
          <a:latin typeface="Georgia" panose="02040502050405020303" pitchFamily="18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'[1]Same IPA equivalents'!$B$1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'[1]Same IPA equivalents'!$C$2:$C$7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'[1]Same IPA equivalents'!$C$2:$C$7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'[1]Same IPA equivalents'!$A$2:$A$7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'[1]Same IPA equivalents'!$B$2:$B$7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16-40D7-B2AF-2E93AC3216BB}"/>
            </c:ext>
          </c:extLst>
        </c:ser>
        <c:ser>
          <c:idx val="1"/>
          <c:order val="1"/>
          <c:tx>
            <c:strRef>
              <c:f>'[1]Same IPA equivalents'!$D$1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'[1]Same IPA equivalents'!$E$2:$E$7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'[1]Same IPA equivalents'!$E$2:$E$7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'[1]Same IPA equivalents'!$A$2:$A$7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'[1]Same IPA equivalents'!$D$2:$D$7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16-40D7-B2AF-2E93AC3216BB}"/>
            </c:ext>
          </c:extLst>
        </c:ser>
        <c:ser>
          <c:idx val="2"/>
          <c:order val="2"/>
          <c:tx>
            <c:strRef>
              <c:f>'[1]Same IPA equivalents'!$F$1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'[1]Same IPA equivalents'!$G$2:$G$7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'[1]Same IPA equivalents'!$G$2:$G$7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'[1]Same IPA equivalents'!$A$2:$A$7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'[1]Same IPA equivalents'!$F$2:$F$7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16-40D7-B2AF-2E93AC3216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1808800"/>
        <c:axId val="1821789664"/>
      </c:barChart>
      <c:catAx>
        <c:axId val="182180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789664"/>
        <c:crosses val="autoZero"/>
        <c:auto val="1"/>
        <c:lblAlgn val="ctr"/>
        <c:lblOffset val="100"/>
        <c:noMultiLvlLbl val="0"/>
      </c:catAx>
      <c:valAx>
        <c:axId val="182178966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8088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'[1]100% enzyme excess'!$B$1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'[1]100% enzyme excess'!$C$2:$C$7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'[1]100% enzyme excess'!$C$2:$C$7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'[1]100% enzyme excess'!$A$2:$A$7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'[1]100% enzyme excess'!$B$2:$B$7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2C-49FD-91B4-47AD9F2705C3}"/>
            </c:ext>
          </c:extLst>
        </c:ser>
        <c:ser>
          <c:idx val="1"/>
          <c:order val="1"/>
          <c:tx>
            <c:strRef>
              <c:f>'[1]100% enzyme excess'!$D$1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'[1]100% enzyme excess'!$E$2:$E$7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'[1]100% enzyme excess'!$E$2:$E$7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'[1]100% enzyme excess'!$A$2:$A$7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'[1]100% enzyme excess'!$D$2:$D$7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2C-49FD-91B4-47AD9F2705C3}"/>
            </c:ext>
          </c:extLst>
        </c:ser>
        <c:ser>
          <c:idx val="2"/>
          <c:order val="2"/>
          <c:tx>
            <c:strRef>
              <c:f>'[1]100% enzyme excess'!$F$1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'[1]100% enzyme excess'!$G$2:$G$7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plus>
            <c:minus>
              <c:numRef>
                <c:f>'[1]100% enzyme excess'!$G$2:$G$7</c:f>
                <c:numCache>
                  <c:formatCode>General</c:formatCode>
                  <c:ptCount val="6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'[1]100% enzyme excess'!$A$2:$A$7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'[1]100% enzyme excess'!$F$2:$F$7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2C-49FD-91B4-47AD9F270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21808800"/>
        <c:axId val="1821789664"/>
      </c:barChart>
      <c:catAx>
        <c:axId val="182180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789664"/>
        <c:crosses val="autoZero"/>
        <c:auto val="1"/>
        <c:lblAlgn val="ctr"/>
        <c:lblOffset val="100"/>
        <c:noMultiLvlLbl val="0"/>
      </c:catAx>
      <c:valAx>
        <c:axId val="182178966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Conversion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1808800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357481332922857E-2"/>
          <c:y val="3.4106824475203974E-2"/>
          <c:w val="0.92261371746810783"/>
          <c:h val="0.7631241315148393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dk1">
                    <a:tint val="88500"/>
                    <a:lumMod val="110000"/>
                    <a:satMod val="105000"/>
                    <a:tint val="67000"/>
                  </a:schemeClr>
                </a:gs>
                <a:gs pos="50000">
                  <a:schemeClr val="dk1">
                    <a:tint val="88500"/>
                    <a:lumMod val="105000"/>
                    <a:satMod val="103000"/>
                    <a:tint val="73000"/>
                  </a:schemeClr>
                </a:gs>
                <a:gs pos="100000">
                  <a:schemeClr val="dk1">
                    <a:tint val="88500"/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dk1">
                  <a:tint val="88500"/>
                  <a:shade val="95000"/>
                </a:schemeClr>
              </a:solidFill>
              <a:round/>
            </a:ln>
            <a:effectLst/>
          </c:spPr>
          <c:invertIfNegative val="0"/>
          <c:dLbls>
            <c:dLbl>
              <c:idx val="40"/>
              <c:layout>
                <c:manualLayout>
                  <c:x val="-2.5143511043841768E-3"/>
                  <c:y val="5.04514979339315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DD-4491-AE31-DAEAED98DC15}"/>
                </c:ext>
              </c:extLst>
            </c:dLbl>
            <c:dLbl>
              <c:idx val="41"/>
              <c:layout>
                <c:manualLayout>
                  <c:x val="2.5143511043841768E-3"/>
                  <c:y val="5.04514979339315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DD-4491-AE31-DAEAED98DC15}"/>
                </c:ext>
              </c:extLst>
            </c:dLbl>
            <c:numFmt formatCode="0%" sourceLinked="0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chemeClr val="tx1">
                    <a:lumMod val="75000"/>
                    <a:lumOff val="25000"/>
                  </a:schemeClr>
                </a:solidFill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noFill/>
                    </a:ln>
                    <a:solidFill>
                      <a:schemeClr val="bg1">
                        <a:alpha val="99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'DFF - Figure 4, 5 and Table S5'!$B$2:$B$46</c:f>
              <c:strCache>
                <c:ptCount val="45"/>
                <c:pt idx="0">
                  <c:v>ATA-200</c:v>
                </c:pt>
                <c:pt idx="1">
                  <c:v>ATA-237</c:v>
                </c:pt>
                <c:pt idx="2">
                  <c:v>ATA-238</c:v>
                </c:pt>
                <c:pt idx="3">
                  <c:v>ATA-251</c:v>
                </c:pt>
                <c:pt idx="4">
                  <c:v>ATA-254</c:v>
                </c:pt>
                <c:pt idx="5">
                  <c:v>ATA-256</c:v>
                </c:pt>
                <c:pt idx="6">
                  <c:v>ATA-260</c:v>
                </c:pt>
                <c:pt idx="7">
                  <c:v>ATA-303</c:v>
                </c:pt>
                <c:pt idx="8">
                  <c:v>ATA-412</c:v>
                </c:pt>
                <c:pt idx="9">
                  <c:v>ATA-415</c:v>
                </c:pt>
                <c:pt idx="10">
                  <c:v>TA-P1-B04</c:v>
                </c:pt>
                <c:pt idx="11">
                  <c:v>TA-P2-A01</c:v>
                </c:pt>
                <c:pt idx="12">
                  <c:v>TA-P2-B01</c:v>
                </c:pt>
                <c:pt idx="13">
                  <c:v>ATA-007</c:v>
                </c:pt>
                <c:pt idx="14">
                  <c:v>ATA-013</c:v>
                </c:pt>
                <c:pt idx="15">
                  <c:v>ATA-025</c:v>
                </c:pt>
                <c:pt idx="16">
                  <c:v>ATA-113</c:v>
                </c:pt>
                <c:pt idx="17">
                  <c:v>ATA-117</c:v>
                </c:pt>
                <c:pt idx="18">
                  <c:v>ATA-217</c:v>
                </c:pt>
                <c:pt idx="19">
                  <c:v>ATA-234</c:v>
                </c:pt>
                <c:pt idx="20">
                  <c:v>ATA-301</c:v>
                </c:pt>
                <c:pt idx="21">
                  <c:v>TA-P1-F03</c:v>
                </c:pt>
                <c:pt idx="22">
                  <c:v>TA-P1-G05</c:v>
                </c:pt>
                <c:pt idx="23">
                  <c:v>TA-P2-A07</c:v>
                </c:pt>
                <c:pt idx="24">
                  <c:v>ATA-024</c:v>
                </c:pt>
                <c:pt idx="25">
                  <c:v>ATA-033</c:v>
                </c:pt>
                <c:pt idx="26">
                  <c:v>TA-P1-A06</c:v>
                </c:pt>
                <c:pt idx="27">
                  <c:v>TA-P1-G06</c:v>
                </c:pt>
                <c:pt idx="28">
                  <c:v>CV-TA**</c:v>
                </c:pt>
                <c:pt idx="29">
                  <c:v>ArR-TA**</c:v>
                </c:pt>
                <c:pt idx="30">
                  <c:v>ArS-TA**</c:v>
                </c:pt>
                <c:pt idx="31">
                  <c:v>ArRmut11-TA**</c:v>
                </c:pt>
                <c:pt idx="32">
                  <c:v>TA1*</c:v>
                </c:pt>
                <c:pt idx="33">
                  <c:v>TA2*</c:v>
                </c:pt>
                <c:pt idx="34">
                  <c:v>TA3*</c:v>
                </c:pt>
                <c:pt idx="35">
                  <c:v>TA4*</c:v>
                </c:pt>
                <c:pt idx="36">
                  <c:v>TA5*</c:v>
                </c:pt>
                <c:pt idx="37">
                  <c:v>TA6*</c:v>
                </c:pt>
                <c:pt idx="38">
                  <c:v>TA7*</c:v>
                </c:pt>
                <c:pt idx="39">
                  <c:v>TA8*</c:v>
                </c:pt>
                <c:pt idx="40">
                  <c:v>TA_Bm***</c:v>
                </c:pt>
                <c:pt idx="41">
                  <c:v>TA_Bm_mut***</c:v>
                </c:pt>
                <c:pt idx="42">
                  <c:v>TA_Vf***</c:v>
                </c:pt>
                <c:pt idx="43">
                  <c:v>TA_Vf_mut***</c:v>
                </c:pt>
                <c:pt idx="44">
                  <c:v>TA_Aterr***</c:v>
                </c:pt>
              </c:strCache>
            </c:strRef>
          </c:cat>
          <c:val>
            <c:numRef>
              <c:f>'DFF - Figure 4, 5 and Table S5'!$I$2:$I$46</c:f>
              <c:numCache>
                <c:formatCode>0%</c:formatCode>
                <c:ptCount val="45"/>
                <c:pt idx="0">
                  <c:v>0.57564918893684525</c:v>
                </c:pt>
                <c:pt idx="1">
                  <c:v>0.63582162337583459</c:v>
                </c:pt>
                <c:pt idx="2">
                  <c:v>0.54952630857365004</c:v>
                </c:pt>
                <c:pt idx="3">
                  <c:v>0.97427800888203986</c:v>
                </c:pt>
                <c:pt idx="4">
                  <c:v>0.60900890112960526</c:v>
                </c:pt>
                <c:pt idx="5">
                  <c:v>0.49989240202075952</c:v>
                </c:pt>
                <c:pt idx="6">
                  <c:v>0.40700237236189718</c:v>
                </c:pt>
                <c:pt idx="7">
                  <c:v>0.69712643977376665</c:v>
                </c:pt>
                <c:pt idx="8">
                  <c:v>0.33181394573938039</c:v>
                </c:pt>
                <c:pt idx="9">
                  <c:v>0.79409477993610078</c:v>
                </c:pt>
                <c:pt idx="10">
                  <c:v>0.39533146251685564</c:v>
                </c:pt>
                <c:pt idx="11">
                  <c:v>8.091107721196282E-2</c:v>
                </c:pt>
                <c:pt idx="12">
                  <c:v>0.01</c:v>
                </c:pt>
                <c:pt idx="13">
                  <c:v>0.01</c:v>
                </c:pt>
                <c:pt idx="14">
                  <c:v>0.67382800636563533</c:v>
                </c:pt>
                <c:pt idx="15">
                  <c:v>0.99</c:v>
                </c:pt>
                <c:pt idx="16">
                  <c:v>0.6174692261102116</c:v>
                </c:pt>
                <c:pt idx="17">
                  <c:v>8.095446349391465E-2</c:v>
                </c:pt>
                <c:pt idx="18">
                  <c:v>0.01</c:v>
                </c:pt>
                <c:pt idx="19">
                  <c:v>0.2616149415413237</c:v>
                </c:pt>
                <c:pt idx="20">
                  <c:v>0.20586356923322557</c:v>
                </c:pt>
                <c:pt idx="21">
                  <c:v>0.33558855226918938</c:v>
                </c:pt>
                <c:pt idx="22">
                  <c:v>0.3069102198990315</c:v>
                </c:pt>
                <c:pt idx="23">
                  <c:v>0.01</c:v>
                </c:pt>
                <c:pt idx="24">
                  <c:v>0.95466740943981399</c:v>
                </c:pt>
                <c:pt idx="25">
                  <c:v>0.81183976925439816</c:v>
                </c:pt>
                <c:pt idx="26">
                  <c:v>0.53377708822513659</c:v>
                </c:pt>
                <c:pt idx="27">
                  <c:v>0.48501090731128266</c:v>
                </c:pt>
                <c:pt idx="28">
                  <c:v>0.89475095406434024</c:v>
                </c:pt>
                <c:pt idx="29">
                  <c:v>0.21775141048802626</c:v>
                </c:pt>
                <c:pt idx="30">
                  <c:v>0.91288641992020403</c:v>
                </c:pt>
                <c:pt idx="31">
                  <c:v>0.99</c:v>
                </c:pt>
                <c:pt idx="32">
                  <c:v>0.43164578051053509</c:v>
                </c:pt>
                <c:pt idx="33">
                  <c:v>0.01</c:v>
                </c:pt>
                <c:pt idx="34">
                  <c:v>0.68081319775987958</c:v>
                </c:pt>
                <c:pt idx="35">
                  <c:v>0.01</c:v>
                </c:pt>
                <c:pt idx="36">
                  <c:v>0.01</c:v>
                </c:pt>
                <c:pt idx="37">
                  <c:v>0.69283119786053582</c:v>
                </c:pt>
                <c:pt idx="38">
                  <c:v>0.01</c:v>
                </c:pt>
                <c:pt idx="39">
                  <c:v>0.8808673438397554</c:v>
                </c:pt>
                <c:pt idx="40">
                  <c:v>0.99</c:v>
                </c:pt>
                <c:pt idx="41">
                  <c:v>0.99</c:v>
                </c:pt>
                <c:pt idx="42">
                  <c:v>0.01</c:v>
                </c:pt>
                <c:pt idx="43">
                  <c:v>0.43676536178085079</c:v>
                </c:pt>
                <c:pt idx="44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E9-4EE9-BF42-17A5982CA46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7"/>
        <c:overlap val="-15"/>
        <c:axId val="1531151119"/>
        <c:axId val="1531148207"/>
      </c:barChart>
      <c:catAx>
        <c:axId val="1531151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75000"/>
                <a:lumOff val="2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1148207"/>
        <c:crosses val="autoZero"/>
        <c:auto val="1"/>
        <c:lblAlgn val="ctr"/>
        <c:lblOffset val="100"/>
        <c:noMultiLvlLbl val="0"/>
      </c:catAx>
      <c:valAx>
        <c:axId val="1531148207"/>
        <c:scaling>
          <c:orientation val="minMax"/>
          <c:max val="1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cap="none" baseline="0">
                    <a:solidFill>
                      <a:schemeClr val="bg2">
                        <a:lumMod val="1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 sz="1000" b="1" cap="none" baseline="0">
                    <a:solidFill>
                      <a:schemeClr val="bg2">
                        <a:lumMod val="10000"/>
                      </a:schemeClr>
                    </a:solidFill>
                  </a:rPr>
                  <a:t>BAF area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cap="none" baseline="0">
                  <a:solidFill>
                    <a:schemeClr val="bg2">
                      <a:lumMod val="10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31151119"/>
        <c:crosses val="autoZero"/>
        <c:crossBetween val="between"/>
      </c:valAx>
      <c:spPr>
        <a:noFill/>
        <a:ln>
          <a:solidFill>
            <a:schemeClr val="tx1">
              <a:lumMod val="65000"/>
              <a:lumOff val="3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1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35000"/>
          <a:lumOff val="6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/>
    <cs:fontRef idx="minor">
      <a:schemeClr val="dk1"/>
    </cs:fontRef>
    <cs:spPr>
      <a:noFill/>
      <a:ln w="25400" cap="flat" cmpd="sng" algn="ctr">
        <a:solidFill>
          <a:schemeClr val="phClr"/>
        </a:solidFill>
        <a:miter lim="800000"/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flat" cmpd="sng" algn="ctr">
        <a:solidFill>
          <a:schemeClr val="phClr"/>
        </a:solidFill>
        <a:miter lim="800000"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1"/>
    <cs:effectRef idx="0"/>
    <cs:fontRef idx="minor">
      <a:schemeClr val="tx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6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581025</xdr:colOff>
      <xdr:row>0</xdr:row>
      <xdr:rowOff>146050</xdr:rowOff>
    </xdr:from>
    <xdr:to>
      <xdr:col>13</xdr:col>
      <xdr:colOff>158750</xdr:colOff>
      <xdr:row>19</xdr:row>
      <xdr:rowOff>114301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355600</xdr:colOff>
      <xdr:row>22</xdr:row>
      <xdr:rowOff>184150</xdr:rowOff>
    </xdr:from>
    <xdr:to>
      <xdr:col>17</xdr:col>
      <xdr:colOff>361950</xdr:colOff>
      <xdr:row>40</xdr:row>
      <xdr:rowOff>6350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46</xdr:row>
      <xdr:rowOff>0</xdr:rowOff>
    </xdr:from>
    <xdr:to>
      <xdr:col>7</xdr:col>
      <xdr:colOff>527050</xdr:colOff>
      <xdr:row>62</xdr:row>
      <xdr:rowOff>82550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6350</xdr:colOff>
      <xdr:row>74</xdr:row>
      <xdr:rowOff>47624</xdr:rowOff>
    </xdr:from>
    <xdr:to>
      <xdr:col>36</xdr:col>
      <xdr:colOff>455386</xdr:colOff>
      <xdr:row>95</xdr:row>
      <xdr:rowOff>97971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20</xdr:col>
      <xdr:colOff>213340</xdr:colOff>
      <xdr:row>106</xdr:row>
      <xdr:rowOff>41274</xdr:rowOff>
    </xdr:from>
    <xdr:to>
      <xdr:col>42</xdr:col>
      <xdr:colOff>44450</xdr:colOff>
      <xdr:row>150</xdr:row>
      <xdr:rowOff>57149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330200</xdr:colOff>
      <xdr:row>174</xdr:row>
      <xdr:rowOff>0</xdr:rowOff>
    </xdr:from>
    <xdr:to>
      <xdr:col>42</xdr:col>
      <xdr:colOff>76200</xdr:colOff>
      <xdr:row>215</xdr:row>
      <xdr:rowOff>24245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508000</xdr:colOff>
          <xdr:row>1</xdr:row>
          <xdr:rowOff>19050</xdr:rowOff>
        </xdr:from>
        <xdr:to>
          <xdr:col>21</xdr:col>
          <xdr:colOff>406400</xdr:colOff>
          <xdr:row>7</xdr:row>
          <xdr:rowOff>69850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514350</xdr:colOff>
          <xdr:row>65</xdr:row>
          <xdr:rowOff>50800</xdr:rowOff>
        </xdr:from>
        <xdr:to>
          <xdr:col>33</xdr:col>
          <xdr:colOff>177800</xdr:colOff>
          <xdr:row>73</xdr:row>
          <xdr:rowOff>44450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768350</xdr:colOff>
          <xdr:row>98</xdr:row>
          <xdr:rowOff>107950</xdr:rowOff>
        </xdr:from>
        <xdr:to>
          <xdr:col>20</xdr:col>
          <xdr:colOff>558800</xdr:colOff>
          <xdr:row>108</xdr:row>
          <xdr:rowOff>158750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82550</xdr:colOff>
          <xdr:row>161</xdr:row>
          <xdr:rowOff>76200</xdr:rowOff>
        </xdr:from>
        <xdr:to>
          <xdr:col>22</xdr:col>
          <xdr:colOff>463550</xdr:colOff>
          <xdr:row>171</xdr:row>
          <xdr:rowOff>38100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0</xdr:colOff>
      <xdr:row>23</xdr:row>
      <xdr:rowOff>0</xdr:rowOff>
    </xdr:from>
    <xdr:to>
      <xdr:col>51</xdr:col>
      <xdr:colOff>257386</xdr:colOff>
      <xdr:row>38</xdr:row>
      <xdr:rowOff>63500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51552FF2-59BE-4965-B4FD-5191858206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44</xdr:col>
      <xdr:colOff>0</xdr:colOff>
      <xdr:row>41</xdr:row>
      <xdr:rowOff>0</xdr:rowOff>
    </xdr:from>
    <xdr:to>
      <xdr:col>51</xdr:col>
      <xdr:colOff>309921</xdr:colOff>
      <xdr:row>55</xdr:row>
      <xdr:rowOff>180070</xdr:rowOff>
    </xdr:to>
    <xdr:graphicFrame macro="">
      <xdr:nvGraphicFramePr>
        <xdr:cNvPr id="3" name="Gráfico 1">
          <a:extLst>
            <a:ext uri="{FF2B5EF4-FFF2-40B4-BE49-F238E27FC236}">
              <a16:creationId xmlns:a16="http://schemas.microsoft.com/office/drawing/2014/main" id="{1B570408-0254-4DDA-814E-16900429A5D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397476</xdr:colOff>
      <xdr:row>48</xdr:row>
      <xdr:rowOff>150216</xdr:rowOff>
    </xdr:from>
    <xdr:to>
      <xdr:col>13</xdr:col>
      <xdr:colOff>387282</xdr:colOff>
      <xdr:row>72</xdr:row>
      <xdr:rowOff>98256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990600</xdr:colOff>
          <xdr:row>24</xdr:row>
          <xdr:rowOff>127000</xdr:rowOff>
        </xdr:from>
        <xdr:to>
          <xdr:col>16</xdr:col>
          <xdr:colOff>101600</xdr:colOff>
          <xdr:row>30</xdr:row>
          <xdr:rowOff>95250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704850</xdr:colOff>
          <xdr:row>138</xdr:row>
          <xdr:rowOff>0</xdr:rowOff>
        </xdr:from>
        <xdr:to>
          <xdr:col>16</xdr:col>
          <xdr:colOff>177800</xdr:colOff>
          <xdr:row>144</xdr:row>
          <xdr:rowOff>57150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6350</xdr:colOff>
          <xdr:row>81</xdr:row>
          <xdr:rowOff>114300</xdr:rowOff>
        </xdr:from>
        <xdr:to>
          <xdr:col>14</xdr:col>
          <xdr:colOff>2673350</xdr:colOff>
          <xdr:row>87</xdr:row>
          <xdr:rowOff>82550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138541</xdr:colOff>
      <xdr:row>110</xdr:row>
      <xdr:rowOff>101063</xdr:rowOff>
    </xdr:from>
    <xdr:to>
      <xdr:col>9</xdr:col>
      <xdr:colOff>270285</xdr:colOff>
      <xdr:row>137</xdr:row>
      <xdr:rowOff>92981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913945</xdr:colOff>
      <xdr:row>166</xdr:row>
      <xdr:rowOff>97518</xdr:rowOff>
    </xdr:from>
    <xdr:to>
      <xdr:col>8</xdr:col>
      <xdr:colOff>333582</xdr:colOff>
      <xdr:row>193</xdr:row>
      <xdr:rowOff>80364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211667</xdr:colOff>
      <xdr:row>46</xdr:row>
      <xdr:rowOff>118533</xdr:rowOff>
    </xdr:from>
    <xdr:to>
      <xdr:col>4</xdr:col>
      <xdr:colOff>381000</xdr:colOff>
      <xdr:row>61</xdr:row>
      <xdr:rowOff>67733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7CE020-42CB-4618-A43F-F7767CF6DA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93979</xdr:colOff>
      <xdr:row>27</xdr:row>
      <xdr:rowOff>118111</xdr:rowOff>
    </xdr:from>
    <xdr:to>
      <xdr:col>11</xdr:col>
      <xdr:colOff>703579</xdr:colOff>
      <xdr:row>42</xdr:row>
      <xdr:rowOff>118111</xdr:rowOff>
    </xdr:to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F53FA98A-15AE-4622-9A94-F72ED8F1F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165100</xdr:colOff>
      <xdr:row>27</xdr:row>
      <xdr:rowOff>114300</xdr:rowOff>
    </xdr:from>
    <xdr:to>
      <xdr:col>5</xdr:col>
      <xdr:colOff>596900</xdr:colOff>
      <xdr:row>42</xdr:row>
      <xdr:rowOff>63500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DC94E3B5-3752-43F5-8598-8FC7727C7A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167766</xdr:colOff>
      <xdr:row>0</xdr:row>
      <xdr:rowOff>42474</xdr:rowOff>
    </xdr:from>
    <xdr:to>
      <xdr:col>12</xdr:col>
      <xdr:colOff>20383</xdr:colOff>
      <xdr:row>14</xdr:row>
      <xdr:rowOff>151600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614241</xdr:colOff>
      <xdr:row>16</xdr:row>
      <xdr:rowOff>40635</xdr:rowOff>
    </xdr:from>
    <xdr:to>
      <xdr:col>11</xdr:col>
      <xdr:colOff>517658</xdr:colOff>
      <xdr:row>30</xdr:row>
      <xdr:rowOff>143041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553548</xdr:colOff>
      <xdr:row>16</xdr:row>
      <xdr:rowOff>43081</xdr:rowOff>
    </xdr:from>
    <xdr:to>
      <xdr:col>18</xdr:col>
      <xdr:colOff>437915</xdr:colOff>
      <xdr:row>30</xdr:row>
      <xdr:rowOff>140595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396603</xdr:colOff>
      <xdr:row>31</xdr:row>
      <xdr:rowOff>122285</xdr:rowOff>
    </xdr:from>
    <xdr:to>
      <xdr:col>15</xdr:col>
      <xdr:colOff>249220</xdr:colOff>
      <xdr:row>46</xdr:row>
      <xdr:rowOff>54875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111035</xdr:colOff>
      <xdr:row>0</xdr:row>
      <xdr:rowOff>87832</xdr:rowOff>
    </xdr:from>
    <xdr:to>
      <xdr:col>19</xdr:col>
      <xdr:colOff>17355</xdr:colOff>
      <xdr:row>15</xdr:row>
      <xdr:rowOff>15529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tia\Downloads\Figure%203%20and%204_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antia\Downloads\Figure%203%20and%204_2.xlsx" TargetMode="External"/><Relationship Id="rId1" Type="http://schemas.openxmlformats.org/officeDocument/2006/relationships/externalLinkPath" Target="file:///C:\Users\antia\Downloads\Figure%203%20and%204_2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SER\Desktop\Nicoletta%20PhD\Paper%202%20with%20Antia%20-%20ATA\drafts\ChemBioChem_Antia.xlsx" TargetMode="External"/><Relationship Id="rId1" Type="http://schemas.openxmlformats.org/officeDocument/2006/relationships/externalLinkPath" Target="file:///C:\Users\USER\Desktop\Nicoletta%20PhD\Paper%202%20with%20Antia%20-%20ATA\drafts\ChemBioChem_Ant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me IPA equivalents"/>
      <sheetName val="100% enzyme excess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e IPA equivalents"/>
      <sheetName val="100% enzyme excess"/>
      <sheetName val="Hoja1"/>
    </sheetNames>
    <sheetDataSet>
      <sheetData sheetId="0">
        <row r="1">
          <cell r="B1" t="str">
            <v xml:space="preserve">50 mM </v>
          </cell>
        </row>
        <row r="2">
          <cell r="B2">
            <v>99.868484005563275</v>
          </cell>
          <cell r="D2">
            <v>92.786666433338794</v>
          </cell>
          <cell r="F2">
            <v>40.077373894007479</v>
          </cell>
        </row>
        <row r="3">
          <cell r="B3">
            <v>99.86774223458508</v>
          </cell>
          <cell r="D3">
            <v>97.9106974743123</v>
          </cell>
          <cell r="F3">
            <v>96.174642319705598</v>
          </cell>
        </row>
        <row r="4">
          <cell r="B4">
            <v>99.884135373203506</v>
          </cell>
          <cell r="D4">
            <v>95.39192917786697</v>
          </cell>
          <cell r="F4">
            <v>83.174579300111944</v>
          </cell>
        </row>
        <row r="5">
          <cell r="B5">
            <v>99.484024107556777</v>
          </cell>
          <cell r="D5">
            <v>69.69752730621714</v>
          </cell>
          <cell r="F5">
            <v>10.152393201768223</v>
          </cell>
        </row>
        <row r="6">
          <cell r="B6">
            <v>99.90690774223458</v>
          </cell>
          <cell r="D6">
            <v>99.891889980480002</v>
          </cell>
          <cell r="F6">
            <v>99.901315586857109</v>
          </cell>
        </row>
        <row r="7">
          <cell r="B7">
            <v>99.864849327770045</v>
          </cell>
          <cell r="D7">
            <v>54.904045758064349</v>
          </cell>
          <cell r="F7">
            <v>2.6365432999061951</v>
          </cell>
        </row>
      </sheetData>
      <sheetData sheetId="1">
        <row r="1">
          <cell r="B1" t="str">
            <v xml:space="preserve">50 mM </v>
          </cell>
        </row>
        <row r="2">
          <cell r="B2">
            <v>99.868484005563275</v>
          </cell>
          <cell r="D2">
            <v>99.511691537414677</v>
          </cell>
          <cell r="F2">
            <v>61.939857649670664</v>
          </cell>
        </row>
        <row r="3">
          <cell r="B3">
            <v>99.86774223458508</v>
          </cell>
          <cell r="D3">
            <v>97.927036848024684</v>
          </cell>
          <cell r="F3">
            <v>67.719017092693846</v>
          </cell>
        </row>
        <row r="4">
          <cell r="B4">
            <v>99.884135373203506</v>
          </cell>
          <cell r="D4">
            <v>97.231705446938108</v>
          </cell>
          <cell r="F4">
            <v>59.011917896657565</v>
          </cell>
        </row>
        <row r="5">
          <cell r="B5">
            <v>99.484024107556777</v>
          </cell>
          <cell r="D5">
            <v>98.738386755237457</v>
          </cell>
          <cell r="F5">
            <v>50.451816184648102</v>
          </cell>
        </row>
        <row r="6">
          <cell r="B6">
            <v>99.90690774223458</v>
          </cell>
          <cell r="D6">
            <v>93.371000490181459</v>
          </cell>
          <cell r="F6">
            <v>51.183947125803421</v>
          </cell>
        </row>
        <row r="7">
          <cell r="B7">
            <v>99.864849327770045</v>
          </cell>
          <cell r="D7">
            <v>99.645387104242744</v>
          </cell>
          <cell r="F7">
            <v>54.840618690869206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gure 3"/>
      <sheetName val="Figure S1"/>
      <sheetName val="Figure S6"/>
    </sheetNames>
    <sheetDataSet>
      <sheetData sheetId="0"/>
      <sheetData sheetId="1">
        <row r="40">
          <cell r="A40" t="str">
            <v>Cv</v>
          </cell>
          <cell r="B40">
            <v>99.877956307297623</v>
          </cell>
        </row>
        <row r="41">
          <cell r="A41" t="str">
            <v>ArS</v>
          </cell>
          <cell r="B41">
            <v>99.873446279469547</v>
          </cell>
        </row>
        <row r="42">
          <cell r="A42" t="str">
            <v>ArRMut11</v>
          </cell>
          <cell r="B42">
            <v>99.890171447018091</v>
          </cell>
        </row>
        <row r="43">
          <cell r="A43" t="str">
            <v>Vf</v>
          </cell>
          <cell r="B43">
            <v>99.497736419038517</v>
          </cell>
        </row>
        <row r="44">
          <cell r="A44" t="str">
            <v>Vf-Mut</v>
          </cell>
          <cell r="B44">
            <v>99.912273445418577</v>
          </cell>
        </row>
        <row r="45">
          <cell r="A45" t="str">
            <v>Bm</v>
          </cell>
          <cell r="B45">
            <v>99.875314173608217</v>
          </cell>
        </row>
      </sheetData>
      <sheetData sheetId="2">
        <row r="3">
          <cell r="A3">
            <v>0</v>
          </cell>
          <cell r="D3">
            <v>0</v>
          </cell>
        </row>
        <row r="4">
          <cell r="A4">
            <v>5</v>
          </cell>
          <cell r="D4">
            <v>873.15</v>
          </cell>
        </row>
        <row r="5">
          <cell r="A5">
            <v>10</v>
          </cell>
          <cell r="D5">
            <v>1610.3</v>
          </cell>
        </row>
        <row r="6">
          <cell r="A6">
            <v>25</v>
          </cell>
          <cell r="D6">
            <v>4866.1000000000004</v>
          </cell>
        </row>
        <row r="7">
          <cell r="A7">
            <v>50</v>
          </cell>
          <cell r="D7">
            <v>8841.4500000000007</v>
          </cell>
        </row>
        <row r="17">
          <cell r="D17" t="str">
            <v>Media 210 nm</v>
          </cell>
        </row>
        <row r="18">
          <cell r="A18">
            <v>0</v>
          </cell>
          <cell r="D18">
            <v>0</v>
          </cell>
        </row>
        <row r="19">
          <cell r="A19">
            <v>5</v>
          </cell>
          <cell r="D19">
            <v>415.41300000000001</v>
          </cell>
        </row>
        <row r="20">
          <cell r="A20">
            <v>10</v>
          </cell>
          <cell r="D20">
            <v>745.8</v>
          </cell>
        </row>
        <row r="21">
          <cell r="A21">
            <v>25</v>
          </cell>
          <cell r="D21">
            <v>1563.4</v>
          </cell>
        </row>
        <row r="22">
          <cell r="A22">
            <v>50</v>
          </cell>
          <cell r="D22">
            <v>3274.3999999999996</v>
          </cell>
        </row>
        <row r="23">
          <cell r="A23">
            <v>75</v>
          </cell>
          <cell r="D23">
            <v>4893.1000000000004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image" Target="../media/image3.emf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7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5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6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5.bin"/><Relationship Id="rId9" Type="http://schemas.openxmlformats.org/officeDocument/2006/relationships/image" Target="../media/image6.emf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1061D-20F3-4721-AAFA-5BAD77483FB4}">
  <dimension ref="A1:T248"/>
  <sheetViews>
    <sheetView topLeftCell="A63" zoomScale="39" zoomScaleNormal="70" workbookViewId="0">
      <selection activeCell="D243" sqref="D243"/>
    </sheetView>
  </sheetViews>
  <sheetFormatPr defaultRowHeight="14.5" x14ac:dyDescent="0.35"/>
  <cols>
    <col min="1" max="1" width="30.81640625" bestFit="1" customWidth="1"/>
    <col min="2" max="2" width="33.90625" customWidth="1"/>
    <col min="3" max="3" width="23.54296875" bestFit="1" customWidth="1"/>
    <col min="4" max="4" width="27.453125" bestFit="1" customWidth="1"/>
    <col min="5" max="5" width="22.453125" bestFit="1" customWidth="1"/>
    <col min="6" max="6" width="15.26953125" bestFit="1" customWidth="1"/>
    <col min="7" max="7" width="34.54296875" bestFit="1" customWidth="1"/>
    <col min="8" max="8" width="39.54296875" customWidth="1"/>
    <col min="9" max="9" width="23.54296875" customWidth="1"/>
    <col min="11" max="11" width="24.1796875" bestFit="1" customWidth="1"/>
    <col min="13" max="13" width="25.90625" customWidth="1"/>
  </cols>
  <sheetData>
    <row r="1" spans="1:5" x14ac:dyDescent="0.35">
      <c r="A1" s="35" t="s">
        <v>152</v>
      </c>
      <c r="B1" s="35"/>
      <c r="C1" s="35"/>
      <c r="D1" s="35"/>
      <c r="E1" s="35"/>
    </row>
    <row r="2" spans="1:5" x14ac:dyDescent="0.35">
      <c r="A2" s="1" t="s">
        <v>0</v>
      </c>
      <c r="E2" s="4">
        <v>0.99</v>
      </c>
    </row>
    <row r="3" spans="1:5" x14ac:dyDescent="0.35">
      <c r="A3" s="1" t="s">
        <v>1</v>
      </c>
      <c r="E3" s="4">
        <v>0.99</v>
      </c>
    </row>
    <row r="4" spans="1:5" x14ac:dyDescent="0.35">
      <c r="A4" s="1" t="s">
        <v>3</v>
      </c>
      <c r="E4" s="4">
        <v>0.99</v>
      </c>
    </row>
    <row r="5" spans="1:5" x14ac:dyDescent="0.35">
      <c r="A5" s="1" t="s">
        <v>4</v>
      </c>
      <c r="E5" s="4">
        <v>0.70199999999999996</v>
      </c>
    </row>
    <row r="6" spans="1:5" x14ac:dyDescent="0.35">
      <c r="A6" s="1" t="s">
        <v>5</v>
      </c>
      <c r="E6" s="4">
        <v>0.76139999999999997</v>
      </c>
    </row>
    <row r="7" spans="1:5" x14ac:dyDescent="0.35">
      <c r="A7" s="1" t="s">
        <v>6</v>
      </c>
      <c r="E7" s="4">
        <v>0.91600000000000004</v>
      </c>
    </row>
    <row r="21" spans="1:2" x14ac:dyDescent="0.35">
      <c r="B21" t="s">
        <v>7</v>
      </c>
    </row>
    <row r="23" spans="1:2" ht="15" thickBot="1" x14ac:dyDescent="0.4">
      <c r="A23" t="s">
        <v>34</v>
      </c>
    </row>
    <row r="24" spans="1:2" ht="15" thickBot="1" x14ac:dyDescent="0.4">
      <c r="A24" s="5" t="s">
        <v>8</v>
      </c>
      <c r="B24" s="4">
        <v>0.99</v>
      </c>
    </row>
    <row r="25" spans="1:2" ht="15" thickBot="1" x14ac:dyDescent="0.4">
      <c r="A25" s="6" t="s">
        <v>9</v>
      </c>
      <c r="B25" s="4">
        <v>0.99</v>
      </c>
    </row>
    <row r="26" spans="1:2" ht="15" thickBot="1" x14ac:dyDescent="0.4">
      <c r="A26" s="6" t="s">
        <v>10</v>
      </c>
      <c r="B26" s="4">
        <v>0.99</v>
      </c>
    </row>
    <row r="27" spans="1:2" ht="15" thickBot="1" x14ac:dyDescent="0.4">
      <c r="A27" s="6" t="s">
        <v>11</v>
      </c>
      <c r="B27" s="4">
        <v>0.99</v>
      </c>
    </row>
    <row r="28" spans="1:2" ht="15" thickBot="1" x14ac:dyDescent="0.4">
      <c r="A28" s="6" t="s">
        <v>12</v>
      </c>
      <c r="B28" s="4">
        <v>0.99</v>
      </c>
    </row>
    <row r="29" spans="1:2" ht="15" thickBot="1" x14ac:dyDescent="0.4">
      <c r="A29" s="6" t="s">
        <v>13</v>
      </c>
      <c r="B29" s="4">
        <v>0.99</v>
      </c>
    </row>
    <row r="30" spans="1:2" ht="15" thickBot="1" x14ac:dyDescent="0.4">
      <c r="A30" s="6" t="s">
        <v>14</v>
      </c>
      <c r="B30" s="4">
        <v>0.99</v>
      </c>
    </row>
    <row r="31" spans="1:2" ht="15" thickBot="1" x14ac:dyDescent="0.4">
      <c r="A31" s="6" t="s">
        <v>15</v>
      </c>
      <c r="B31" s="4">
        <v>0.99</v>
      </c>
    </row>
    <row r="32" spans="1:2" ht="15" thickBot="1" x14ac:dyDescent="0.4">
      <c r="A32" s="6" t="s">
        <v>16</v>
      </c>
      <c r="B32" s="4">
        <v>0.99</v>
      </c>
    </row>
    <row r="33" spans="1:2" ht="15" thickBot="1" x14ac:dyDescent="0.4">
      <c r="A33" s="6" t="s">
        <v>17</v>
      </c>
      <c r="B33" s="4">
        <v>0.99</v>
      </c>
    </row>
    <row r="34" spans="1:2" ht="26.5" thickBot="1" x14ac:dyDescent="0.4">
      <c r="A34" s="6" t="s">
        <v>18</v>
      </c>
      <c r="B34" s="4">
        <v>0.99</v>
      </c>
    </row>
    <row r="35" spans="1:2" x14ac:dyDescent="0.35">
      <c r="A35" s="7" t="s">
        <v>19</v>
      </c>
      <c r="B35" s="4">
        <v>0.99</v>
      </c>
    </row>
    <row r="36" spans="1:2" x14ac:dyDescent="0.35">
      <c r="A36" s="8" t="s">
        <v>20</v>
      </c>
      <c r="B36" s="4">
        <v>0.99</v>
      </c>
    </row>
    <row r="37" spans="1:2" x14ac:dyDescent="0.35">
      <c r="A37" s="8" t="s">
        <v>21</v>
      </c>
      <c r="B37" s="4">
        <v>0.99</v>
      </c>
    </row>
    <row r="38" spans="1:2" ht="15" thickBot="1" x14ac:dyDescent="0.4">
      <c r="A38" s="8" t="s">
        <v>22</v>
      </c>
      <c r="B38" s="4">
        <v>0.99</v>
      </c>
    </row>
    <row r="39" spans="1:2" ht="15" thickBot="1" x14ac:dyDescent="0.4">
      <c r="A39" s="5" t="s">
        <v>23</v>
      </c>
      <c r="B39" s="4">
        <v>0.99</v>
      </c>
    </row>
    <row r="40" spans="1:2" ht="15" thickBot="1" x14ac:dyDescent="0.4">
      <c r="A40" s="6" t="s">
        <v>24</v>
      </c>
      <c r="B40" s="4">
        <v>0.99</v>
      </c>
    </row>
    <row r="41" spans="1:2" ht="15" thickBot="1" x14ac:dyDescent="0.4">
      <c r="A41" s="6" t="s">
        <v>25</v>
      </c>
      <c r="B41" s="4">
        <v>0.99</v>
      </c>
    </row>
    <row r="42" spans="1:2" ht="15" thickBot="1" x14ac:dyDescent="0.4">
      <c r="A42" s="6" t="s">
        <v>26</v>
      </c>
      <c r="B42" s="4">
        <v>0.99</v>
      </c>
    </row>
    <row r="43" spans="1:2" ht="15" thickBot="1" x14ac:dyDescent="0.4">
      <c r="A43" s="6" t="s">
        <v>27</v>
      </c>
      <c r="B43" s="4">
        <v>0.99</v>
      </c>
    </row>
    <row r="44" spans="1:2" ht="15" thickBot="1" x14ac:dyDescent="0.4">
      <c r="A44" s="6" t="s">
        <v>28</v>
      </c>
      <c r="B44" s="4">
        <v>0.99</v>
      </c>
    </row>
    <row r="45" spans="1:2" ht="15" thickBot="1" x14ac:dyDescent="0.4">
      <c r="A45" s="6" t="s">
        <v>29</v>
      </c>
      <c r="B45" s="4">
        <v>0.99</v>
      </c>
    </row>
    <row r="46" spans="1:2" ht="15" thickBot="1" x14ac:dyDescent="0.4">
      <c r="A46" s="6" t="s">
        <v>30</v>
      </c>
      <c r="B46" s="4">
        <v>0.99</v>
      </c>
    </row>
    <row r="47" spans="1:2" ht="15" thickBot="1" x14ac:dyDescent="0.4">
      <c r="A47" s="6" t="s">
        <v>31</v>
      </c>
      <c r="B47" s="4">
        <v>0.99</v>
      </c>
    </row>
    <row r="48" spans="1:2" ht="15" thickBot="1" x14ac:dyDescent="0.4">
      <c r="A48" s="6" t="s">
        <v>32</v>
      </c>
      <c r="B48" s="4">
        <v>0.99</v>
      </c>
    </row>
    <row r="52" spans="1:2" x14ac:dyDescent="0.35">
      <c r="A52" t="s">
        <v>33</v>
      </c>
      <c r="B52" s="9">
        <v>0.99</v>
      </c>
    </row>
    <row r="53" spans="1:2" x14ac:dyDescent="0.35">
      <c r="B53" t="s">
        <v>154</v>
      </c>
    </row>
    <row r="75" spans="1:20" x14ac:dyDescent="0.35">
      <c r="N75" t="s">
        <v>160</v>
      </c>
      <c r="O75" t="s">
        <v>36</v>
      </c>
      <c r="P75" t="s">
        <v>161</v>
      </c>
    </row>
    <row r="76" spans="1:20" x14ac:dyDescent="0.35">
      <c r="M76" s="27" t="s">
        <v>159</v>
      </c>
      <c r="N76" s="27">
        <v>70.741</v>
      </c>
      <c r="O76" s="27" t="s">
        <v>36</v>
      </c>
      <c r="P76" s="27">
        <v>71.962000000000003</v>
      </c>
      <c r="Q76" s="27"/>
      <c r="R76" s="27"/>
      <c r="S76" s="27"/>
      <c r="T76">
        <f>N77/N76</f>
        <v>2.2961224749438092</v>
      </c>
    </row>
    <row r="77" spans="1:20" x14ac:dyDescent="0.35">
      <c r="A77" s="1"/>
      <c r="B77" s="1" t="s">
        <v>173</v>
      </c>
      <c r="C77" t="s">
        <v>41</v>
      </c>
      <c r="D77" s="1" t="s">
        <v>38</v>
      </c>
      <c r="E77" s="1" t="s">
        <v>37</v>
      </c>
      <c r="F77" s="1" t="s">
        <v>44</v>
      </c>
      <c r="G77" s="1" t="s">
        <v>42</v>
      </c>
      <c r="H77" s="1" t="s">
        <v>39</v>
      </c>
      <c r="I77" s="1" t="s">
        <v>40</v>
      </c>
      <c r="J77" s="1" t="s">
        <v>43</v>
      </c>
      <c r="M77" s="32" t="s">
        <v>155</v>
      </c>
      <c r="N77" s="27">
        <v>162.43</v>
      </c>
      <c r="O77" s="27" t="s">
        <v>36</v>
      </c>
      <c r="P77" s="27"/>
      <c r="Q77" s="27"/>
      <c r="R77" s="27"/>
      <c r="S77" s="27"/>
    </row>
    <row r="78" spans="1:20" x14ac:dyDescent="0.35">
      <c r="A78" s="25" t="s">
        <v>150</v>
      </c>
      <c r="B78" s="2">
        <v>0.99</v>
      </c>
      <c r="C78" s="2"/>
      <c r="D78" s="1"/>
    </row>
    <row r="79" spans="1:20" x14ac:dyDescent="0.35">
      <c r="A79" s="25" t="s">
        <v>102</v>
      </c>
      <c r="B79" s="2">
        <v>0.99</v>
      </c>
      <c r="C79" s="2"/>
      <c r="D79" s="1"/>
      <c r="M79" t="s">
        <v>174</v>
      </c>
    </row>
    <row r="80" spans="1:20" x14ac:dyDescent="0.35">
      <c r="A80" s="25" t="s">
        <v>101</v>
      </c>
      <c r="B80" s="2">
        <v>0.56999999999999995</v>
      </c>
      <c r="C80" s="2"/>
      <c r="D80" s="1"/>
    </row>
    <row r="81" spans="1:10" x14ac:dyDescent="0.35">
      <c r="A81" s="25" t="s">
        <v>103</v>
      </c>
      <c r="B81" s="2">
        <v>0.99</v>
      </c>
      <c r="C81" s="2"/>
      <c r="D81" s="1"/>
    </row>
    <row r="82" spans="1:10" x14ac:dyDescent="0.35">
      <c r="A82" s="1" t="s">
        <v>127</v>
      </c>
      <c r="B82" s="2">
        <v>0.21199999999999999</v>
      </c>
      <c r="C82" s="2"/>
      <c r="D82" s="1"/>
    </row>
    <row r="83" spans="1:10" x14ac:dyDescent="0.35">
      <c r="A83" s="1" t="s">
        <v>128</v>
      </c>
      <c r="B83" s="2">
        <v>2.5999999999999999E-2</v>
      </c>
      <c r="C83" s="2"/>
      <c r="D83" s="1"/>
    </row>
    <row r="84" spans="1:10" x14ac:dyDescent="0.35">
      <c r="A84" s="1" t="s">
        <v>129</v>
      </c>
      <c r="B84" s="2">
        <v>0.29399999999999998</v>
      </c>
      <c r="C84" s="2"/>
      <c r="D84" s="1"/>
    </row>
    <row r="85" spans="1:10" x14ac:dyDescent="0.35">
      <c r="A85" s="1" t="s">
        <v>130</v>
      </c>
      <c r="B85" s="2">
        <v>8.5000000000000006E-3</v>
      </c>
      <c r="C85" s="2"/>
      <c r="D85" s="1"/>
    </row>
    <row r="86" spans="1:10" x14ac:dyDescent="0.35">
      <c r="A86" s="1" t="s">
        <v>131</v>
      </c>
      <c r="B86" s="2">
        <v>0.30599999999999999</v>
      </c>
      <c r="C86" s="2"/>
      <c r="D86" s="1"/>
    </row>
    <row r="87" spans="1:10" x14ac:dyDescent="0.35">
      <c r="A87" s="1" t="s">
        <v>132</v>
      </c>
      <c r="B87" s="2">
        <v>0.70199999999999996</v>
      </c>
      <c r="C87" s="2"/>
      <c r="D87" s="1"/>
    </row>
    <row r="88" spans="1:10" x14ac:dyDescent="0.35">
      <c r="A88" s="1" t="s">
        <v>133</v>
      </c>
      <c r="B88" s="2">
        <v>0.76139999999999997</v>
      </c>
      <c r="C88" s="2"/>
      <c r="D88" s="1"/>
    </row>
    <row r="89" spans="1:10" x14ac:dyDescent="0.35">
      <c r="A89" s="1" t="s">
        <v>134</v>
      </c>
      <c r="B89" s="2">
        <v>0.91600000000000004</v>
      </c>
      <c r="C89" s="3"/>
    </row>
    <row r="90" spans="1:10" x14ac:dyDescent="0.35">
      <c r="A90" s="12" t="s">
        <v>144</v>
      </c>
      <c r="B90" s="2">
        <v>0.99</v>
      </c>
      <c r="C90">
        <v>1148.4000000000001</v>
      </c>
      <c r="D90">
        <f>(C90-$P$76)/$N$76</f>
        <v>15.216607059555281</v>
      </c>
      <c r="E90">
        <v>1.5E-3</v>
      </c>
      <c r="F90">
        <f>D90*E90*1000</f>
        <v>22.824910589332923</v>
      </c>
    </row>
    <row r="91" spans="1:10" x14ac:dyDescent="0.35">
      <c r="A91" s="12" t="s">
        <v>145</v>
      </c>
      <c r="B91" s="2">
        <v>0.99</v>
      </c>
      <c r="C91">
        <v>892.3</v>
      </c>
      <c r="D91">
        <f>(C91-$P$76)/$N$76</f>
        <v>11.596358547377051</v>
      </c>
      <c r="E91">
        <v>1.5E-3</v>
      </c>
      <c r="F91">
        <f>D91*E91*1000</f>
        <v>17.394537821065576</v>
      </c>
    </row>
    <row r="92" spans="1:10" x14ac:dyDescent="0.35">
      <c r="A92" s="12" t="s">
        <v>146</v>
      </c>
      <c r="B92" s="11">
        <v>0.66200000000000003</v>
      </c>
      <c r="C92">
        <v>661.1</v>
      </c>
      <c r="D92">
        <f>(C92-$P$76)/$N$76</f>
        <v>8.3280982739853844</v>
      </c>
      <c r="E92">
        <v>1.5E-3</v>
      </c>
      <c r="F92">
        <f>D92*E92*1000</f>
        <v>12.492147410978076</v>
      </c>
      <c r="G92">
        <v>340.7</v>
      </c>
      <c r="H92">
        <f>(G92-$P$77)/$N$77</f>
        <v>2.0975189312319151</v>
      </c>
      <c r="I92">
        <f>H92*E91*1000</f>
        <v>3.1462783968478729</v>
      </c>
      <c r="J92" s="10">
        <f>F92/(F92+I92)</f>
        <v>0.79881105454531243</v>
      </c>
    </row>
    <row r="93" spans="1:10" x14ac:dyDescent="0.35">
      <c r="A93" s="12" t="s">
        <v>147</v>
      </c>
      <c r="B93" s="2">
        <v>0.99</v>
      </c>
      <c r="C93">
        <v>1079.7</v>
      </c>
      <c r="D93">
        <f>(C93-$P$76)/$N$76</f>
        <v>14.2454587862767</v>
      </c>
      <c r="E93">
        <v>1.5E-3</v>
      </c>
      <c r="F93">
        <f>D93*E93*1000</f>
        <v>21.368188179415053</v>
      </c>
      <c r="J93" s="3"/>
    </row>
    <row r="94" spans="1:10" x14ac:dyDescent="0.35">
      <c r="A94" s="12" t="s">
        <v>148</v>
      </c>
      <c r="B94" s="11">
        <v>3.6000000000000004E-2</v>
      </c>
      <c r="C94">
        <v>174.4</v>
      </c>
      <c r="D94">
        <f>(C94-$P$76)/$N$76</f>
        <v>1.4480711327235973</v>
      </c>
      <c r="E94">
        <v>1.5E-3</v>
      </c>
      <c r="F94">
        <f>D94*E94*1000</f>
        <v>2.1721066990853961</v>
      </c>
      <c r="G94">
        <v>1648.2</v>
      </c>
      <c r="H94">
        <f>(G94-$P$77)/$N$77</f>
        <v>10.147140306593609</v>
      </c>
      <c r="I94">
        <f>H94*E94*1000</f>
        <v>15.220710459890414</v>
      </c>
      <c r="J94" s="10">
        <f>F94/(I94+F94)</f>
        <v>0.12488527184708831</v>
      </c>
    </row>
    <row r="95" spans="1:10" x14ac:dyDescent="0.35">
      <c r="A95" s="12"/>
      <c r="B95" s="2"/>
    </row>
    <row r="105" spans="1:9" x14ac:dyDescent="0.35">
      <c r="A105" s="27" t="s">
        <v>175</v>
      </c>
    </row>
    <row r="107" spans="1:9" x14ac:dyDescent="0.35">
      <c r="B107" t="s">
        <v>135</v>
      </c>
      <c r="C107" t="s">
        <v>136</v>
      </c>
      <c r="D107" t="s">
        <v>180</v>
      </c>
      <c r="E107" t="s">
        <v>139</v>
      </c>
      <c r="F107" t="s">
        <v>140</v>
      </c>
      <c r="G107" t="s">
        <v>110</v>
      </c>
      <c r="H107" t="s">
        <v>111</v>
      </c>
      <c r="I107" t="s">
        <v>156</v>
      </c>
    </row>
    <row r="108" spans="1:9" x14ac:dyDescent="0.35">
      <c r="A108" s="27">
        <v>25</v>
      </c>
      <c r="F108" s="3"/>
    </row>
    <row r="109" spans="1:9" x14ac:dyDescent="0.35">
      <c r="A109" s="26" t="s">
        <v>151</v>
      </c>
      <c r="D109" s="3">
        <v>0.99</v>
      </c>
      <c r="G109" s="3">
        <v>0.99</v>
      </c>
    </row>
    <row r="110" spans="1:9" x14ac:dyDescent="0.35">
      <c r="A110" s="26" t="s">
        <v>149</v>
      </c>
      <c r="D110" s="3">
        <v>0.99</v>
      </c>
      <c r="G110" s="3">
        <v>0.99</v>
      </c>
    </row>
    <row r="111" spans="1:9" x14ac:dyDescent="0.35">
      <c r="A111" s="26" t="s">
        <v>119</v>
      </c>
      <c r="D111" s="3">
        <v>0.99</v>
      </c>
      <c r="G111" s="3">
        <v>0.99</v>
      </c>
    </row>
    <row r="112" spans="1:9" x14ac:dyDescent="0.35">
      <c r="A112" s="26" t="s">
        <v>35</v>
      </c>
      <c r="D112" s="3">
        <v>0.99</v>
      </c>
      <c r="G112" s="3">
        <v>0.99</v>
      </c>
    </row>
    <row r="113" spans="1:13" ht="18.5" x14ac:dyDescent="0.45">
      <c r="A113" s="26" t="s">
        <v>105</v>
      </c>
      <c r="D113" s="3">
        <v>0.99</v>
      </c>
      <c r="G113" s="3">
        <v>0.99</v>
      </c>
      <c r="K113" s="17" t="s">
        <v>107</v>
      </c>
      <c r="L113" s="17">
        <v>105.05</v>
      </c>
      <c r="M113" s="17" t="s">
        <v>36</v>
      </c>
    </row>
    <row r="114" spans="1:13" ht="18.5" x14ac:dyDescent="0.45">
      <c r="A114" s="26" t="s">
        <v>106</v>
      </c>
      <c r="D114" s="3">
        <v>0.99</v>
      </c>
      <c r="G114" s="3">
        <v>0.99</v>
      </c>
      <c r="K114" s="17" t="s">
        <v>108</v>
      </c>
      <c r="L114" s="17">
        <v>96.07</v>
      </c>
      <c r="M114" s="17" t="s">
        <v>36</v>
      </c>
    </row>
    <row r="115" spans="1:13" x14ac:dyDescent="0.35">
      <c r="B115" t="s">
        <v>135</v>
      </c>
      <c r="C115" t="s">
        <v>136</v>
      </c>
      <c r="D115" t="s">
        <v>180</v>
      </c>
      <c r="E115" t="s">
        <v>139</v>
      </c>
      <c r="F115" t="s">
        <v>140</v>
      </c>
      <c r="G115" t="s">
        <v>110</v>
      </c>
      <c r="H115" t="s">
        <v>111</v>
      </c>
      <c r="I115" t="s">
        <v>156</v>
      </c>
    </row>
    <row r="116" spans="1:13" x14ac:dyDescent="0.35">
      <c r="A116" t="s">
        <v>87</v>
      </c>
      <c r="K116" t="s">
        <v>158</v>
      </c>
      <c r="L116">
        <f>L113/L114</f>
        <v>1.0934735088997607</v>
      </c>
    </row>
    <row r="117" spans="1:13" x14ac:dyDescent="0.35">
      <c r="A117" s="27">
        <v>50</v>
      </c>
      <c r="K117" t="s">
        <v>157</v>
      </c>
      <c r="L117">
        <v>2</v>
      </c>
    </row>
    <row r="118" spans="1:13" x14ac:dyDescent="0.35">
      <c r="A118" s="26" t="s">
        <v>151</v>
      </c>
      <c r="B118">
        <v>2543</v>
      </c>
      <c r="D118" s="3">
        <f t="shared" ref="D118:D123" si="0">($A$117-F118)/$A$117</f>
        <v>1</v>
      </c>
      <c r="E118">
        <f t="shared" ref="E118:E123" si="1">(B118/$L$113)*$L$117</f>
        <v>48.415040456925276</v>
      </c>
      <c r="F118">
        <f t="shared" ref="F118:F123" si="2">(C118/$L$114)*$L$117</f>
        <v>0</v>
      </c>
      <c r="G118" s="3">
        <f t="shared" ref="G118:G123" si="3">E118/$A$117</f>
        <v>0.96830080913850547</v>
      </c>
      <c r="H118">
        <f>SUM(E118:F118)</f>
        <v>48.415040456925276</v>
      </c>
      <c r="I118">
        <f>50-H118</f>
        <v>1.5849595430747243</v>
      </c>
    </row>
    <row r="119" spans="1:13" x14ac:dyDescent="0.35">
      <c r="A119" s="26" t="s">
        <v>149</v>
      </c>
      <c r="B119">
        <v>1999</v>
      </c>
      <c r="D119" s="3">
        <f t="shared" si="0"/>
        <v>1</v>
      </c>
      <c r="E119">
        <f t="shared" si="1"/>
        <v>38.058067586863402</v>
      </c>
      <c r="F119">
        <f t="shared" si="2"/>
        <v>0</v>
      </c>
      <c r="G119" s="3">
        <f t="shared" si="3"/>
        <v>0.76116135173726807</v>
      </c>
      <c r="H119">
        <f t="shared" ref="H119:H150" si="4">SUM(E119:F119)</f>
        <v>38.058067586863402</v>
      </c>
      <c r="I119">
        <f t="shared" ref="I119:I123" si="5">50-H119</f>
        <v>11.941932413136598</v>
      </c>
    </row>
    <row r="120" spans="1:13" x14ac:dyDescent="0.35">
      <c r="A120" s="26" t="s">
        <v>119</v>
      </c>
      <c r="B120">
        <v>1972.4</v>
      </c>
      <c r="D120" s="3">
        <f t="shared" si="0"/>
        <v>1</v>
      </c>
      <c r="E120">
        <f t="shared" si="1"/>
        <v>37.551642075202288</v>
      </c>
      <c r="F120">
        <f t="shared" si="2"/>
        <v>0</v>
      </c>
      <c r="G120" s="3">
        <f t="shared" si="3"/>
        <v>0.75103284150404581</v>
      </c>
      <c r="H120">
        <f t="shared" si="4"/>
        <v>37.551642075202288</v>
      </c>
      <c r="I120">
        <f t="shared" si="5"/>
        <v>12.448357924797712</v>
      </c>
    </row>
    <row r="121" spans="1:13" x14ac:dyDescent="0.35">
      <c r="A121" s="26" t="s">
        <v>35</v>
      </c>
      <c r="B121">
        <v>2032.3</v>
      </c>
      <c r="D121" s="3">
        <f t="shared" si="0"/>
        <v>1</v>
      </c>
      <c r="E121">
        <f t="shared" si="1"/>
        <v>38.692051404093291</v>
      </c>
      <c r="F121">
        <f t="shared" si="2"/>
        <v>0</v>
      </c>
      <c r="G121" s="3">
        <f t="shared" si="3"/>
        <v>0.77384102808186583</v>
      </c>
      <c r="H121">
        <f t="shared" si="4"/>
        <v>38.692051404093291</v>
      </c>
      <c r="I121">
        <f t="shared" si="5"/>
        <v>11.307948595906709</v>
      </c>
    </row>
    <row r="122" spans="1:13" x14ac:dyDescent="0.35">
      <c r="A122" s="26" t="s">
        <v>105</v>
      </c>
      <c r="B122">
        <v>1923.2</v>
      </c>
      <c r="C122">
        <v>9.3000000000000007</v>
      </c>
      <c r="D122" s="3">
        <f t="shared" si="0"/>
        <v>0.99612782346205886</v>
      </c>
      <c r="E122">
        <f t="shared" si="1"/>
        <v>36.614945264159928</v>
      </c>
      <c r="F122">
        <f t="shared" si="2"/>
        <v>0.19360882689705425</v>
      </c>
      <c r="G122" s="3">
        <f t="shared" si="3"/>
        <v>0.73229890528319852</v>
      </c>
      <c r="H122">
        <f t="shared" si="4"/>
        <v>36.808554091056983</v>
      </c>
      <c r="I122">
        <f t="shared" si="5"/>
        <v>13.191445908943017</v>
      </c>
    </row>
    <row r="123" spans="1:13" x14ac:dyDescent="0.35">
      <c r="A123" s="26" t="s">
        <v>106</v>
      </c>
      <c r="B123">
        <v>199.7</v>
      </c>
      <c r="C123">
        <v>2227.6999999999998</v>
      </c>
      <c r="D123" s="3">
        <f t="shared" si="0"/>
        <v>7.2467992089101763E-2</v>
      </c>
      <c r="E123">
        <f t="shared" si="1"/>
        <v>3.8019990480723465</v>
      </c>
      <c r="F123">
        <f t="shared" si="2"/>
        <v>46.376600395544912</v>
      </c>
      <c r="G123" s="3">
        <f t="shared" si="3"/>
        <v>7.6039980961446929E-2</v>
      </c>
      <c r="H123">
        <f>SUM(E123:F123)</f>
        <v>50.178599443617259</v>
      </c>
      <c r="I123">
        <f t="shared" si="5"/>
        <v>-0.17859944361725866</v>
      </c>
    </row>
    <row r="124" spans="1:13" x14ac:dyDescent="0.35">
      <c r="A124" s="26"/>
      <c r="D124" s="3"/>
      <c r="G124" s="3"/>
    </row>
    <row r="125" spans="1:13" x14ac:dyDescent="0.35">
      <c r="A125" s="26" t="s">
        <v>87</v>
      </c>
      <c r="D125" s="3"/>
      <c r="G125" s="3"/>
    </row>
    <row r="126" spans="1:13" x14ac:dyDescent="0.35">
      <c r="A126" s="28">
        <v>100</v>
      </c>
      <c r="D126" s="3"/>
      <c r="G126" s="3"/>
    </row>
    <row r="127" spans="1:13" x14ac:dyDescent="0.35">
      <c r="A127" s="26" t="s">
        <v>141</v>
      </c>
      <c r="B127">
        <v>4017.7</v>
      </c>
      <c r="D127" s="3">
        <f t="shared" ref="D127:D132" si="6">($A$126-F127)/$A$126</f>
        <v>1</v>
      </c>
      <c r="E127">
        <f t="shared" ref="E127:E132" si="7">(B127/$L$113)*$L$117</f>
        <v>76.491194669205143</v>
      </c>
      <c r="F127">
        <f t="shared" ref="F127:F132" si="8">(C127/$L$114)*$L$117</f>
        <v>0</v>
      </c>
      <c r="G127" s="3">
        <f t="shared" ref="G127:G132" si="9">E127/$A$126</f>
        <v>0.76491194669205143</v>
      </c>
      <c r="H127">
        <f t="shared" si="4"/>
        <v>76.491194669205143</v>
      </c>
      <c r="I127">
        <f>100-H127</f>
        <v>23.508805330794857</v>
      </c>
    </row>
    <row r="128" spans="1:13" x14ac:dyDescent="0.35">
      <c r="A128" s="26" t="s">
        <v>142</v>
      </c>
      <c r="B128">
        <v>4140</v>
      </c>
      <c r="D128" s="3">
        <f t="shared" si="6"/>
        <v>1</v>
      </c>
      <c r="E128">
        <f t="shared" si="7"/>
        <v>78.819609709662075</v>
      </c>
      <c r="F128">
        <f t="shared" si="8"/>
        <v>0</v>
      </c>
      <c r="G128" s="3">
        <f t="shared" si="9"/>
        <v>0.78819609709662075</v>
      </c>
      <c r="H128">
        <f t="shared" si="4"/>
        <v>78.819609709662075</v>
      </c>
      <c r="I128">
        <f t="shared" ref="I128:I132" si="10">100-H128</f>
        <v>21.180390290337925</v>
      </c>
    </row>
    <row r="129" spans="1:9" x14ac:dyDescent="0.35">
      <c r="A129" s="26" t="s">
        <v>119</v>
      </c>
      <c r="B129">
        <v>2818.7</v>
      </c>
      <c r="C129">
        <v>371.8</v>
      </c>
      <c r="D129" s="3">
        <f t="shared" si="6"/>
        <v>0.92259810554803789</v>
      </c>
      <c r="E129">
        <f t="shared" si="7"/>
        <v>53.663969538315087</v>
      </c>
      <c r="F129">
        <f t="shared" si="8"/>
        <v>7.7401894451962123</v>
      </c>
      <c r="G129" s="3">
        <f t="shared" si="9"/>
        <v>0.53663969538315082</v>
      </c>
      <c r="H129">
        <f t="shared" si="4"/>
        <v>61.404158983511302</v>
      </c>
      <c r="I129">
        <f t="shared" si="10"/>
        <v>38.595841016488698</v>
      </c>
    </row>
    <row r="130" spans="1:9" x14ac:dyDescent="0.35">
      <c r="A130" s="26" t="s">
        <v>35</v>
      </c>
      <c r="B130">
        <v>1370</v>
      </c>
      <c r="C130">
        <v>1753.1</v>
      </c>
      <c r="D130" s="3">
        <f t="shared" si="6"/>
        <v>0.63503695222233791</v>
      </c>
      <c r="E130">
        <f t="shared" si="7"/>
        <v>26.082817705854357</v>
      </c>
      <c r="F130">
        <f t="shared" si="8"/>
        <v>36.496304777766213</v>
      </c>
      <c r="G130" s="3">
        <f t="shared" si="9"/>
        <v>0.26082817705854355</v>
      </c>
      <c r="H130">
        <f t="shared" si="4"/>
        <v>62.579122483620566</v>
      </c>
      <c r="I130">
        <f t="shared" si="10"/>
        <v>37.420877516379434</v>
      </c>
    </row>
    <row r="131" spans="1:9" x14ac:dyDescent="0.35">
      <c r="A131" s="26" t="s">
        <v>105</v>
      </c>
      <c r="B131">
        <v>247.3</v>
      </c>
      <c r="C131">
        <v>5129.5</v>
      </c>
      <c r="D131" s="3">
        <f t="shared" si="6"/>
        <v>-6.7867180181117981E-2</v>
      </c>
      <c r="E131">
        <f t="shared" si="7"/>
        <v>4.7082341742027607</v>
      </c>
      <c r="F131">
        <f t="shared" si="8"/>
        <v>106.7867180181118</v>
      </c>
      <c r="G131" s="3">
        <f t="shared" si="9"/>
        <v>4.7082341742027606E-2</v>
      </c>
      <c r="H131">
        <f t="shared" si="4"/>
        <v>111.49495219231456</v>
      </c>
      <c r="I131">
        <f t="shared" si="10"/>
        <v>-11.494952192314557</v>
      </c>
    </row>
    <row r="132" spans="1:9" x14ac:dyDescent="0.35">
      <c r="A132" s="26" t="s">
        <v>106</v>
      </c>
      <c r="B132">
        <v>52</v>
      </c>
      <c r="C132">
        <v>5088.3999999999996</v>
      </c>
      <c r="D132" s="3">
        <f t="shared" si="6"/>
        <v>-5.9310919121473946E-2</v>
      </c>
      <c r="E132">
        <f t="shared" si="7"/>
        <v>0.99000475963826751</v>
      </c>
      <c r="F132">
        <f t="shared" si="8"/>
        <v>105.93109191214739</v>
      </c>
      <c r="G132" s="3">
        <f t="shared" si="9"/>
        <v>9.9000475963826745E-3</v>
      </c>
      <c r="H132">
        <f t="shared" si="4"/>
        <v>106.92109667178566</v>
      </c>
      <c r="I132">
        <f t="shared" si="10"/>
        <v>-6.9210966717856621</v>
      </c>
    </row>
    <row r="133" spans="1:9" x14ac:dyDescent="0.35">
      <c r="A133" s="26"/>
      <c r="D133" s="3"/>
      <c r="G133" s="3"/>
    </row>
    <row r="134" spans="1:9" x14ac:dyDescent="0.35">
      <c r="A134" s="26" t="s">
        <v>138</v>
      </c>
      <c r="D134" s="3"/>
      <c r="G134" s="3"/>
    </row>
    <row r="135" spans="1:9" x14ac:dyDescent="0.35">
      <c r="A135" s="28">
        <v>150</v>
      </c>
      <c r="D135" s="3"/>
      <c r="G135" s="3"/>
    </row>
    <row r="136" spans="1:9" x14ac:dyDescent="0.35">
      <c r="A136" s="26" t="s">
        <v>141</v>
      </c>
      <c r="B136">
        <v>5883</v>
      </c>
      <c r="D136" s="3">
        <f t="shared" ref="D136:D141" si="11">($A$135-F136)/$A$135</f>
        <v>1</v>
      </c>
      <c r="E136">
        <f t="shared" ref="E136:E141" si="12">(B136/$L$113)*$L$117</f>
        <v>112.003807710614</v>
      </c>
      <c r="F136">
        <f t="shared" ref="F136:F141" si="13">(C136/$L$114)*$L$117</f>
        <v>0</v>
      </c>
      <c r="G136" s="3">
        <f t="shared" ref="G136:G141" si="14">E136/$A$135</f>
        <v>0.74669205140409334</v>
      </c>
      <c r="H136">
        <f t="shared" si="4"/>
        <v>112.003807710614</v>
      </c>
      <c r="I136">
        <f>150-H136</f>
        <v>37.996192289386002</v>
      </c>
    </row>
    <row r="137" spans="1:9" x14ac:dyDescent="0.35">
      <c r="A137" s="26" t="s">
        <v>149</v>
      </c>
      <c r="B137">
        <v>5502</v>
      </c>
      <c r="D137" s="3">
        <f t="shared" si="11"/>
        <v>1</v>
      </c>
      <c r="E137">
        <f t="shared" si="12"/>
        <v>104.75011899095669</v>
      </c>
      <c r="F137">
        <f t="shared" si="13"/>
        <v>0</v>
      </c>
      <c r="G137" s="3">
        <f t="shared" si="14"/>
        <v>0.69833412660637795</v>
      </c>
      <c r="H137">
        <f t="shared" si="4"/>
        <v>104.75011899095669</v>
      </c>
      <c r="I137">
        <f t="shared" ref="I137:I141" si="15">150-H137</f>
        <v>45.249881009043307</v>
      </c>
    </row>
    <row r="138" spans="1:9" x14ac:dyDescent="0.35">
      <c r="A138" s="26" t="s">
        <v>119</v>
      </c>
      <c r="B138">
        <v>1718.7</v>
      </c>
      <c r="C138">
        <v>2120</v>
      </c>
      <c r="D138" s="3">
        <f t="shared" si="11"/>
        <v>0.70577009819229031</v>
      </c>
      <c r="E138">
        <f t="shared" si="12"/>
        <v>32.721561161351737</v>
      </c>
      <c r="F138">
        <f t="shared" si="13"/>
        <v>44.13448527115645</v>
      </c>
      <c r="G138" s="3">
        <f t="shared" si="14"/>
        <v>0.21814374107567824</v>
      </c>
      <c r="H138">
        <f t="shared" si="4"/>
        <v>76.85604643250818</v>
      </c>
      <c r="I138">
        <f t="shared" si="15"/>
        <v>73.14395356749182</v>
      </c>
    </row>
    <row r="139" spans="1:9" x14ac:dyDescent="0.35">
      <c r="A139" s="26" t="s">
        <v>35</v>
      </c>
      <c r="B139">
        <v>399.8</v>
      </c>
      <c r="C139">
        <v>6764.3</v>
      </c>
      <c r="D139" s="3">
        <f t="shared" si="11"/>
        <v>6.1198431699108179E-2</v>
      </c>
      <c r="E139">
        <f t="shared" si="12"/>
        <v>7.61161351737268</v>
      </c>
      <c r="F139">
        <f t="shared" si="13"/>
        <v>140.82023524513377</v>
      </c>
      <c r="G139" s="3">
        <f t="shared" si="14"/>
        <v>5.0744090115817868E-2</v>
      </c>
      <c r="H139">
        <f t="shared" si="4"/>
        <v>148.43184876250646</v>
      </c>
      <c r="I139">
        <f t="shared" si="15"/>
        <v>1.568151237493538</v>
      </c>
    </row>
    <row r="140" spans="1:9" x14ac:dyDescent="0.35">
      <c r="A140" s="26" t="s">
        <v>105</v>
      </c>
      <c r="B140">
        <v>111</v>
      </c>
      <c r="C140">
        <v>7470.5</v>
      </c>
      <c r="D140" s="3">
        <f t="shared" si="11"/>
        <v>-3.6813434648346778E-2</v>
      </c>
      <c r="E140">
        <f t="shared" si="12"/>
        <v>2.1132793907663019</v>
      </c>
      <c r="F140">
        <f t="shared" si="13"/>
        <v>155.52201519725202</v>
      </c>
      <c r="G140" s="3">
        <f t="shared" si="14"/>
        <v>1.4088529271775346E-2</v>
      </c>
      <c r="H140">
        <f t="shared" si="4"/>
        <v>157.63529458801833</v>
      </c>
      <c r="I140">
        <f t="shared" si="15"/>
        <v>-7.6352945880183256</v>
      </c>
    </row>
    <row r="141" spans="1:9" x14ac:dyDescent="0.35">
      <c r="A141" s="26" t="s">
        <v>106</v>
      </c>
      <c r="B141">
        <v>35</v>
      </c>
      <c r="C141">
        <v>7591</v>
      </c>
      <c r="D141" s="3">
        <f t="shared" si="11"/>
        <v>-5.3537351236945294E-2</v>
      </c>
      <c r="E141">
        <f t="shared" si="12"/>
        <v>0.66634935744883395</v>
      </c>
      <c r="F141">
        <f t="shared" si="13"/>
        <v>158.03060268554179</v>
      </c>
      <c r="G141" s="3">
        <f t="shared" si="14"/>
        <v>4.4423290496588934E-3</v>
      </c>
      <c r="H141">
        <f t="shared" si="4"/>
        <v>158.69695204299063</v>
      </c>
      <c r="I141">
        <f t="shared" si="15"/>
        <v>-8.6969520429906311</v>
      </c>
    </row>
    <row r="142" spans="1:9" x14ac:dyDescent="0.35">
      <c r="A142" s="26"/>
      <c r="D142" s="3"/>
      <c r="G142" s="3"/>
    </row>
    <row r="143" spans="1:9" x14ac:dyDescent="0.35">
      <c r="A143" s="26" t="s">
        <v>87</v>
      </c>
      <c r="D143" s="3"/>
      <c r="G143" s="3"/>
    </row>
    <row r="144" spans="1:9" x14ac:dyDescent="0.35">
      <c r="A144" s="28">
        <v>200</v>
      </c>
      <c r="D144" s="3"/>
      <c r="G144" s="3"/>
    </row>
    <row r="145" spans="1:9" x14ac:dyDescent="0.35">
      <c r="A145" s="26" t="s">
        <v>141</v>
      </c>
      <c r="B145">
        <v>6107.1</v>
      </c>
      <c r="D145" s="3">
        <f t="shared" ref="D145:D150" si="16">($A$144-F145)/$A$144</f>
        <v>1</v>
      </c>
      <c r="E145">
        <f t="shared" ref="E145:E150" si="17">(B145/$L$113)*$L$117</f>
        <v>116.27034745359353</v>
      </c>
      <c r="F145">
        <f t="shared" ref="F145:F150" si="18">(C145/$L$114)*$L$117</f>
        <v>0</v>
      </c>
      <c r="G145" s="3">
        <f t="shared" ref="G145:G150" si="19">E145/$A$144</f>
        <v>0.58135173726796763</v>
      </c>
      <c r="H145">
        <f t="shared" si="4"/>
        <v>116.27034745359353</v>
      </c>
      <c r="I145">
        <f>200-H145</f>
        <v>83.72965254640647</v>
      </c>
    </row>
    <row r="146" spans="1:9" x14ac:dyDescent="0.35">
      <c r="A146" s="25" t="s">
        <v>142</v>
      </c>
      <c r="B146">
        <v>3811.4</v>
      </c>
      <c r="C146">
        <v>629.79999999999995</v>
      </c>
      <c r="D146" s="3">
        <f t="shared" si="16"/>
        <v>0.93444363484958881</v>
      </c>
      <c r="E146">
        <f t="shared" si="17"/>
        <v>72.563541170871019</v>
      </c>
      <c r="F146">
        <f t="shared" si="18"/>
        <v>13.111273030082232</v>
      </c>
      <c r="G146" s="3">
        <f t="shared" si="19"/>
        <v>0.36281770585435508</v>
      </c>
      <c r="H146">
        <f t="shared" si="4"/>
        <v>85.67481420095325</v>
      </c>
      <c r="I146">
        <f t="shared" ref="I146:I150" si="20">200-H146</f>
        <v>114.32518579904675</v>
      </c>
    </row>
    <row r="147" spans="1:9" x14ac:dyDescent="0.35">
      <c r="A147" s="25" t="s">
        <v>119</v>
      </c>
      <c r="B147">
        <v>1089.3</v>
      </c>
      <c r="C147">
        <v>4652</v>
      </c>
      <c r="D147" s="3">
        <f t="shared" si="16"/>
        <v>0.51576975122306645</v>
      </c>
      <c r="E147">
        <f t="shared" si="17"/>
        <v>20.738695859114706</v>
      </c>
      <c r="F147">
        <f t="shared" si="18"/>
        <v>96.846049755386701</v>
      </c>
      <c r="G147" s="3">
        <f t="shared" si="19"/>
        <v>0.10369347929557353</v>
      </c>
      <c r="H147">
        <f t="shared" si="4"/>
        <v>117.5847456145014</v>
      </c>
      <c r="I147">
        <f t="shared" si="20"/>
        <v>82.415254385498599</v>
      </c>
    </row>
    <row r="148" spans="1:9" x14ac:dyDescent="0.35">
      <c r="A148" t="s">
        <v>35</v>
      </c>
      <c r="B148">
        <v>168</v>
      </c>
      <c r="C148">
        <v>10017.4</v>
      </c>
      <c r="D148" s="3">
        <f t="shared" si="16"/>
        <v>-4.2718850837930658E-2</v>
      </c>
      <c r="E148">
        <f t="shared" si="17"/>
        <v>3.1984769157544028</v>
      </c>
      <c r="F148">
        <f t="shared" si="18"/>
        <v>208.54377016758613</v>
      </c>
      <c r="G148" s="3">
        <f t="shared" si="19"/>
        <v>1.5992384578772015E-2</v>
      </c>
      <c r="H148">
        <f t="shared" si="4"/>
        <v>211.74224708334054</v>
      </c>
      <c r="I148">
        <f t="shared" si="20"/>
        <v>-11.742247083340544</v>
      </c>
    </row>
    <row r="149" spans="1:9" x14ac:dyDescent="0.35">
      <c r="A149" t="s">
        <v>105</v>
      </c>
      <c r="B149">
        <v>29.4</v>
      </c>
      <c r="C149">
        <v>10483.299999999999</v>
      </c>
      <c r="D149" s="3">
        <f t="shared" si="16"/>
        <v>-9.1214739252628338E-2</v>
      </c>
      <c r="E149">
        <f t="shared" si="17"/>
        <v>0.55973346025702042</v>
      </c>
      <c r="F149">
        <f t="shared" si="18"/>
        <v>218.24294785052567</v>
      </c>
      <c r="G149" s="3">
        <f t="shared" si="19"/>
        <v>2.7986673012851022E-3</v>
      </c>
      <c r="H149">
        <f t="shared" si="4"/>
        <v>218.80268131078267</v>
      </c>
      <c r="I149">
        <f t="shared" si="20"/>
        <v>-18.802681310782674</v>
      </c>
    </row>
    <row r="150" spans="1:9" x14ac:dyDescent="0.35">
      <c r="A150" t="s">
        <v>106</v>
      </c>
      <c r="B150">
        <v>31</v>
      </c>
      <c r="C150">
        <v>10713.6</v>
      </c>
      <c r="D150" s="3">
        <f t="shared" si="16"/>
        <v>-0.11518684292703256</v>
      </c>
      <c r="E150">
        <f t="shared" si="17"/>
        <v>0.59019514516896721</v>
      </c>
      <c r="F150">
        <f t="shared" si="18"/>
        <v>223.03736858540651</v>
      </c>
      <c r="G150" s="3">
        <f t="shared" si="19"/>
        <v>2.9509757258448358E-3</v>
      </c>
      <c r="H150">
        <f t="shared" si="4"/>
        <v>223.62756373057547</v>
      </c>
      <c r="I150">
        <f t="shared" si="20"/>
        <v>-23.627563730575474</v>
      </c>
    </row>
    <row r="169" spans="1:9" ht="21" x14ac:dyDescent="0.5">
      <c r="A169" s="29" t="s">
        <v>176</v>
      </c>
    </row>
    <row r="171" spans="1:9" x14ac:dyDescent="0.35">
      <c r="B171" t="s">
        <v>135</v>
      </c>
      <c r="C171" t="s">
        <v>136</v>
      </c>
      <c r="D171" t="s">
        <v>88</v>
      </c>
      <c r="E171" t="s">
        <v>139</v>
      </c>
      <c r="F171" t="s">
        <v>140</v>
      </c>
      <c r="G171" t="s">
        <v>110</v>
      </c>
      <c r="H171" t="s">
        <v>111</v>
      </c>
      <c r="I171" t="s">
        <v>153</v>
      </c>
    </row>
    <row r="172" spans="1:9" x14ac:dyDescent="0.35">
      <c r="A172" s="27">
        <v>33</v>
      </c>
      <c r="F172" s="3"/>
    </row>
    <row r="173" spans="1:9" x14ac:dyDescent="0.35">
      <c r="A173" s="26" t="s">
        <v>151</v>
      </c>
      <c r="B173">
        <v>1711.6</v>
      </c>
      <c r="C173">
        <v>60.7</v>
      </c>
      <c r="D173" s="3">
        <f>($A$172-F173)/$A$172</f>
        <v>0.9678461360802374</v>
      </c>
      <c r="E173">
        <f>(B173/$L$177)*$L$181</f>
        <v>32.973722740232724</v>
      </c>
      <c r="F173">
        <f>(C173/$L$178)*$L$181</f>
        <v>1.0610775093521658</v>
      </c>
      <c r="G173" s="3">
        <f>E173/$A$172</f>
        <v>0.99920371940099162</v>
      </c>
      <c r="H173">
        <f>SUM(E173:F173)</f>
        <v>34.03480024958489</v>
      </c>
      <c r="I173">
        <f>$A$172-H173</f>
        <v>-1.0348002495848903</v>
      </c>
    </row>
    <row r="174" spans="1:9" x14ac:dyDescent="0.35">
      <c r="A174" s="26" t="s">
        <v>149</v>
      </c>
      <c r="B174">
        <v>1475.3</v>
      </c>
      <c r="C174">
        <v>37.6</v>
      </c>
      <c r="D174" s="3">
        <f t="shared" ref="D174:D176" si="21">($A$172-F174)/$A$172</f>
        <v>0.98008261477128378</v>
      </c>
      <c r="E174">
        <f t="shared" ref="E174:E186" si="22">(B174/$L$177)*$L$181</f>
        <v>28.421437928642987</v>
      </c>
      <c r="F174">
        <f t="shared" ref="F174:F186" si="23">(C174/$L$178)*$L$181</f>
        <v>0.65727371254763489</v>
      </c>
      <c r="G174" s="3">
        <f t="shared" ref="G174:G178" si="24">E174/$A$172</f>
        <v>0.8612556948073633</v>
      </c>
      <c r="H174">
        <f t="shared" ref="H174:H181" si="25">SUM(E174:F174)</f>
        <v>29.078711641190623</v>
      </c>
      <c r="I174">
        <f t="shared" ref="I174:I181" si="26">50-H174</f>
        <v>20.921288358809377</v>
      </c>
    </row>
    <row r="175" spans="1:9" x14ac:dyDescent="0.35">
      <c r="A175" s="26" t="s">
        <v>119</v>
      </c>
      <c r="B175">
        <v>1637</v>
      </c>
      <c r="C175">
        <v>37.5</v>
      </c>
      <c r="D175" s="3">
        <f t="shared" si="21"/>
        <v>0.98013558654050914</v>
      </c>
      <c r="E175">
        <f t="shared" si="22"/>
        <v>31.536564691377052</v>
      </c>
      <c r="F175">
        <f t="shared" si="23"/>
        <v>0.65552564416319969</v>
      </c>
      <c r="G175" s="3">
        <f t="shared" si="24"/>
        <v>0.95565347549627433</v>
      </c>
      <c r="H175">
        <f t="shared" si="25"/>
        <v>32.19209033554025</v>
      </c>
      <c r="I175">
        <f t="shared" si="26"/>
        <v>17.80790966445975</v>
      </c>
    </row>
    <row r="176" spans="1:9" x14ac:dyDescent="0.35">
      <c r="A176" s="26" t="s">
        <v>35</v>
      </c>
      <c r="B176">
        <v>1678.9</v>
      </c>
      <c r="C176">
        <v>43.9</v>
      </c>
      <c r="D176" s="3">
        <f t="shared" si="21"/>
        <v>0.97674539331008936</v>
      </c>
      <c r="E176">
        <f t="shared" si="22"/>
        <v>32.34376204053325</v>
      </c>
      <c r="F176">
        <f t="shared" si="23"/>
        <v>0.76740202076705244</v>
      </c>
      <c r="G176" s="3">
        <f t="shared" si="24"/>
        <v>0.9801140012282803</v>
      </c>
      <c r="H176">
        <f>SUM(E176:F176)</f>
        <v>33.1111640613003</v>
      </c>
      <c r="I176">
        <f t="shared" si="26"/>
        <v>16.8888359386997</v>
      </c>
    </row>
    <row r="177" spans="1:13" ht="18.5" x14ac:dyDescent="0.45">
      <c r="A177" s="26" t="s">
        <v>105</v>
      </c>
      <c r="B177">
        <v>1627</v>
      </c>
      <c r="C177">
        <v>39.6</v>
      </c>
      <c r="D177" s="3">
        <f>($A$172-F177)/$A$172</f>
        <v>0.97902317938677763</v>
      </c>
      <c r="E177">
        <f t="shared" si="22"/>
        <v>31.343916159358869</v>
      </c>
      <c r="F177">
        <f t="shared" si="23"/>
        <v>0.69223508023633895</v>
      </c>
      <c r="G177" s="3">
        <f>E177/$A$172</f>
        <v>0.94981564119269302</v>
      </c>
      <c r="H177">
        <f t="shared" si="25"/>
        <v>32.036151239595206</v>
      </c>
      <c r="I177">
        <f t="shared" si="26"/>
        <v>17.963848760404794</v>
      </c>
      <c r="K177" s="17" t="s">
        <v>107</v>
      </c>
      <c r="L177" s="17">
        <v>77.861999999999995</v>
      </c>
      <c r="M177" t="s">
        <v>36</v>
      </c>
    </row>
    <row r="178" spans="1:13" ht="18.5" x14ac:dyDescent="0.45">
      <c r="A178" s="26" t="s">
        <v>106</v>
      </c>
      <c r="B178">
        <v>676.7</v>
      </c>
      <c r="C178">
        <v>1203</v>
      </c>
      <c r="D178" s="3">
        <f>($A$172-F178)/$A$172</f>
        <v>0.36274961621953195</v>
      </c>
      <c r="E178">
        <f t="shared" si="22"/>
        <v>13.03652616167065</v>
      </c>
      <c r="F178">
        <f t="shared" si="23"/>
        <v>21.029262664755446</v>
      </c>
      <c r="G178" s="3">
        <f t="shared" si="24"/>
        <v>0.39504624732335303</v>
      </c>
      <c r="H178">
        <f t="shared" si="25"/>
        <v>34.0657888264261</v>
      </c>
      <c r="I178">
        <f t="shared" si="26"/>
        <v>15.9342111735739</v>
      </c>
      <c r="K178" s="17" t="s">
        <v>108</v>
      </c>
      <c r="L178" s="17">
        <v>85.808999999999997</v>
      </c>
      <c r="M178" t="s">
        <v>36</v>
      </c>
    </row>
    <row r="179" spans="1:13" x14ac:dyDescent="0.35">
      <c r="D179" s="3">
        <f t="shared" ref="D179:D180" si="27">($A$172-F179)/$A$172</f>
        <v>1</v>
      </c>
      <c r="E179">
        <f t="shared" si="22"/>
        <v>0</v>
      </c>
      <c r="F179">
        <f t="shared" si="23"/>
        <v>0</v>
      </c>
      <c r="G179" s="3"/>
      <c r="H179">
        <f t="shared" si="25"/>
        <v>0</v>
      </c>
      <c r="I179">
        <f t="shared" si="26"/>
        <v>50</v>
      </c>
    </row>
    <row r="180" spans="1:13" x14ac:dyDescent="0.35">
      <c r="A180" t="s">
        <v>87</v>
      </c>
      <c r="D180" s="3">
        <f t="shared" si="27"/>
        <v>1</v>
      </c>
      <c r="E180">
        <f t="shared" si="22"/>
        <v>0</v>
      </c>
      <c r="F180">
        <f t="shared" si="23"/>
        <v>0</v>
      </c>
      <c r="G180" s="3"/>
      <c r="H180">
        <f t="shared" si="25"/>
        <v>0</v>
      </c>
      <c r="I180">
        <f t="shared" si="26"/>
        <v>50</v>
      </c>
      <c r="K180" t="s">
        <v>137</v>
      </c>
      <c r="L180">
        <f>L177/L178</f>
        <v>0.90738733699262308</v>
      </c>
    </row>
    <row r="181" spans="1:13" x14ac:dyDescent="0.35">
      <c r="A181" s="27">
        <v>50</v>
      </c>
      <c r="D181" s="3">
        <f>($A$181-F181)/$A$181</f>
        <v>1</v>
      </c>
      <c r="E181">
        <f t="shared" si="22"/>
        <v>0</v>
      </c>
      <c r="F181">
        <f t="shared" si="23"/>
        <v>0</v>
      </c>
      <c r="G181" s="3"/>
      <c r="H181">
        <f t="shared" si="25"/>
        <v>0</v>
      </c>
      <c r="I181">
        <f t="shared" si="26"/>
        <v>50</v>
      </c>
      <c r="K181" t="s">
        <v>143</v>
      </c>
      <c r="L181">
        <v>1.5</v>
      </c>
    </row>
    <row r="182" spans="1:13" x14ac:dyDescent="0.35">
      <c r="A182" s="26" t="s">
        <v>141</v>
      </c>
      <c r="B182">
        <v>2508.9</v>
      </c>
      <c r="C182">
        <v>72</v>
      </c>
      <c r="D182" s="3">
        <f t="shared" ref="D182:D187" si="28">($A$181-F182)/$A$181</f>
        <v>0.9748278152641332</v>
      </c>
      <c r="E182">
        <f t="shared" si="22"/>
        <v>48.3335901980427</v>
      </c>
      <c r="F182">
        <f t="shared" si="23"/>
        <v>1.2586092367933435</v>
      </c>
      <c r="G182" s="3">
        <f>E182/$A$181</f>
        <v>0.96667180396085395</v>
      </c>
      <c r="H182">
        <f>SUM(E182:F182)</f>
        <v>49.59219943483604</v>
      </c>
      <c r="I182">
        <f>$A$181-H182</f>
        <v>0.40780056516396002</v>
      </c>
    </row>
    <row r="183" spans="1:13" x14ac:dyDescent="0.35">
      <c r="A183" s="26" t="s">
        <v>149</v>
      </c>
      <c r="B183">
        <v>2089.9</v>
      </c>
      <c r="C183">
        <v>39.1</v>
      </c>
      <c r="D183" s="3">
        <f>($A$181-F183)/$A$181</f>
        <v>0.98633010523371678</v>
      </c>
      <c r="E183">
        <f t="shared" si="22"/>
        <v>40.261616706480702</v>
      </c>
      <c r="F183">
        <f t="shared" si="23"/>
        <v>0.68349473831416285</v>
      </c>
      <c r="G183" s="3">
        <f t="shared" ref="G183:G186" si="29">E183/$A$181</f>
        <v>0.80523233412961404</v>
      </c>
      <c r="H183">
        <f>SUM(E183:F183)</f>
        <v>40.945111444794861</v>
      </c>
      <c r="I183">
        <f t="shared" ref="I183:I187" si="30">$A$181-H183</f>
        <v>9.0548885552051388</v>
      </c>
    </row>
    <row r="184" spans="1:13" x14ac:dyDescent="0.35">
      <c r="A184" s="26" t="s">
        <v>119</v>
      </c>
      <c r="B184">
        <v>1275.0999999999999</v>
      </c>
      <c r="C184">
        <v>453.1</v>
      </c>
      <c r="D184" s="3">
        <f t="shared" si="28"/>
        <v>0.8415900430024823</v>
      </c>
      <c r="E184">
        <f t="shared" si="22"/>
        <v>24.564614317638899</v>
      </c>
      <c r="F184">
        <f t="shared" si="23"/>
        <v>7.920497849875888</v>
      </c>
      <c r="G184" s="3">
        <f>E184/$A$181</f>
        <v>0.491292286352778</v>
      </c>
      <c r="H184">
        <f t="shared" ref="H184:H187" si="31">SUM(E184:F184)</f>
        <v>32.485112167514785</v>
      </c>
      <c r="I184">
        <f t="shared" si="30"/>
        <v>17.514887832485215</v>
      </c>
    </row>
    <row r="185" spans="1:13" x14ac:dyDescent="0.35">
      <c r="A185" s="26" t="s">
        <v>35</v>
      </c>
      <c r="B185">
        <v>2439</v>
      </c>
      <c r="C185">
        <v>47.2</v>
      </c>
      <c r="D185" s="3">
        <f t="shared" si="28"/>
        <v>0.98349823445093165</v>
      </c>
      <c r="E185">
        <f t="shared" si="22"/>
        <v>46.986976959235569</v>
      </c>
      <c r="F185">
        <f t="shared" si="23"/>
        <v>0.82508827745341407</v>
      </c>
      <c r="G185" s="3">
        <f>E185/$A$181</f>
        <v>0.93973953918471143</v>
      </c>
      <c r="H185">
        <f t="shared" si="31"/>
        <v>47.81206523668898</v>
      </c>
      <c r="I185">
        <f t="shared" si="30"/>
        <v>2.18793476331102</v>
      </c>
    </row>
    <row r="186" spans="1:13" x14ac:dyDescent="0.35">
      <c r="A186" s="26" t="s">
        <v>105</v>
      </c>
      <c r="B186">
        <v>1462.6</v>
      </c>
      <c r="C186">
        <v>0</v>
      </c>
      <c r="D186" s="3">
        <f t="shared" si="28"/>
        <v>1</v>
      </c>
      <c r="E186">
        <f t="shared" si="22"/>
        <v>28.176774292979886</v>
      </c>
      <c r="F186">
        <f t="shared" si="23"/>
        <v>0</v>
      </c>
      <c r="G186" s="3">
        <f t="shared" si="29"/>
        <v>0.56353548585959767</v>
      </c>
      <c r="H186">
        <f t="shared" si="31"/>
        <v>28.176774292979886</v>
      </c>
      <c r="I186">
        <f t="shared" si="30"/>
        <v>21.823225707020114</v>
      </c>
    </row>
    <row r="187" spans="1:13" x14ac:dyDescent="0.35">
      <c r="A187" s="26" t="s">
        <v>106</v>
      </c>
      <c r="B187">
        <v>474.1</v>
      </c>
      <c r="C187">
        <v>2371</v>
      </c>
      <c r="D187" s="3">
        <f t="shared" si="28"/>
        <v>0.17106597210082852</v>
      </c>
      <c r="E187">
        <f>(B187/$L$177)*$L$181</f>
        <v>9.1334669029822013</v>
      </c>
      <c r="F187">
        <f>(C187/$L$178)*$L$181</f>
        <v>41.446701394958573</v>
      </c>
      <c r="G187" s="3">
        <f>E187/$A$181</f>
        <v>0.18266933805964403</v>
      </c>
      <c r="H187">
        <f t="shared" si="31"/>
        <v>50.580168297940773</v>
      </c>
      <c r="I187">
        <f t="shared" si="30"/>
        <v>-0.58016829794077296</v>
      </c>
    </row>
    <row r="188" spans="1:13" x14ac:dyDescent="0.35">
      <c r="A188" s="26"/>
      <c r="D188" s="3"/>
      <c r="G188" s="3"/>
    </row>
    <row r="189" spans="1:13" x14ac:dyDescent="0.35">
      <c r="A189" s="26" t="s">
        <v>87</v>
      </c>
      <c r="D189" s="3"/>
      <c r="G189" s="3"/>
    </row>
    <row r="190" spans="1:13" x14ac:dyDescent="0.35">
      <c r="A190" s="28">
        <v>100</v>
      </c>
      <c r="D190" s="3"/>
      <c r="G190" s="3"/>
    </row>
    <row r="191" spans="1:13" x14ac:dyDescent="0.35">
      <c r="A191" s="26" t="s">
        <v>141</v>
      </c>
      <c r="B191">
        <v>5150.7</v>
      </c>
      <c r="C191">
        <v>82.3</v>
      </c>
      <c r="D191" s="3">
        <f>($A$190-F191)/$A$190</f>
        <v>0.98561339719609831</v>
      </c>
      <c r="E191">
        <f>(B191/$L$177)*$L$181</f>
        <v>99.227479386607072</v>
      </c>
      <c r="F191">
        <f>(C191/$L$178)*$L$181</f>
        <v>1.4386602803901689</v>
      </c>
      <c r="G191" s="3">
        <f>E191/$A$190</f>
        <v>0.99227479386607076</v>
      </c>
      <c r="H191">
        <f>SUM(E191:F191)</f>
        <v>100.66613966699724</v>
      </c>
      <c r="I191">
        <f>$A$190-H191</f>
        <v>-0.66613966699723903</v>
      </c>
    </row>
    <row r="192" spans="1:13" x14ac:dyDescent="0.35">
      <c r="A192" s="26" t="s">
        <v>142</v>
      </c>
      <c r="B192">
        <v>4122.8</v>
      </c>
      <c r="C192">
        <v>50.7</v>
      </c>
      <c r="D192" s="3">
        <f t="shared" ref="D192:D196" si="32">($A$190-F192)/$A$190</f>
        <v>0.9911372932909136</v>
      </c>
      <c r="E192">
        <f t="shared" ref="E192:E196" si="33">(B192/$L$177)*$L$181</f>
        <v>79.425136780457734</v>
      </c>
      <c r="F192">
        <f t="shared" ref="F192:F196" si="34">(C192/$L$178)*$L$181</f>
        <v>0.88627067090864609</v>
      </c>
      <c r="G192" s="3">
        <f t="shared" ref="G192:G196" si="35">E192/$A$190</f>
        <v>0.79425136780457739</v>
      </c>
      <c r="H192">
        <f t="shared" ref="H192:H195" si="36">SUM(E192:F192)</f>
        <v>80.311407451366378</v>
      </c>
      <c r="I192">
        <f t="shared" ref="I192:I196" si="37">$A$190-H192</f>
        <v>19.688592548633622</v>
      </c>
    </row>
    <row r="193" spans="1:9" x14ac:dyDescent="0.35">
      <c r="A193" s="26" t="s">
        <v>119</v>
      </c>
      <c r="B193">
        <v>2818.7</v>
      </c>
      <c r="C193">
        <v>1399.6</v>
      </c>
      <c r="D193" s="3">
        <f t="shared" si="32"/>
        <v>0.75534034891444946</v>
      </c>
      <c r="E193">
        <f t="shared" si="33"/>
        <v>54.301841719966092</v>
      </c>
      <c r="F193">
        <f t="shared" si="34"/>
        <v>24.465965108555046</v>
      </c>
      <c r="G193" s="3">
        <f t="shared" si="35"/>
        <v>0.54301841719966093</v>
      </c>
      <c r="H193">
        <f t="shared" si="36"/>
        <v>78.767806828521145</v>
      </c>
      <c r="I193">
        <f t="shared" si="37"/>
        <v>21.232193171478855</v>
      </c>
    </row>
    <row r="194" spans="1:9" x14ac:dyDescent="0.35">
      <c r="A194" s="26" t="s">
        <v>35</v>
      </c>
      <c r="B194">
        <v>1798.3</v>
      </c>
      <c r="C194">
        <v>4002.3</v>
      </c>
      <c r="D194" s="3">
        <f t="shared" si="32"/>
        <v>0.30037059049750026</v>
      </c>
      <c r="E194">
        <f t="shared" si="33"/>
        <v>34.64398551283039</v>
      </c>
      <c r="F194">
        <f t="shared" si="34"/>
        <v>69.962940950249973</v>
      </c>
      <c r="G194" s="3">
        <f t="shared" si="35"/>
        <v>0.34643985512830389</v>
      </c>
      <c r="H194">
        <f t="shared" si="36"/>
        <v>104.60692646308036</v>
      </c>
      <c r="I194">
        <f t="shared" si="37"/>
        <v>-4.6069264630803559</v>
      </c>
    </row>
    <row r="195" spans="1:9" x14ac:dyDescent="0.35">
      <c r="A195" s="26" t="s">
        <v>105</v>
      </c>
      <c r="B195">
        <v>821.2</v>
      </c>
      <c r="C195">
        <v>5347.8</v>
      </c>
      <c r="D195" s="3">
        <f t="shared" si="32"/>
        <v>6.5167989371744145E-2</v>
      </c>
      <c r="E195">
        <f t="shared" si="33"/>
        <v>15.820297449333438</v>
      </c>
      <c r="F195">
        <f t="shared" si="34"/>
        <v>93.483201062825586</v>
      </c>
      <c r="G195" s="3">
        <f t="shared" si="35"/>
        <v>0.15820297449333437</v>
      </c>
      <c r="H195">
        <f t="shared" si="36"/>
        <v>109.30349851215902</v>
      </c>
      <c r="I195">
        <f t="shared" si="37"/>
        <v>-9.3034985121590239</v>
      </c>
    </row>
    <row r="196" spans="1:9" x14ac:dyDescent="0.35">
      <c r="A196" s="26" t="s">
        <v>106</v>
      </c>
      <c r="B196">
        <v>163.80000000000001</v>
      </c>
      <c r="C196">
        <v>7088</v>
      </c>
      <c r="D196" s="3">
        <f t="shared" si="32"/>
        <v>-0.23903087088766925</v>
      </c>
      <c r="E196">
        <f t="shared" si="33"/>
        <v>3.1555829544578877</v>
      </c>
      <c r="F196">
        <f t="shared" si="34"/>
        <v>123.90308708876692</v>
      </c>
      <c r="G196" s="3">
        <f t="shared" si="35"/>
        <v>3.1555829544578876E-2</v>
      </c>
      <c r="H196">
        <f>SUM(E196:F196)</f>
        <v>127.05867004322481</v>
      </c>
      <c r="I196">
        <f t="shared" si="37"/>
        <v>-27.058670043224808</v>
      </c>
    </row>
    <row r="197" spans="1:9" x14ac:dyDescent="0.35">
      <c r="A197" s="26"/>
      <c r="D197" s="3"/>
      <c r="G197" s="3"/>
    </row>
    <row r="198" spans="1:9" x14ac:dyDescent="0.35">
      <c r="A198" s="26" t="s">
        <v>138</v>
      </c>
      <c r="D198" s="3"/>
      <c r="G198" s="3"/>
    </row>
    <row r="199" spans="1:9" x14ac:dyDescent="0.35">
      <c r="A199" s="28">
        <v>150</v>
      </c>
      <c r="D199" s="3"/>
      <c r="G199" s="3"/>
    </row>
    <row r="200" spans="1:9" x14ac:dyDescent="0.35">
      <c r="A200" s="26" t="s">
        <v>141</v>
      </c>
      <c r="B200">
        <v>7215.8</v>
      </c>
      <c r="C200">
        <v>84</v>
      </c>
      <c r="D200" s="3">
        <f>($A$199-F200)/$A$199</f>
        <v>0.99021081704716285</v>
      </c>
      <c r="E200">
        <f>(B200/$L$177)*$L$181</f>
        <v>139.01132773368266</v>
      </c>
      <c r="F200">
        <f>(C200/$L$178)*$L$181</f>
        <v>1.4683774429255674</v>
      </c>
      <c r="G200" s="3">
        <f>E200/$A$199</f>
        <v>0.92674218489121774</v>
      </c>
      <c r="H200">
        <f t="shared" ref="H200:H202" si="38">SUM(E200:F200)</f>
        <v>140.47970517660823</v>
      </c>
      <c r="I200">
        <f>$A$199-H200</f>
        <v>9.5202948233917652</v>
      </c>
    </row>
    <row r="201" spans="1:9" x14ac:dyDescent="0.35">
      <c r="A201" s="26" t="s">
        <v>149</v>
      </c>
      <c r="B201">
        <v>6639.1</v>
      </c>
      <c r="C201">
        <v>58</v>
      </c>
      <c r="D201" s="3">
        <f t="shared" ref="D201:D205" si="39">($A$199-F201)/$A$199</f>
        <v>0.99324080224685052</v>
      </c>
      <c r="E201">
        <f t="shared" ref="E201:E205" si="40">(B201/$L$177)*$L$181</f>
        <v>127.90128689219389</v>
      </c>
      <c r="F201">
        <f t="shared" ref="F201:F205" si="41">(C201/$L$178)*$L$181</f>
        <v>1.0138796629724154</v>
      </c>
      <c r="G201" s="3">
        <f t="shared" ref="G201:G205" si="42">E201/$A$199</f>
        <v>0.85267524594795929</v>
      </c>
      <c r="H201">
        <f t="shared" si="38"/>
        <v>128.91516655516631</v>
      </c>
      <c r="I201">
        <f t="shared" ref="I201:I205" si="43">$A$199-H201</f>
        <v>21.084833444833691</v>
      </c>
    </row>
    <row r="202" spans="1:9" x14ac:dyDescent="0.35">
      <c r="A202" s="26" t="s">
        <v>119</v>
      </c>
      <c r="B202">
        <v>2438.1</v>
      </c>
      <c r="C202">
        <v>5861.5</v>
      </c>
      <c r="D202" s="3">
        <f t="shared" si="39"/>
        <v>0.31691314430887207</v>
      </c>
      <c r="E202">
        <f t="shared" si="40"/>
        <v>46.969638591353934</v>
      </c>
      <c r="F202">
        <f t="shared" si="41"/>
        <v>102.46302835366919</v>
      </c>
      <c r="G202" s="3">
        <f t="shared" si="42"/>
        <v>0.31313092394235958</v>
      </c>
      <c r="H202">
        <f t="shared" si="38"/>
        <v>149.43266694502313</v>
      </c>
      <c r="I202">
        <f t="shared" si="43"/>
        <v>0.5673330549768707</v>
      </c>
    </row>
    <row r="203" spans="1:9" x14ac:dyDescent="0.35">
      <c r="A203" s="26" t="s">
        <v>35</v>
      </c>
      <c r="B203">
        <v>786.6</v>
      </c>
      <c r="C203">
        <v>9318.9</v>
      </c>
      <c r="D203" s="3">
        <f t="shared" si="39"/>
        <v>-8.6004964514211787E-2</v>
      </c>
      <c r="E203">
        <f t="shared" si="40"/>
        <v>15.153733528550514</v>
      </c>
      <c r="F203">
        <f t="shared" si="41"/>
        <v>162.90074467713177</v>
      </c>
      <c r="G203" s="3">
        <f t="shared" si="42"/>
        <v>0.10102489019033677</v>
      </c>
      <c r="H203">
        <f>SUM(E203:F203)</f>
        <v>178.05447820568227</v>
      </c>
      <c r="I203">
        <f t="shared" si="43"/>
        <v>-28.054478205682273</v>
      </c>
    </row>
    <row r="204" spans="1:9" x14ac:dyDescent="0.35">
      <c r="A204" s="26" t="s">
        <v>105</v>
      </c>
      <c r="B204">
        <v>339.5</v>
      </c>
      <c r="C204">
        <v>9246.7000000000007</v>
      </c>
      <c r="D204" s="3">
        <f t="shared" si="39"/>
        <v>-7.7590928690463745E-2</v>
      </c>
      <c r="E204">
        <f t="shared" si="40"/>
        <v>6.5404176620174157</v>
      </c>
      <c r="F204">
        <f t="shared" si="41"/>
        <v>161.63863930356956</v>
      </c>
      <c r="G204" s="3">
        <f t="shared" si="42"/>
        <v>4.360278441344944E-2</v>
      </c>
      <c r="H204">
        <f>SUM(E204:F204)</f>
        <v>168.17905696558697</v>
      </c>
      <c r="I204">
        <f t="shared" si="43"/>
        <v>-18.179056965586966</v>
      </c>
    </row>
    <row r="205" spans="1:9" x14ac:dyDescent="0.35">
      <c r="A205" s="26" t="s">
        <v>106</v>
      </c>
      <c r="B205">
        <v>0</v>
      </c>
      <c r="C205">
        <v>9430</v>
      </c>
      <c r="D205" s="3">
        <f t="shared" si="39"/>
        <v>-9.8952324348261789E-2</v>
      </c>
      <c r="E205">
        <f t="shared" si="40"/>
        <v>0</v>
      </c>
      <c r="F205">
        <f t="shared" si="41"/>
        <v>164.84284865223927</v>
      </c>
      <c r="G205" s="3">
        <f t="shared" si="42"/>
        <v>0</v>
      </c>
      <c r="H205">
        <f>SUM(E205:F205)</f>
        <v>164.84284865223927</v>
      </c>
      <c r="I205">
        <f t="shared" si="43"/>
        <v>-14.842848652239269</v>
      </c>
    </row>
    <row r="206" spans="1:9" x14ac:dyDescent="0.35">
      <c r="A206" s="26"/>
      <c r="D206" s="3"/>
      <c r="G206" s="3"/>
    </row>
    <row r="207" spans="1:9" x14ac:dyDescent="0.35">
      <c r="A207" s="26" t="s">
        <v>87</v>
      </c>
      <c r="D207" s="3"/>
      <c r="G207" s="3"/>
    </row>
    <row r="208" spans="1:9" x14ac:dyDescent="0.35">
      <c r="A208" s="28">
        <v>200</v>
      </c>
      <c r="D208" s="3"/>
      <c r="G208" s="3"/>
    </row>
    <row r="209" spans="1:12" x14ac:dyDescent="0.35">
      <c r="A209" s="26" t="s">
        <v>141</v>
      </c>
      <c r="B209">
        <v>9224.1</v>
      </c>
      <c r="C209">
        <v>85</v>
      </c>
      <c r="D209" s="3">
        <f>($A$208-F209)/$A$208</f>
        <v>0.99257070936615033</v>
      </c>
      <c r="E209">
        <f>(B209/$L$177)*$L$181</f>
        <v>177.70093241889498</v>
      </c>
      <c r="F209">
        <f>(C209/$L$178)*$L$181</f>
        <v>1.4858581267699194</v>
      </c>
      <c r="G209" s="33">
        <f>E209/$A$208</f>
        <v>0.88850466209447487</v>
      </c>
      <c r="H209">
        <f>SUM(E209:F209)</f>
        <v>179.18679054566491</v>
      </c>
      <c r="I209">
        <f>200-H209</f>
        <v>20.813209454335095</v>
      </c>
      <c r="J209" s="34" t="s">
        <v>181</v>
      </c>
    </row>
    <row r="210" spans="1:12" x14ac:dyDescent="0.35">
      <c r="A210" s="25" t="s">
        <v>142</v>
      </c>
      <c r="B210">
        <v>5907</v>
      </c>
      <c r="C210">
        <v>1778.3</v>
      </c>
      <c r="D210" s="3">
        <f t="shared" ref="D210:D214" si="44">($A$208-F210)/$A$208</f>
        <v>0.84457049959794428</v>
      </c>
      <c r="E210">
        <f t="shared" ref="E210:E214" si="45">(B210/$L$177)*$L$181</f>
        <v>113.79748786314249</v>
      </c>
      <c r="F210">
        <f t="shared" ref="F210:F214" si="46">(C210/$L$178)*$L$181</f>
        <v>31.085900080411147</v>
      </c>
      <c r="G210" s="3">
        <f t="shared" ref="G210:G214" si="47">E210/$A$208</f>
        <v>0.5689874393157125</v>
      </c>
      <c r="H210">
        <f t="shared" ref="H210:H214" si="48">SUM(E210:F210)</f>
        <v>144.88338794355363</v>
      </c>
      <c r="I210">
        <f t="shared" ref="I210:I214" si="49">200-H210</f>
        <v>55.116612056446371</v>
      </c>
    </row>
    <row r="211" spans="1:12" x14ac:dyDescent="0.35">
      <c r="A211" s="25" t="s">
        <v>119</v>
      </c>
      <c r="B211">
        <v>1952</v>
      </c>
      <c r="C211">
        <v>7815.8</v>
      </c>
      <c r="D211" s="3">
        <f t="shared" si="44"/>
        <v>0.31687235604656849</v>
      </c>
      <c r="E211">
        <f t="shared" si="45"/>
        <v>37.604993449949916</v>
      </c>
      <c r="F211">
        <f t="shared" si="46"/>
        <v>136.6255287906863</v>
      </c>
      <c r="G211" s="3">
        <f t="shared" si="47"/>
        <v>0.18802496724974957</v>
      </c>
      <c r="H211">
        <f t="shared" si="48"/>
        <v>174.23052224063622</v>
      </c>
      <c r="I211">
        <f t="shared" si="49"/>
        <v>25.769477759363781</v>
      </c>
    </row>
    <row r="212" spans="1:12" x14ac:dyDescent="0.35">
      <c r="A212" t="s">
        <v>35</v>
      </c>
      <c r="B212">
        <v>500.7</v>
      </c>
      <c r="C212">
        <v>13074.1</v>
      </c>
      <c r="D212" s="3">
        <f t="shared" si="44"/>
        <v>-0.14272104324721183</v>
      </c>
      <c r="E212">
        <f t="shared" si="45"/>
        <v>9.6459119981505737</v>
      </c>
      <c r="F212">
        <f t="shared" si="46"/>
        <v>228.54420864944237</v>
      </c>
      <c r="G212" s="3">
        <f t="shared" si="47"/>
        <v>4.8229559990752867E-2</v>
      </c>
      <c r="H212">
        <f t="shared" si="48"/>
        <v>238.19012064759295</v>
      </c>
      <c r="I212">
        <f t="shared" si="49"/>
        <v>-38.190120647592948</v>
      </c>
    </row>
    <row r="213" spans="1:12" x14ac:dyDescent="0.35">
      <c r="A213" t="s">
        <v>105</v>
      </c>
      <c r="B213">
        <v>147.6</v>
      </c>
      <c r="C213">
        <v>11387.7</v>
      </c>
      <c r="D213" s="3">
        <f t="shared" si="44"/>
        <v>4.6760829283641666E-3</v>
      </c>
      <c r="E213">
        <f t="shared" si="45"/>
        <v>2.8434923325884256</v>
      </c>
      <c r="F213">
        <f t="shared" si="46"/>
        <v>199.06478341432717</v>
      </c>
      <c r="G213" s="3">
        <f t="shared" si="47"/>
        <v>1.4217461662942127E-2</v>
      </c>
      <c r="H213">
        <f t="shared" si="48"/>
        <v>201.90827574691559</v>
      </c>
      <c r="I213">
        <f t="shared" si="49"/>
        <v>-1.9082757469155922</v>
      </c>
    </row>
    <row r="214" spans="1:12" x14ac:dyDescent="0.35">
      <c r="A214" t="s">
        <v>106</v>
      </c>
      <c r="B214">
        <v>0</v>
      </c>
      <c r="C214">
        <v>13208</v>
      </c>
      <c r="D214" s="3">
        <f t="shared" si="44"/>
        <v>-0.15442436108100566</v>
      </c>
      <c r="E214">
        <f t="shared" si="45"/>
        <v>0</v>
      </c>
      <c r="F214">
        <f t="shared" si="46"/>
        <v>230.88487221620113</v>
      </c>
      <c r="G214" s="3">
        <f t="shared" si="47"/>
        <v>0</v>
      </c>
      <c r="H214">
        <f t="shared" si="48"/>
        <v>230.88487221620113</v>
      </c>
      <c r="I214">
        <f t="shared" si="49"/>
        <v>-30.884872216201131</v>
      </c>
    </row>
    <row r="221" spans="1:12" x14ac:dyDescent="0.35">
      <c r="A221" s="30" t="s">
        <v>182</v>
      </c>
    </row>
    <row r="222" spans="1:12" x14ac:dyDescent="0.35">
      <c r="A222" s="26" t="s">
        <v>141</v>
      </c>
      <c r="B222">
        <v>9434.5</v>
      </c>
      <c r="C222">
        <v>129</v>
      </c>
      <c r="D222" s="3">
        <f>($A$208-F222)/$A$208</f>
        <v>0.98872495892039292</v>
      </c>
      <c r="E222">
        <f>(B222/$L$177)*$L$181</f>
        <v>181.75425753255763</v>
      </c>
      <c r="F222">
        <f>(C222/$L$178)*$L$181</f>
        <v>2.2550082159214071</v>
      </c>
      <c r="G222" s="33">
        <f>E222/$A$208</f>
        <v>0.90877128766278814</v>
      </c>
      <c r="H222">
        <f>SUM(E222:F222)</f>
        <v>184.00926574847904</v>
      </c>
      <c r="I222">
        <f>200-H222</f>
        <v>15.990734251520962</v>
      </c>
    </row>
    <row r="223" spans="1:12" ht="26" x14ac:dyDescent="0.6">
      <c r="A223" s="31"/>
      <c r="D223" t="s">
        <v>232</v>
      </c>
      <c r="K223" s="17"/>
      <c r="L223" s="17"/>
    </row>
    <row r="224" spans="1:12" ht="18.5" x14ac:dyDescent="0.45">
      <c r="K224" s="17"/>
      <c r="L224" s="17"/>
    </row>
    <row r="225" spans="4:12" x14ac:dyDescent="0.35">
      <c r="D225" s="3"/>
      <c r="G225" s="3"/>
    </row>
    <row r="226" spans="4:12" x14ac:dyDescent="0.35">
      <c r="G226" s="3"/>
    </row>
    <row r="227" spans="4:12" x14ac:dyDescent="0.35">
      <c r="G227" s="3"/>
    </row>
    <row r="228" spans="4:12" x14ac:dyDescent="0.35">
      <c r="G228" s="3"/>
    </row>
    <row r="229" spans="4:12" x14ac:dyDescent="0.35">
      <c r="G229" s="3"/>
    </row>
    <row r="230" spans="4:12" x14ac:dyDescent="0.35">
      <c r="G230" s="3"/>
    </row>
    <row r="231" spans="4:12" x14ac:dyDescent="0.35">
      <c r="G231" s="3"/>
    </row>
    <row r="236" spans="4:12" x14ac:dyDescent="0.35">
      <c r="J236" s="27"/>
      <c r="K236" s="27"/>
      <c r="L236" s="27"/>
    </row>
    <row r="237" spans="4:12" x14ac:dyDescent="0.35">
      <c r="J237" s="27"/>
      <c r="K237" s="27"/>
      <c r="L237" s="27"/>
    </row>
    <row r="239" spans="4:12" x14ac:dyDescent="0.35">
      <c r="D239" s="3"/>
    </row>
    <row r="240" spans="4:12" x14ac:dyDescent="0.35">
      <c r="D240" s="3"/>
    </row>
    <row r="241" spans="4:12" x14ac:dyDescent="0.35">
      <c r="D241" s="3"/>
    </row>
    <row r="242" spans="4:12" x14ac:dyDescent="0.35">
      <c r="D242" s="3"/>
    </row>
    <row r="243" spans="4:12" x14ac:dyDescent="0.35">
      <c r="D243" s="3"/>
    </row>
    <row r="246" spans="4:12" ht="18.5" x14ac:dyDescent="0.45">
      <c r="K246" s="17"/>
      <c r="L246" s="17"/>
    </row>
    <row r="247" spans="4:12" ht="18.5" x14ac:dyDescent="0.45">
      <c r="K247" s="17"/>
      <c r="L247" s="17"/>
    </row>
    <row r="248" spans="4:12" x14ac:dyDescent="0.35">
      <c r="D248" s="3"/>
      <c r="G248" s="3"/>
    </row>
  </sheetData>
  <mergeCells count="1">
    <mergeCell ref="A1:E1"/>
  </mergeCells>
  <pageMargins left="0.7" right="0.7" top="0.75" bottom="0.75" header="0.3" footer="0.3"/>
  <pageSetup paperSize="9"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ChemDraw.Document.6.0" shapeId="1025" r:id="rId4">
          <objectPr defaultSize="0" autoPict="0" r:id="rId5">
            <anchor moveWithCells="1">
              <from>
                <xdr:col>15</xdr:col>
                <xdr:colOff>508000</xdr:colOff>
                <xdr:row>1</xdr:row>
                <xdr:rowOff>19050</xdr:rowOff>
              </from>
              <to>
                <xdr:col>21</xdr:col>
                <xdr:colOff>406400</xdr:colOff>
                <xdr:row>7</xdr:row>
                <xdr:rowOff>69850</xdr:rowOff>
              </to>
            </anchor>
          </objectPr>
        </oleObject>
      </mc:Choice>
      <mc:Fallback>
        <oleObject progId="ChemDraw.Document.6.0" shapeId="1025" r:id="rId4"/>
      </mc:Fallback>
    </mc:AlternateContent>
    <mc:AlternateContent xmlns:mc="http://schemas.openxmlformats.org/markup-compatibility/2006">
      <mc:Choice Requires="x14">
        <oleObject progId="ChemDraw.Document.6.0" shapeId="1026" r:id="rId6">
          <objectPr defaultSize="0" autoPict="0" r:id="rId5">
            <anchor moveWithCells="1">
              <from>
                <xdr:col>25</xdr:col>
                <xdr:colOff>514350</xdr:colOff>
                <xdr:row>65</xdr:row>
                <xdr:rowOff>50800</xdr:rowOff>
              </from>
              <to>
                <xdr:col>33</xdr:col>
                <xdr:colOff>177800</xdr:colOff>
                <xdr:row>73</xdr:row>
                <xdr:rowOff>44450</xdr:rowOff>
              </to>
            </anchor>
          </objectPr>
        </oleObject>
      </mc:Choice>
      <mc:Fallback>
        <oleObject progId="ChemDraw.Document.6.0" shapeId="1026" r:id="rId6"/>
      </mc:Fallback>
    </mc:AlternateContent>
    <mc:AlternateContent xmlns:mc="http://schemas.openxmlformats.org/markup-compatibility/2006">
      <mc:Choice Requires="x14">
        <oleObject progId="ChemDraw.Document.6.0" shapeId="1027" r:id="rId7">
          <objectPr defaultSize="0" autoPict="0" r:id="rId8">
            <anchor moveWithCells="1">
              <from>
                <xdr:col>12</xdr:col>
                <xdr:colOff>768350</xdr:colOff>
                <xdr:row>98</xdr:row>
                <xdr:rowOff>107950</xdr:rowOff>
              </from>
              <to>
                <xdr:col>20</xdr:col>
                <xdr:colOff>558800</xdr:colOff>
                <xdr:row>108</xdr:row>
                <xdr:rowOff>158750</xdr:rowOff>
              </to>
            </anchor>
          </objectPr>
        </oleObject>
      </mc:Choice>
      <mc:Fallback>
        <oleObject progId="ChemDraw.Document.6.0" shapeId="1027" r:id="rId7"/>
      </mc:Fallback>
    </mc:AlternateContent>
    <mc:AlternateContent xmlns:mc="http://schemas.openxmlformats.org/markup-compatibility/2006">
      <mc:Choice Requires="x14">
        <oleObject progId="ChemDraw.Document.6.0" shapeId="1028" r:id="rId9">
          <objectPr defaultSize="0" autoPict="0" r:id="rId10">
            <anchor moveWithCells="1">
              <from>
                <xdr:col>13</xdr:col>
                <xdr:colOff>82550</xdr:colOff>
                <xdr:row>161</xdr:row>
                <xdr:rowOff>76200</xdr:rowOff>
              </from>
              <to>
                <xdr:col>22</xdr:col>
                <xdr:colOff>463550</xdr:colOff>
                <xdr:row>171</xdr:row>
                <xdr:rowOff>38100</xdr:rowOff>
              </to>
            </anchor>
          </objectPr>
        </oleObject>
      </mc:Choice>
      <mc:Fallback>
        <oleObject progId="ChemDraw.Document.6.0" shapeId="1028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67B82-A8E0-4309-B2DE-ACB92CF3FDA4}">
  <dimension ref="A5:AY45"/>
  <sheetViews>
    <sheetView topLeftCell="Q1" zoomScale="58" zoomScaleNormal="71" workbookViewId="0">
      <selection activeCell="U36" sqref="U36"/>
    </sheetView>
  </sheetViews>
  <sheetFormatPr defaultColWidth="8.81640625" defaultRowHeight="14.5" x14ac:dyDescent="0.35"/>
  <cols>
    <col min="1" max="1" width="21.453125" bestFit="1" customWidth="1"/>
    <col min="2" max="2" width="12.453125" bestFit="1" customWidth="1"/>
    <col min="3" max="3" width="10" bestFit="1" customWidth="1"/>
    <col min="4" max="4" width="13.6328125" bestFit="1" customWidth="1"/>
    <col min="5" max="5" width="40.81640625" bestFit="1" customWidth="1"/>
    <col min="6" max="6" width="16.453125" bestFit="1" customWidth="1"/>
    <col min="7" max="7" width="17.6328125" bestFit="1" customWidth="1"/>
    <col min="8" max="8" width="11.453125" bestFit="1" customWidth="1"/>
    <col min="9" max="9" width="14.6328125" bestFit="1" customWidth="1"/>
    <col min="10" max="10" width="16.6328125" bestFit="1" customWidth="1"/>
    <col min="11" max="11" width="15.6328125" bestFit="1" customWidth="1"/>
    <col min="12" max="12" width="7.1796875" bestFit="1" customWidth="1"/>
    <col min="13" max="13" width="20.81640625" customWidth="1"/>
    <col min="14" max="14" width="18.36328125" customWidth="1"/>
    <col min="15" max="15" width="21.453125" bestFit="1" customWidth="1"/>
    <col min="16" max="16" width="12.453125" bestFit="1" customWidth="1"/>
    <col min="17" max="17" width="10" bestFit="1" customWidth="1"/>
    <col min="18" max="18" width="13.6328125" bestFit="1" customWidth="1"/>
    <col min="19" max="19" width="40.81640625" bestFit="1" customWidth="1"/>
    <col min="20" max="20" width="16.453125" bestFit="1" customWidth="1"/>
    <col min="21" max="21" width="17.6328125" bestFit="1" customWidth="1"/>
    <col min="22" max="22" width="11.453125" bestFit="1" customWidth="1"/>
    <col min="23" max="23" width="14.6328125" bestFit="1" customWidth="1"/>
    <col min="24" max="24" width="16.6328125" bestFit="1" customWidth="1"/>
    <col min="25" max="25" width="15.6328125" bestFit="1" customWidth="1"/>
    <col min="26" max="26" width="7.1796875" bestFit="1" customWidth="1"/>
    <col min="29" max="29" width="21.453125" bestFit="1" customWidth="1"/>
    <col min="30" max="30" width="12.453125" bestFit="1" customWidth="1"/>
    <col min="31" max="31" width="11.81640625" bestFit="1" customWidth="1"/>
    <col min="32" max="32" width="13.6328125" bestFit="1" customWidth="1"/>
    <col min="33" max="33" width="36.81640625" bestFit="1" customWidth="1"/>
    <col min="34" max="34" width="9.1796875" bestFit="1" customWidth="1"/>
    <col min="35" max="35" width="10.6328125" bestFit="1" customWidth="1"/>
    <col min="36" max="36" width="7.81640625" bestFit="1" customWidth="1"/>
    <col min="37" max="37" width="16.453125" bestFit="1" customWidth="1"/>
    <col min="38" max="38" width="17.6328125" bestFit="1" customWidth="1"/>
    <col min="39" max="39" width="11.453125" bestFit="1" customWidth="1"/>
    <col min="40" max="40" width="14.6328125" bestFit="1" customWidth="1"/>
    <col min="41" max="41" width="16.6328125" bestFit="1" customWidth="1"/>
    <col min="42" max="42" width="12.453125" bestFit="1" customWidth="1"/>
    <col min="43" max="43" width="15.6328125" bestFit="1" customWidth="1"/>
    <col min="44" max="44" width="7.1796875" bestFit="1" customWidth="1"/>
  </cols>
  <sheetData>
    <row r="5" spans="1:51" x14ac:dyDescent="0.35">
      <c r="A5" s="37" t="s">
        <v>190</v>
      </c>
      <c r="B5" s="37"/>
      <c r="O5" s="38" t="s">
        <v>190</v>
      </c>
      <c r="P5" s="39"/>
      <c r="AC5" s="37" t="s">
        <v>190</v>
      </c>
      <c r="AD5" s="37"/>
    </row>
    <row r="6" spans="1:51" x14ac:dyDescent="0.35">
      <c r="A6" s="40" t="s">
        <v>191</v>
      </c>
      <c r="B6" s="40">
        <v>50</v>
      </c>
      <c r="O6" s="40" t="s">
        <v>191</v>
      </c>
      <c r="P6" s="40">
        <v>100</v>
      </c>
      <c r="AC6" s="40" t="s">
        <v>191</v>
      </c>
      <c r="AD6" s="40">
        <v>200</v>
      </c>
    </row>
    <row r="7" spans="1:51" x14ac:dyDescent="0.35">
      <c r="A7" s="40" t="s">
        <v>192</v>
      </c>
      <c r="B7" s="40">
        <v>0.5</v>
      </c>
      <c r="O7" s="40" t="s">
        <v>192</v>
      </c>
      <c r="P7" s="40">
        <v>0.5</v>
      </c>
      <c r="AC7" s="40" t="s">
        <v>192</v>
      </c>
      <c r="AD7" s="40">
        <v>0.5</v>
      </c>
    </row>
    <row r="8" spans="1:51" x14ac:dyDescent="0.35">
      <c r="A8" s="40" t="s">
        <v>193</v>
      </c>
      <c r="B8" s="40">
        <f>B6*(B7/1000)</f>
        <v>2.5000000000000001E-2</v>
      </c>
      <c r="O8" s="40" t="s">
        <v>193</v>
      </c>
      <c r="P8" s="40">
        <f>P6*(P7/1000)</f>
        <v>0.05</v>
      </c>
      <c r="AC8" s="40" t="s">
        <v>193</v>
      </c>
      <c r="AD8" s="40">
        <f>AD6*(AD7/1000)</f>
        <v>0.1</v>
      </c>
    </row>
    <row r="10" spans="1:51" x14ac:dyDescent="0.35">
      <c r="A10" s="38" t="s">
        <v>194</v>
      </c>
      <c r="B10" s="39"/>
      <c r="O10" s="38" t="s">
        <v>194</v>
      </c>
      <c r="P10" s="39"/>
      <c r="AC10" s="38" t="s">
        <v>194</v>
      </c>
      <c r="AD10" s="39"/>
    </row>
    <row r="11" spans="1:51" x14ac:dyDescent="0.35">
      <c r="A11" s="40" t="s">
        <v>195</v>
      </c>
      <c r="B11" s="41">
        <v>179.75</v>
      </c>
      <c r="O11" s="40" t="s">
        <v>195</v>
      </c>
      <c r="P11" s="41">
        <v>179.75</v>
      </c>
      <c r="AC11" s="40" t="s">
        <v>195</v>
      </c>
      <c r="AD11" s="41">
        <v>179.75</v>
      </c>
    </row>
    <row r="12" spans="1:51" x14ac:dyDescent="0.35">
      <c r="A12" s="40" t="s">
        <v>196</v>
      </c>
      <c r="B12" s="41">
        <v>65.275999999999996</v>
      </c>
      <c r="N12" s="25"/>
      <c r="O12" s="40" t="s">
        <v>196</v>
      </c>
      <c r="P12" s="41">
        <v>65.275999999999996</v>
      </c>
      <c r="AC12" s="40" t="s">
        <v>196</v>
      </c>
      <c r="AD12" s="41">
        <v>65.275999999999996</v>
      </c>
    </row>
    <row r="13" spans="1:51" x14ac:dyDescent="0.35">
      <c r="N13" s="25"/>
    </row>
    <row r="14" spans="1:51" x14ac:dyDescent="0.35">
      <c r="N14" s="25"/>
    </row>
    <row r="15" spans="1:51" x14ac:dyDescent="0.35">
      <c r="A15" s="42" t="s">
        <v>197</v>
      </c>
      <c r="B15" s="42" t="s">
        <v>198</v>
      </c>
      <c r="C15" s="42" t="s">
        <v>199</v>
      </c>
      <c r="D15" s="42" t="s">
        <v>200</v>
      </c>
      <c r="E15" s="42" t="s">
        <v>201</v>
      </c>
      <c r="F15" s="42" t="s">
        <v>202</v>
      </c>
      <c r="G15" s="42" t="s">
        <v>203</v>
      </c>
      <c r="H15" s="42" t="s">
        <v>204</v>
      </c>
      <c r="I15" s="42" t="s">
        <v>205</v>
      </c>
      <c r="J15" s="42" t="s">
        <v>206</v>
      </c>
      <c r="K15" s="42" t="s">
        <v>207</v>
      </c>
      <c r="L15" s="42" t="s">
        <v>208</v>
      </c>
      <c r="N15" s="25"/>
      <c r="O15" s="42" t="s">
        <v>197</v>
      </c>
      <c r="P15" s="42" t="s">
        <v>198</v>
      </c>
      <c r="Q15" s="42" t="s">
        <v>199</v>
      </c>
      <c r="R15" s="42" t="s">
        <v>200</v>
      </c>
      <c r="S15" s="42" t="s">
        <v>201</v>
      </c>
      <c r="T15" s="42" t="s">
        <v>202</v>
      </c>
      <c r="U15" s="42" t="s">
        <v>203</v>
      </c>
      <c r="V15" s="42" t="s">
        <v>204</v>
      </c>
      <c r="W15" s="42" t="s">
        <v>205</v>
      </c>
      <c r="X15" s="42" t="s">
        <v>206</v>
      </c>
      <c r="Y15" s="42" t="s">
        <v>207</v>
      </c>
      <c r="Z15" s="42" t="s">
        <v>208</v>
      </c>
      <c r="AC15" s="42" t="s">
        <v>197</v>
      </c>
      <c r="AD15" s="42" t="s">
        <v>198</v>
      </c>
      <c r="AE15" s="42" t="s">
        <v>199</v>
      </c>
      <c r="AF15" s="42" t="s">
        <v>200</v>
      </c>
      <c r="AG15" s="42" t="s">
        <v>201</v>
      </c>
      <c r="AH15" s="42" t="s">
        <v>202</v>
      </c>
      <c r="AI15" s="42" t="s">
        <v>203</v>
      </c>
      <c r="AJ15" s="42" t="s">
        <v>204</v>
      </c>
      <c r="AK15" s="42" t="s">
        <v>205</v>
      </c>
      <c r="AL15" s="42" t="s">
        <v>206</v>
      </c>
      <c r="AM15" s="42" t="s">
        <v>209</v>
      </c>
      <c r="AN15" s="42" t="s">
        <v>207</v>
      </c>
      <c r="AO15" s="42" t="s">
        <v>208</v>
      </c>
      <c r="AS15" s="42" t="s">
        <v>197</v>
      </c>
      <c r="AT15" s="42" t="s">
        <v>210</v>
      </c>
      <c r="AU15" s="42" t="s">
        <v>211</v>
      </c>
      <c r="AV15" s="42" t="s">
        <v>212</v>
      </c>
      <c r="AW15" s="42" t="s">
        <v>211</v>
      </c>
      <c r="AX15" s="42" t="s">
        <v>213</v>
      </c>
      <c r="AY15" s="42" t="s">
        <v>211</v>
      </c>
    </row>
    <row r="16" spans="1:51" x14ac:dyDescent="0.35">
      <c r="A16" s="43" t="s">
        <v>214</v>
      </c>
      <c r="B16">
        <v>1</v>
      </c>
      <c r="C16">
        <v>0</v>
      </c>
      <c r="D16">
        <v>3697.09</v>
      </c>
      <c r="E16">
        <v>2</v>
      </c>
      <c r="F16" s="44">
        <f>(C16/B$11)*E16</f>
        <v>0</v>
      </c>
      <c r="G16" s="44">
        <f>(D16/B$12)*E16</f>
        <v>113.27562963416877</v>
      </c>
      <c r="H16" s="14">
        <f>(G16+F16)/100</f>
        <v>1.1327562963416877</v>
      </c>
      <c r="I16" s="14">
        <f>F16/$H16</f>
        <v>0</v>
      </c>
      <c r="J16" s="14">
        <f>G16/$H16</f>
        <v>100</v>
      </c>
      <c r="K16" s="45">
        <f>AVERAGE(J16:J18)</f>
        <v>99.877956307297623</v>
      </c>
      <c r="L16" s="45">
        <f>_xlfn.STDEV.S(J16:J18)</f>
        <v>0.10621574653152717</v>
      </c>
      <c r="N16" s="25"/>
      <c r="O16" s="43" t="s">
        <v>214</v>
      </c>
      <c r="P16">
        <v>1</v>
      </c>
      <c r="Q16">
        <v>541.9</v>
      </c>
      <c r="R16">
        <v>3055.8</v>
      </c>
      <c r="S16">
        <v>2</v>
      </c>
      <c r="T16" s="44">
        <f>(Q16/P$11)*S16</f>
        <v>6.0294853963838664</v>
      </c>
      <c r="U16" s="44">
        <f>(R16/P$12)*S16</f>
        <v>93.627060481647177</v>
      </c>
      <c r="V16" s="14">
        <f>(U16+T16)/100</f>
        <v>0.99656545878031044</v>
      </c>
      <c r="W16" s="14">
        <f>T16/$V16</f>
        <v>6.0502652818845553</v>
      </c>
      <c r="X16" s="14">
        <f>U16/$V16</f>
        <v>93.949734718115451</v>
      </c>
      <c r="Y16" s="46">
        <f>AVERAGE(X16:X18)</f>
        <v>92.786666433338794</v>
      </c>
      <c r="Z16" s="46">
        <f>_xlfn.STDEV.S(X16:X18)</f>
        <v>1.1108385331177901</v>
      </c>
      <c r="AC16" s="35" t="s">
        <v>214</v>
      </c>
      <c r="AD16">
        <v>1</v>
      </c>
      <c r="AE16">
        <v>5024.7</v>
      </c>
      <c r="AF16">
        <v>1289.0999999999999</v>
      </c>
      <c r="AG16">
        <v>4</v>
      </c>
      <c r="AH16" s="44">
        <f t="shared" ref="AH16:AH26" si="0">(AE16/AD$11)*AG16</f>
        <v>111.81529902642559</v>
      </c>
      <c r="AI16" s="44">
        <f t="shared" ref="AI16:AI34" si="1">(AF16/AD$12)*AG16</f>
        <v>78.993810895275445</v>
      </c>
      <c r="AJ16" s="14">
        <f>(AH16+AI16)/200</f>
        <v>0.95404554960850518</v>
      </c>
      <c r="AK16" s="14">
        <f>AH16/$AJ16</f>
        <v>117.20121651666345</v>
      </c>
      <c r="AL16" s="14">
        <f>AI16/$AJ16</f>
        <v>82.79878348333655</v>
      </c>
      <c r="AM16" s="44">
        <f>(AL16/(AL16+AK16))*100</f>
        <v>41.399391741668275</v>
      </c>
      <c r="AN16" s="45">
        <f>AVERAGE(AM16:AM18)</f>
        <v>40.077373894007479</v>
      </c>
      <c r="AO16" s="45">
        <f>_xlfn.STDEV.S(AM16:AM18)</f>
        <v>1.4929829617866985</v>
      </c>
      <c r="AS16" s="40" t="s">
        <v>214</v>
      </c>
      <c r="AT16" s="47">
        <f>B40</f>
        <v>99.877956307297623</v>
      </c>
      <c r="AU16" s="47">
        <f>C40</f>
        <v>0.10621574653152717</v>
      </c>
      <c r="AV16" s="47">
        <f>P38</f>
        <v>92.786666433338794</v>
      </c>
      <c r="AW16" s="47">
        <f>Q38</f>
        <v>1.1108385331177901</v>
      </c>
      <c r="AX16" s="47">
        <f>AD37</f>
        <v>40.077373894007479</v>
      </c>
      <c r="AY16" s="47">
        <f>AE37</f>
        <v>1.4929829617866985</v>
      </c>
    </row>
    <row r="17" spans="1:51" x14ac:dyDescent="0.35">
      <c r="A17" s="35"/>
      <c r="B17">
        <v>2</v>
      </c>
      <c r="C17">
        <v>19.7</v>
      </c>
      <c r="D17">
        <v>4139.1499999999996</v>
      </c>
      <c r="E17">
        <v>2</v>
      </c>
      <c r="F17" s="44">
        <f t="shared" ref="F17:F36" si="2">(C17/B$11)*E17</f>
        <v>0.2191933240611961</v>
      </c>
      <c r="G17" s="44">
        <f t="shared" ref="G17:G36" si="3">(D17/B$12)*E17</f>
        <v>126.81996445860653</v>
      </c>
      <c r="H17" s="14">
        <f>(G17+F17)/100</f>
        <v>1.2703915778266772</v>
      </c>
      <c r="I17" s="14">
        <f t="shared" ref="I17:J35" si="4">F17/$H17</f>
        <v>0.17253996947632566</v>
      </c>
      <c r="J17" s="14">
        <f t="shared" si="4"/>
        <v>99.827460030523682</v>
      </c>
      <c r="K17" s="35"/>
      <c r="L17" s="45"/>
      <c r="N17" s="25"/>
      <c r="O17" s="35"/>
      <c r="P17">
        <v>2</v>
      </c>
      <c r="Q17">
        <v>535.1</v>
      </c>
      <c r="R17">
        <v>2458</v>
      </c>
      <c r="S17">
        <v>2</v>
      </c>
      <c r="T17" s="44">
        <f t="shared" ref="T17:T33" si="5">(Q17/P$11)*S17</f>
        <v>5.953824756606398</v>
      </c>
      <c r="U17" s="44">
        <f>(R17/P$12)*S17</f>
        <v>75.310987192842703</v>
      </c>
      <c r="V17" s="14">
        <f>(U17+T17)/100</f>
        <v>0.81264811949449101</v>
      </c>
      <c r="W17" s="14">
        <f t="shared" ref="W17:X34" si="6">T17/$V17</f>
        <v>7.3264486975125021</v>
      </c>
      <c r="X17" s="14">
        <f t="shared" si="6"/>
        <v>92.673551302487496</v>
      </c>
      <c r="Y17" s="45"/>
      <c r="Z17" s="45"/>
      <c r="AC17" s="35"/>
      <c r="AD17">
        <v>2</v>
      </c>
      <c r="AE17">
        <v>4172.3999999999996</v>
      </c>
      <c r="AF17">
        <v>1026</v>
      </c>
      <c r="AG17">
        <v>4</v>
      </c>
      <c r="AH17" s="44">
        <f t="shared" si="0"/>
        <v>92.848956884561886</v>
      </c>
      <c r="AI17" s="44">
        <f t="shared" si="1"/>
        <v>62.871499479134755</v>
      </c>
      <c r="AJ17" s="14">
        <f t="shared" ref="AJ17:AJ34" si="7">(AH17+AI17)/200</f>
        <v>0.77860228181848323</v>
      </c>
      <c r="AK17" s="14">
        <f t="shared" ref="AK17:AL34" si="8">AH17/$AJ17</f>
        <v>119.25081527850944</v>
      </c>
      <c r="AL17" s="14">
        <f t="shared" si="8"/>
        <v>80.749184721490565</v>
      </c>
      <c r="AM17" s="44">
        <f t="shared" ref="AM17:AM34" si="9">(AL17/(AL17+AK17))*100</f>
        <v>40.374592360745282</v>
      </c>
      <c r="AN17" s="35"/>
      <c r="AO17" s="45"/>
      <c r="AS17" s="40" t="s">
        <v>215</v>
      </c>
      <c r="AT17" s="47">
        <f t="shared" ref="AT17:AU21" si="10">B41</f>
        <v>99.873446279469547</v>
      </c>
      <c r="AU17" s="47">
        <f t="shared" si="10"/>
        <v>0.11322655078942487</v>
      </c>
      <c r="AV17" s="47">
        <f t="shared" ref="AV17:AW21" si="11">P39</f>
        <v>97.9106974743123</v>
      </c>
      <c r="AW17" s="47">
        <f t="shared" si="11"/>
        <v>2.0321008991496328</v>
      </c>
      <c r="AX17" s="47">
        <f t="shared" ref="AX17:AY21" si="12">AD38</f>
        <v>96.174642319705598</v>
      </c>
      <c r="AY17" s="47">
        <f t="shared" si="12"/>
        <v>3.0623606210344931</v>
      </c>
    </row>
    <row r="18" spans="1:51" x14ac:dyDescent="0.35">
      <c r="A18" s="35"/>
      <c r="B18">
        <v>3</v>
      </c>
      <c r="C18">
        <v>19.7</v>
      </c>
      <c r="D18">
        <v>3688.28</v>
      </c>
      <c r="E18">
        <v>2</v>
      </c>
      <c r="F18" s="44">
        <f t="shared" si="2"/>
        <v>0.2191933240611961</v>
      </c>
      <c r="G18" s="44">
        <f t="shared" si="3"/>
        <v>113.00569887860777</v>
      </c>
      <c r="H18" s="14">
        <f t="shared" ref="H18:H36" si="13">(G18+F18)/100</f>
        <v>1.1322489220266896</v>
      </c>
      <c r="I18" s="14">
        <f t="shared" si="4"/>
        <v>0.19359110863081858</v>
      </c>
      <c r="J18" s="14">
        <f t="shared" si="4"/>
        <v>99.806408891369188</v>
      </c>
      <c r="K18" s="35"/>
      <c r="L18" s="45"/>
      <c r="N18" s="25"/>
      <c r="O18" s="35"/>
      <c r="P18">
        <v>3</v>
      </c>
      <c r="Q18">
        <v>630.20000000000005</v>
      </c>
      <c r="R18">
        <v>2540.6999999999998</v>
      </c>
      <c r="S18">
        <v>2</v>
      </c>
      <c r="T18" s="44">
        <f t="shared" si="5"/>
        <v>7.0119610570236448</v>
      </c>
      <c r="U18" s="44">
        <f t="shared" ref="U18:U33" si="14">(R18/P$12)*S18</f>
        <v>77.844843434033947</v>
      </c>
      <c r="V18" s="14">
        <f t="shared" ref="V18:V34" si="15">(U18+T18)/100</f>
        <v>0.84856804491057591</v>
      </c>
      <c r="W18" s="14">
        <f t="shared" si="6"/>
        <v>8.2632867205865406</v>
      </c>
      <c r="X18" s="14">
        <f t="shared" si="6"/>
        <v>91.736713279413465</v>
      </c>
      <c r="Y18" s="45"/>
      <c r="Z18" s="45"/>
      <c r="AC18" s="35"/>
      <c r="AD18">
        <v>3</v>
      </c>
      <c r="AE18">
        <v>4837.5</v>
      </c>
      <c r="AF18">
        <v>1097.8</v>
      </c>
      <c r="AG18">
        <v>4</v>
      </c>
      <c r="AH18" s="44">
        <f t="shared" si="0"/>
        <v>107.64951321279555</v>
      </c>
      <c r="AI18" s="44">
        <f t="shared" si="1"/>
        <v>67.271278877382187</v>
      </c>
      <c r="AJ18" s="14">
        <f t="shared" si="7"/>
        <v>0.87460396045088873</v>
      </c>
      <c r="AK18" s="14">
        <f t="shared" si="8"/>
        <v>123.08372484078221</v>
      </c>
      <c r="AL18" s="14">
        <f t="shared" si="8"/>
        <v>76.91627515921779</v>
      </c>
      <c r="AM18" s="44">
        <f t="shared" si="9"/>
        <v>38.458137579608895</v>
      </c>
      <c r="AN18" s="35"/>
      <c r="AO18" s="45"/>
      <c r="AS18" s="40" t="s">
        <v>216</v>
      </c>
      <c r="AT18" s="47">
        <f t="shared" si="10"/>
        <v>99.890171447018091</v>
      </c>
      <c r="AU18" s="47">
        <f t="shared" si="10"/>
        <v>9.557115696541868E-2</v>
      </c>
      <c r="AV18" s="47">
        <f t="shared" si="11"/>
        <v>95.39192917786697</v>
      </c>
      <c r="AW18" s="47">
        <f t="shared" si="11"/>
        <v>1.0679087578617434</v>
      </c>
      <c r="AX18" s="47">
        <f t="shared" si="12"/>
        <v>83.174579300111944</v>
      </c>
      <c r="AY18" s="47">
        <f t="shared" si="12"/>
        <v>5.8950061993886811</v>
      </c>
    </row>
    <row r="19" spans="1:51" x14ac:dyDescent="0.35">
      <c r="A19" s="35" t="s">
        <v>215</v>
      </c>
      <c r="B19">
        <v>1</v>
      </c>
      <c r="C19">
        <v>0</v>
      </c>
      <c r="D19">
        <v>3617.09</v>
      </c>
      <c r="E19">
        <v>2</v>
      </c>
      <c r="F19" s="44">
        <f t="shared" si="2"/>
        <v>0</v>
      </c>
      <c r="G19" s="44">
        <f t="shared" si="3"/>
        <v>110.82449905018692</v>
      </c>
      <c r="H19" s="14">
        <f t="shared" si="13"/>
        <v>1.1082449905018692</v>
      </c>
      <c r="I19" s="14">
        <f t="shared" si="4"/>
        <v>0</v>
      </c>
      <c r="J19" s="14">
        <f t="shared" si="4"/>
        <v>100</v>
      </c>
      <c r="K19" s="45">
        <f>AVERAGE(J19:J21)</f>
        <v>99.873446279469547</v>
      </c>
      <c r="L19" s="45">
        <f>_xlfn.STDEV.S(J19:J21)</f>
        <v>0.11322655078942487</v>
      </c>
      <c r="N19" s="25"/>
      <c r="O19" s="35" t="s">
        <v>215</v>
      </c>
      <c r="P19">
        <v>1</v>
      </c>
      <c r="Q19">
        <v>105.6</v>
      </c>
      <c r="R19">
        <v>2955.6</v>
      </c>
      <c r="S19">
        <v>2</v>
      </c>
      <c r="T19" s="44">
        <f t="shared" si="5"/>
        <v>1.1749652294853963</v>
      </c>
      <c r="U19" s="44">
        <f t="shared" si="14"/>
        <v>90.557019425209887</v>
      </c>
      <c r="V19" s="14">
        <f t="shared" si="15"/>
        <v>0.91731984654695287</v>
      </c>
      <c r="W19" s="14">
        <f t="shared" si="6"/>
        <v>1.2808675555296141</v>
      </c>
      <c r="X19" s="14">
        <f t="shared" si="6"/>
        <v>98.719132444470389</v>
      </c>
      <c r="Y19" s="45">
        <f>AVERAGE(X19:X21)</f>
        <v>97.9106974743123</v>
      </c>
      <c r="Z19" s="45">
        <f>_xlfn.STDEV.S(X19:X21)</f>
        <v>2.0321008991496328</v>
      </c>
      <c r="AC19" s="35" t="s">
        <v>215</v>
      </c>
      <c r="AD19">
        <v>1</v>
      </c>
      <c r="AE19">
        <v>460.1</v>
      </c>
      <c r="AF19">
        <v>2279.6</v>
      </c>
      <c r="AG19">
        <v>4</v>
      </c>
      <c r="AH19" s="44">
        <f t="shared" si="0"/>
        <v>10.238664812239222</v>
      </c>
      <c r="AI19" s="44">
        <f t="shared" si="1"/>
        <v>139.68993198112631</v>
      </c>
      <c r="AJ19" s="14">
        <f t="shared" si="7"/>
        <v>0.7496429839668276</v>
      </c>
      <c r="AK19" s="14">
        <f t="shared" si="8"/>
        <v>13.658054608955418</v>
      </c>
      <c r="AL19" s="14">
        <f t="shared" si="8"/>
        <v>186.34194539104459</v>
      </c>
      <c r="AM19" s="44">
        <f t="shared" si="9"/>
        <v>93.170972695522295</v>
      </c>
      <c r="AN19" s="45">
        <f t="shared" ref="AN19" si="16">AVERAGE(AM19:AM21)</f>
        <v>96.174642319705598</v>
      </c>
      <c r="AO19" s="45">
        <f t="shared" ref="AO19" si="17">_xlfn.STDEV.S(AM19:AM21)</f>
        <v>3.0623606210344931</v>
      </c>
      <c r="AS19" s="40" t="s">
        <v>217</v>
      </c>
      <c r="AT19" s="47">
        <f t="shared" si="10"/>
        <v>99.497736419038517</v>
      </c>
      <c r="AU19" s="47">
        <f t="shared" si="10"/>
        <v>0.16626534291593623</v>
      </c>
      <c r="AV19" s="47">
        <f t="shared" si="11"/>
        <v>69.69752730621714</v>
      </c>
      <c r="AW19" s="47">
        <f t="shared" si="11"/>
        <v>4.3325905159645091</v>
      </c>
      <c r="AX19" s="47">
        <f t="shared" si="12"/>
        <v>10.152393201768223</v>
      </c>
      <c r="AY19" s="47">
        <f t="shared" si="12"/>
        <v>3.8315451167693659</v>
      </c>
    </row>
    <row r="20" spans="1:51" x14ac:dyDescent="0.35">
      <c r="A20" s="35"/>
      <c r="B20">
        <v>2</v>
      </c>
      <c r="C20">
        <v>17.7</v>
      </c>
      <c r="D20">
        <v>3976.09</v>
      </c>
      <c r="E20">
        <v>2</v>
      </c>
      <c r="F20" s="44">
        <f t="shared" si="2"/>
        <v>0.19694019471488178</v>
      </c>
      <c r="G20" s="44">
        <f t="shared" si="3"/>
        <v>121.82394754580551</v>
      </c>
      <c r="H20" s="14">
        <f t="shared" si="13"/>
        <v>1.220208877405204</v>
      </c>
      <c r="I20" s="14">
        <f t="shared" si="4"/>
        <v>0.16139875587012498</v>
      </c>
      <c r="J20" s="14">
        <f t="shared" si="4"/>
        <v>99.838601244129862</v>
      </c>
      <c r="K20" s="35"/>
      <c r="L20" s="45"/>
      <c r="N20" s="25"/>
      <c r="O20" s="35"/>
      <c r="P20">
        <v>2</v>
      </c>
      <c r="Q20">
        <v>44</v>
      </c>
      <c r="R20">
        <v>2711.5</v>
      </c>
      <c r="S20">
        <v>2</v>
      </c>
      <c r="T20" s="44">
        <f t="shared" si="5"/>
        <v>0.48956884561891517</v>
      </c>
      <c r="U20" s="44">
        <f t="shared" si="14"/>
        <v>83.078007230835226</v>
      </c>
      <c r="V20" s="14">
        <f t="shared" si="15"/>
        <v>0.83567576076454142</v>
      </c>
      <c r="W20" s="14">
        <f t="shared" si="6"/>
        <v>0.58583588109701712</v>
      </c>
      <c r="X20" s="14">
        <f t="shared" si="6"/>
        <v>99.414164118902988</v>
      </c>
      <c r="Y20" s="45"/>
      <c r="Z20" s="45"/>
      <c r="AC20" s="35"/>
      <c r="AD20">
        <v>2</v>
      </c>
      <c r="AE20">
        <v>253.6</v>
      </c>
      <c r="AF20">
        <v>2245.6</v>
      </c>
      <c r="AG20">
        <v>4</v>
      </c>
      <c r="AH20" s="44">
        <f t="shared" si="0"/>
        <v>5.6433936022253128</v>
      </c>
      <c r="AI20" s="44">
        <f t="shared" si="1"/>
        <v>137.60647098474172</v>
      </c>
      <c r="AJ20" s="14">
        <f t="shared" si="7"/>
        <v>0.71624932293483512</v>
      </c>
      <c r="AK20" s="14">
        <f t="shared" si="8"/>
        <v>7.8790910113554871</v>
      </c>
      <c r="AL20" s="14">
        <f t="shared" si="8"/>
        <v>192.12090898864452</v>
      </c>
      <c r="AM20" s="44">
        <f t="shared" si="9"/>
        <v>96.060454494322258</v>
      </c>
      <c r="AN20" s="35"/>
      <c r="AO20" s="45"/>
      <c r="AS20" s="40" t="s">
        <v>218</v>
      </c>
      <c r="AT20" s="47">
        <f t="shared" si="10"/>
        <v>99.912273445418577</v>
      </c>
      <c r="AU20" s="47">
        <f t="shared" si="10"/>
        <v>7.906218891988416E-2</v>
      </c>
      <c r="AV20" s="47">
        <f t="shared" si="11"/>
        <v>99.891889980480002</v>
      </c>
      <c r="AW20" s="47">
        <f t="shared" si="11"/>
        <v>1.1498732762705102E-2</v>
      </c>
      <c r="AX20" s="47">
        <f t="shared" si="12"/>
        <v>99.901315586857109</v>
      </c>
      <c r="AY20" s="47">
        <f t="shared" si="12"/>
        <v>8.6216623495823042E-2</v>
      </c>
    </row>
    <row r="21" spans="1:51" x14ac:dyDescent="0.35">
      <c r="A21" s="35"/>
      <c r="B21">
        <v>3</v>
      </c>
      <c r="C21">
        <v>21.5</v>
      </c>
      <c r="D21">
        <v>3569.4</v>
      </c>
      <c r="E21">
        <v>2</v>
      </c>
      <c r="F21" s="44">
        <f t="shared" si="2"/>
        <v>0.23922114047287898</v>
      </c>
      <c r="G21" s="44">
        <f t="shared" si="3"/>
        <v>109.36331883081073</v>
      </c>
      <c r="H21" s="14">
        <f t="shared" si="13"/>
        <v>1.096025399712836</v>
      </c>
      <c r="I21" s="14">
        <f t="shared" si="4"/>
        <v>0.21826240572121422</v>
      </c>
      <c r="J21" s="14">
        <f t="shared" si="4"/>
        <v>99.781737594278795</v>
      </c>
      <c r="K21" s="35"/>
      <c r="L21" s="45"/>
      <c r="N21" s="25"/>
      <c r="O21" s="35"/>
      <c r="P21">
        <v>3</v>
      </c>
      <c r="Q21">
        <v>291.89999999999998</v>
      </c>
      <c r="R21">
        <v>2302.5</v>
      </c>
      <c r="S21">
        <v>2</v>
      </c>
      <c r="T21" s="44">
        <f t="shared" si="5"/>
        <v>3.2478442280945754</v>
      </c>
      <c r="U21" s="44">
        <f t="shared" si="14"/>
        <v>70.546602120227959</v>
      </c>
      <c r="V21" s="14">
        <f t="shared" si="15"/>
        <v>0.7379444634832254</v>
      </c>
      <c r="W21" s="14">
        <f>T21/$V21</f>
        <v>4.4012041404365165</v>
      </c>
      <c r="X21" s="14">
        <f t="shared" si="6"/>
        <v>95.598795859563481</v>
      </c>
      <c r="Y21" s="45"/>
      <c r="Z21" s="45"/>
      <c r="AC21" s="35"/>
      <c r="AD21">
        <v>3</v>
      </c>
      <c r="AE21">
        <v>60.5</v>
      </c>
      <c r="AF21">
        <v>3083.4</v>
      </c>
      <c r="AG21">
        <v>4</v>
      </c>
      <c r="AH21" s="44">
        <f t="shared" si="0"/>
        <v>1.3463143254520167</v>
      </c>
      <c r="AI21" s="44">
        <f t="shared" si="1"/>
        <v>188.94540106624183</v>
      </c>
      <c r="AJ21" s="14">
        <f t="shared" si="7"/>
        <v>0.95145857695846925</v>
      </c>
      <c r="AK21" s="14">
        <f t="shared" si="8"/>
        <v>1.4150004614554887</v>
      </c>
      <c r="AL21" s="14">
        <f t="shared" si="8"/>
        <v>198.58499953854451</v>
      </c>
      <c r="AM21" s="44">
        <f t="shared" si="9"/>
        <v>99.292499769272254</v>
      </c>
      <c r="AN21" s="35"/>
      <c r="AO21" s="45"/>
      <c r="AS21" s="40" t="s">
        <v>219</v>
      </c>
      <c r="AT21" s="47">
        <f t="shared" si="10"/>
        <v>99.875314173608217</v>
      </c>
      <c r="AU21" s="47">
        <f t="shared" si="10"/>
        <v>5.5702159741819281E-2</v>
      </c>
      <c r="AV21" s="47">
        <f t="shared" si="11"/>
        <v>54.904045758064349</v>
      </c>
      <c r="AW21" s="47">
        <f t="shared" si="11"/>
        <v>7.5521238356314919</v>
      </c>
      <c r="AX21" s="47">
        <f t="shared" si="12"/>
        <v>2.6365432999061951</v>
      </c>
      <c r="AY21" s="47">
        <f t="shared" si="12"/>
        <v>2.2852331893268905</v>
      </c>
    </row>
    <row r="22" spans="1:51" x14ac:dyDescent="0.35">
      <c r="A22" s="35" t="s">
        <v>216</v>
      </c>
      <c r="B22">
        <v>1</v>
      </c>
      <c r="C22">
        <v>0</v>
      </c>
      <c r="D22">
        <v>3291.01</v>
      </c>
      <c r="E22">
        <v>2</v>
      </c>
      <c r="F22" s="44">
        <f t="shared" si="2"/>
        <v>0</v>
      </c>
      <c r="G22" s="44">
        <f t="shared" si="3"/>
        <v>100.83369078987684</v>
      </c>
      <c r="H22" s="14">
        <f t="shared" si="13"/>
        <v>1.0083369078987685</v>
      </c>
      <c r="I22" s="14">
        <f t="shared" si="4"/>
        <v>0</v>
      </c>
      <c r="J22" s="14">
        <f t="shared" si="4"/>
        <v>99.999999999999986</v>
      </c>
      <c r="K22" s="45">
        <f>AVERAGE(J22:J24)</f>
        <v>99.890171447018091</v>
      </c>
      <c r="L22" s="45">
        <f>_xlfn.STDEV.S(J22:J24)</f>
        <v>9.557115696541868E-2</v>
      </c>
      <c r="N22" s="25"/>
      <c r="O22" s="35" t="s">
        <v>216</v>
      </c>
      <c r="P22">
        <v>1</v>
      </c>
      <c r="Q22">
        <v>517.5</v>
      </c>
      <c r="R22">
        <v>3195.9</v>
      </c>
      <c r="S22">
        <v>2</v>
      </c>
      <c r="T22" s="44">
        <f t="shared" si="5"/>
        <v>5.7579972183588319</v>
      </c>
      <c r="U22" s="44">
        <f t="shared" si="14"/>
        <v>97.919602916845406</v>
      </c>
      <c r="V22" s="14">
        <f t="shared" si="15"/>
        <v>1.0367760013520424</v>
      </c>
      <c r="W22" s="14">
        <f t="shared" si="6"/>
        <v>5.5537524121410247</v>
      </c>
      <c r="X22" s="14">
        <f t="shared" si="6"/>
        <v>94.446247587858977</v>
      </c>
      <c r="Y22" s="45">
        <f>AVERAGE(X22:X24)</f>
        <v>95.39192917786697</v>
      </c>
      <c r="Z22" s="45">
        <f>_xlfn.STDEV.S(X22:X24)</f>
        <v>1.0679087578617434</v>
      </c>
      <c r="AC22" s="35" t="s">
        <v>216</v>
      </c>
      <c r="AD22">
        <v>1</v>
      </c>
      <c r="AE22">
        <v>1450.9</v>
      </c>
      <c r="AF22">
        <v>2078.3000000000002</v>
      </c>
      <c r="AG22">
        <v>4</v>
      </c>
      <c r="AH22" s="44">
        <f t="shared" si="0"/>
        <v>32.287065368567454</v>
      </c>
      <c r="AI22" s="44">
        <f t="shared" si="1"/>
        <v>127.3546173172376</v>
      </c>
      <c r="AJ22" s="14">
        <f t="shared" si="7"/>
        <v>0.79820841342902527</v>
      </c>
      <c r="AK22" s="14">
        <f t="shared" si="8"/>
        <v>40.449417502210203</v>
      </c>
      <c r="AL22" s="14">
        <f t="shared" si="8"/>
        <v>159.5505824977898</v>
      </c>
      <c r="AM22" s="44">
        <f t="shared" si="9"/>
        <v>79.775291248894902</v>
      </c>
      <c r="AN22" s="45">
        <f t="shared" ref="AN22" si="18">AVERAGE(AM22:AM24)</f>
        <v>83.174579300111944</v>
      </c>
      <c r="AO22" s="45">
        <f t="shared" ref="AO22" si="19">_xlfn.STDEV.S(AM22:AM24)</f>
        <v>5.8950061993886811</v>
      </c>
      <c r="AT22" s="48"/>
    </row>
    <row r="23" spans="1:51" x14ac:dyDescent="0.35">
      <c r="A23" s="35"/>
      <c r="B23">
        <v>2</v>
      </c>
      <c r="C23">
        <v>16.3</v>
      </c>
      <c r="D23">
        <v>3802.94</v>
      </c>
      <c r="E23">
        <v>2</v>
      </c>
      <c r="F23" s="44">
        <f t="shared" si="2"/>
        <v>0.18136300417246176</v>
      </c>
      <c r="G23" s="44">
        <f t="shared" si="3"/>
        <v>116.51878178809977</v>
      </c>
      <c r="H23" s="14">
        <f t="shared" si="13"/>
        <v>1.1670014479227224</v>
      </c>
      <c r="I23" s="14">
        <f t="shared" si="4"/>
        <v>0.15540940801340927</v>
      </c>
      <c r="J23" s="14">
        <f t="shared" si="4"/>
        <v>99.844590591986588</v>
      </c>
      <c r="K23" s="45"/>
      <c r="L23" s="45"/>
      <c r="O23" s="35"/>
      <c r="P23">
        <v>2</v>
      </c>
      <c r="Q23">
        <v>443.1</v>
      </c>
      <c r="R23">
        <v>3177.1</v>
      </c>
      <c r="S23">
        <v>2</v>
      </c>
      <c r="T23" s="44">
        <f t="shared" si="5"/>
        <v>4.9301808066759394</v>
      </c>
      <c r="U23" s="44">
        <f t="shared" si="14"/>
        <v>97.343587229609653</v>
      </c>
      <c r="V23" s="14">
        <f t="shared" si="15"/>
        <v>1.0227376803628558</v>
      </c>
      <c r="W23" s="14">
        <f t="shared" si="6"/>
        <v>4.8205721773414734</v>
      </c>
      <c r="X23" s="14">
        <f t="shared" si="6"/>
        <v>95.179427822658539</v>
      </c>
      <c r="Y23" s="45"/>
      <c r="Z23" s="45"/>
      <c r="AC23" s="35"/>
      <c r="AD23">
        <v>2</v>
      </c>
      <c r="AE23">
        <v>1301.9000000000001</v>
      </c>
      <c r="AF23">
        <v>1863.9</v>
      </c>
      <c r="AG23">
        <v>4</v>
      </c>
      <c r="AH23" s="44">
        <f t="shared" si="0"/>
        <v>28.971349095966623</v>
      </c>
      <c r="AI23" s="44">
        <f t="shared" si="1"/>
        <v>114.21655738709481</v>
      </c>
      <c r="AJ23" s="14">
        <f t="shared" si="7"/>
        <v>0.71593953241530717</v>
      </c>
      <c r="AK23" s="14">
        <f t="shared" si="8"/>
        <v>40.466195515462502</v>
      </c>
      <c r="AL23" s="14">
        <f t="shared" si="8"/>
        <v>159.53380448453748</v>
      </c>
      <c r="AM23" s="44">
        <f t="shared" si="9"/>
        <v>79.766902242268742</v>
      </c>
      <c r="AN23" s="35"/>
      <c r="AO23" s="45"/>
    </row>
    <row r="24" spans="1:51" x14ac:dyDescent="0.35">
      <c r="A24" s="35"/>
      <c r="B24">
        <v>3</v>
      </c>
      <c r="C24">
        <v>18.2</v>
      </c>
      <c r="D24">
        <v>3790.18</v>
      </c>
      <c r="E24">
        <v>2</v>
      </c>
      <c r="F24" s="44">
        <f t="shared" si="2"/>
        <v>0.20250347705146035</v>
      </c>
      <c r="G24" s="44">
        <f t="shared" si="3"/>
        <v>116.12782645995466</v>
      </c>
      <c r="H24" s="14">
        <f t="shared" si="13"/>
        <v>1.1633032993700612</v>
      </c>
      <c r="I24" s="14">
        <f t="shared" si="4"/>
        <v>0.17407625093225279</v>
      </c>
      <c r="J24" s="14">
        <f t="shared" si="4"/>
        <v>99.825923749067755</v>
      </c>
      <c r="K24" s="45"/>
      <c r="L24" s="45"/>
      <c r="O24" s="35"/>
      <c r="P24">
        <v>3</v>
      </c>
      <c r="Q24">
        <v>316.7</v>
      </c>
      <c r="R24">
        <v>3218.7</v>
      </c>
      <c r="S24">
        <v>2</v>
      </c>
      <c r="T24" s="44">
        <f t="shared" si="5"/>
        <v>3.5237830319888732</v>
      </c>
      <c r="U24" s="44">
        <f t="shared" si="14"/>
        <v>98.618175133280232</v>
      </c>
      <c r="V24" s="14">
        <f t="shared" si="15"/>
        <v>1.021419581652691</v>
      </c>
      <c r="W24" s="14">
        <f t="shared" si="6"/>
        <v>3.4498878769166286</v>
      </c>
      <c r="X24" s="14">
        <f t="shared" si="6"/>
        <v>96.55011212308338</v>
      </c>
      <c r="Y24" s="45"/>
      <c r="Z24" s="45"/>
      <c r="AC24" s="35"/>
      <c r="AD24">
        <v>3</v>
      </c>
      <c r="AE24">
        <v>1287.5999999999999</v>
      </c>
      <c r="AF24">
        <v>4199.7</v>
      </c>
      <c r="AG24">
        <v>2</v>
      </c>
      <c r="AH24" s="44">
        <f t="shared" si="0"/>
        <v>14.326564673157161</v>
      </c>
      <c r="AI24" s="44">
        <f t="shared" si="1"/>
        <v>128.6751639193578</v>
      </c>
      <c r="AJ24" s="14">
        <f t="shared" si="7"/>
        <v>0.71500864296257471</v>
      </c>
      <c r="AK24" s="14">
        <f t="shared" si="8"/>
        <v>20.036911181655533</v>
      </c>
      <c r="AL24" s="14">
        <f t="shared" si="8"/>
        <v>179.96308881834449</v>
      </c>
      <c r="AM24" s="44">
        <f t="shared" si="9"/>
        <v>89.98154440917223</v>
      </c>
      <c r="AN24" s="35"/>
      <c r="AO24" s="45"/>
    </row>
    <row r="25" spans="1:51" x14ac:dyDescent="0.35">
      <c r="A25" s="35" t="s">
        <v>217</v>
      </c>
      <c r="B25">
        <v>1</v>
      </c>
      <c r="C25">
        <v>42</v>
      </c>
      <c r="D25">
        <v>3397.12</v>
      </c>
      <c r="E25">
        <f>E24</f>
        <v>2</v>
      </c>
      <c r="F25" s="44">
        <f t="shared" si="2"/>
        <v>0.46731571627260082</v>
      </c>
      <c r="G25" s="44">
        <f t="shared" si="3"/>
        <v>104.08480911820577</v>
      </c>
      <c r="H25" s="14">
        <f t="shared" si="13"/>
        <v>1.0455212483447835</v>
      </c>
      <c r="I25" s="14">
        <f t="shared" si="4"/>
        <v>0.44696912378627546</v>
      </c>
      <c r="J25" s="14">
        <f t="shared" si="4"/>
        <v>99.553030876213739</v>
      </c>
      <c r="K25" s="45">
        <f t="shared" ref="K25" si="20">AVERAGE(J25:J27)</f>
        <v>99.497736419038517</v>
      </c>
      <c r="L25" s="45">
        <f t="shared" ref="L25" si="21">_xlfn.STDEV.S(J25:J27)</f>
        <v>0.16626534291593623</v>
      </c>
      <c r="O25" s="35" t="s">
        <v>217</v>
      </c>
      <c r="P25">
        <v>1</v>
      </c>
      <c r="Q25">
        <v>2717.4</v>
      </c>
      <c r="R25">
        <v>2460.8000000000002</v>
      </c>
      <c r="S25">
        <f>S24</f>
        <v>2</v>
      </c>
      <c r="T25" s="44">
        <f t="shared" si="5"/>
        <v>30.235326842837274</v>
      </c>
      <c r="U25" s="44">
        <f t="shared" si="14"/>
        <v>75.396776763282077</v>
      </c>
      <c r="V25" s="14">
        <f t="shared" si="15"/>
        <v>1.0563210360611937</v>
      </c>
      <c r="W25" s="14">
        <f t="shared" si="6"/>
        <v>28.623236507320406</v>
      </c>
      <c r="X25" s="14">
        <f t="shared" si="6"/>
        <v>71.376763492679586</v>
      </c>
      <c r="Y25" s="45">
        <f t="shared" ref="Y25" si="22">AVERAGE(X25:X27)</f>
        <v>69.69752730621714</v>
      </c>
      <c r="Z25" s="45">
        <f t="shared" ref="Z25" si="23">_xlfn.STDEV.S(X25:X27)</f>
        <v>4.3325905159645091</v>
      </c>
      <c r="AC25" s="35" t="s">
        <v>217</v>
      </c>
      <c r="AD25">
        <v>1</v>
      </c>
      <c r="AE25">
        <v>5419.3</v>
      </c>
      <c r="AF25">
        <v>333.6</v>
      </c>
      <c r="AG25">
        <v>4</v>
      </c>
      <c r="AH25" s="44">
        <f t="shared" si="0"/>
        <v>120.59638386648123</v>
      </c>
      <c r="AI25" s="44">
        <f t="shared" si="1"/>
        <v>20.442429070408728</v>
      </c>
      <c r="AJ25" s="14">
        <f t="shared" si="7"/>
        <v>0.70519406468444989</v>
      </c>
      <c r="AK25" s="14">
        <f t="shared" si="8"/>
        <v>171.0116263108992</v>
      </c>
      <c r="AL25" s="14">
        <f t="shared" si="8"/>
        <v>28.988373689100762</v>
      </c>
      <c r="AM25" s="44">
        <f t="shared" si="9"/>
        <v>14.494186844550383</v>
      </c>
      <c r="AN25" s="45">
        <f t="shared" ref="AN25" si="24">AVERAGE(AM25:AM27)</f>
        <v>10.152393201768223</v>
      </c>
      <c r="AO25" s="45">
        <f>_xlfn.STDEV.S(AM25:AM27)</f>
        <v>3.8315451167693659</v>
      </c>
    </row>
    <row r="26" spans="1:51" x14ac:dyDescent="0.35">
      <c r="A26" s="35"/>
      <c r="B26">
        <v>2</v>
      </c>
      <c r="C26">
        <v>38.9</v>
      </c>
      <c r="D26">
        <v>3796.73</v>
      </c>
      <c r="E26">
        <f t="shared" ref="E26:E33" si="25">E25</f>
        <v>2</v>
      </c>
      <c r="F26" s="44">
        <f t="shared" si="2"/>
        <v>0.4328233657858136</v>
      </c>
      <c r="G26" s="44">
        <f t="shared" si="3"/>
        <v>116.32851277651818</v>
      </c>
      <c r="H26" s="14">
        <f t="shared" si="13"/>
        <v>1.16761336142304</v>
      </c>
      <c r="I26" s="14">
        <f t="shared" si="4"/>
        <v>0.37069065847131621</v>
      </c>
      <c r="J26" s="14">
        <f t="shared" si="4"/>
        <v>99.629309341528682</v>
      </c>
      <c r="K26" s="45"/>
      <c r="L26" s="45"/>
      <c r="N26" s="25"/>
      <c r="O26" s="35"/>
      <c r="P26">
        <v>2</v>
      </c>
      <c r="Q26">
        <v>2502.6</v>
      </c>
      <c r="R26">
        <v>2449.6</v>
      </c>
      <c r="S26">
        <f t="shared" ref="S26:S33" si="26">S25</f>
        <v>2</v>
      </c>
      <c r="T26" s="44">
        <f t="shared" si="5"/>
        <v>27.845340751043114</v>
      </c>
      <c r="U26" s="44">
        <f t="shared" si="14"/>
        <v>75.053618481524609</v>
      </c>
      <c r="V26" s="14">
        <f t="shared" si="15"/>
        <v>1.0289895923256771</v>
      </c>
      <c r="W26" s="14">
        <f t="shared" si="6"/>
        <v>27.060857523454924</v>
      </c>
      <c r="X26" s="14">
        <f t="shared" si="6"/>
        <v>72.939142476545086</v>
      </c>
      <c r="Y26" s="45"/>
      <c r="Z26" s="45"/>
      <c r="AC26" s="35"/>
      <c r="AD26">
        <v>2</v>
      </c>
      <c r="AE26">
        <v>6864</v>
      </c>
      <c r="AF26">
        <v>194.7</v>
      </c>
      <c r="AG26">
        <v>4</v>
      </c>
      <c r="AH26" s="44">
        <f t="shared" si="0"/>
        <v>152.74547983310154</v>
      </c>
      <c r="AI26" s="44">
        <f t="shared" si="1"/>
        <v>11.930878117531712</v>
      </c>
      <c r="AJ26" s="14">
        <f t="shared" si="7"/>
        <v>0.82338178975316623</v>
      </c>
      <c r="AK26" s="14">
        <f t="shared" si="8"/>
        <v>185.50990771716198</v>
      </c>
      <c r="AL26" s="14">
        <f t="shared" si="8"/>
        <v>14.490092282838022</v>
      </c>
      <c r="AM26" s="44">
        <f t="shared" si="9"/>
        <v>7.245046141419011</v>
      </c>
      <c r="AN26" s="35"/>
      <c r="AO26" s="45"/>
    </row>
    <row r="27" spans="1:51" x14ac:dyDescent="0.35">
      <c r="A27" s="35"/>
      <c r="B27">
        <v>3</v>
      </c>
      <c r="C27">
        <v>66</v>
      </c>
      <c r="D27">
        <v>3454.01</v>
      </c>
      <c r="E27">
        <f t="shared" si="25"/>
        <v>2</v>
      </c>
      <c r="F27" s="44">
        <f t="shared" si="2"/>
        <v>0.73435326842837279</v>
      </c>
      <c r="G27" s="44">
        <f t="shared" si="3"/>
        <v>105.82786935473989</v>
      </c>
      <c r="H27" s="14">
        <f t="shared" si="13"/>
        <v>1.0656222262316826</v>
      </c>
      <c r="I27" s="14">
        <f t="shared" si="4"/>
        <v>0.68913096062686019</v>
      </c>
      <c r="J27" s="14">
        <f t="shared" si="4"/>
        <v>99.310869039373145</v>
      </c>
      <c r="K27" s="45"/>
      <c r="L27" s="45"/>
      <c r="O27" s="35"/>
      <c r="P27">
        <v>3</v>
      </c>
      <c r="Q27">
        <v>3236.4</v>
      </c>
      <c r="R27">
        <v>2161.4</v>
      </c>
      <c r="S27">
        <f t="shared" si="26"/>
        <v>2</v>
      </c>
      <c r="T27" s="44">
        <f t="shared" si="5"/>
        <v>36.010013908205842</v>
      </c>
      <c r="U27" s="44">
        <f t="shared" si="14"/>
        <v>66.223420552729948</v>
      </c>
      <c r="V27" s="14">
        <f t="shared" si="15"/>
        <v>1.022334344609358</v>
      </c>
      <c r="W27" s="14">
        <f t="shared" si="6"/>
        <v>35.223324050573254</v>
      </c>
      <c r="X27" s="14">
        <f t="shared" si="6"/>
        <v>64.776675949426732</v>
      </c>
      <c r="Y27" s="45"/>
      <c r="Z27" s="45"/>
      <c r="AC27" s="35"/>
      <c r="AD27">
        <v>3</v>
      </c>
      <c r="AE27">
        <v>6768.8</v>
      </c>
      <c r="AF27">
        <v>242.2</v>
      </c>
      <c r="AG27">
        <v>4</v>
      </c>
      <c r="AH27" s="44">
        <f>(AE33/AD$11)*AG27</f>
        <v>155.40027816411683</v>
      </c>
      <c r="AI27" s="44">
        <f t="shared" si="1"/>
        <v>14.841595686010173</v>
      </c>
      <c r="AJ27" s="14">
        <f t="shared" si="7"/>
        <v>0.85120936925063506</v>
      </c>
      <c r="AK27" s="14">
        <f t="shared" si="8"/>
        <v>182.56410676132944</v>
      </c>
      <c r="AL27" s="14">
        <f t="shared" si="8"/>
        <v>17.435893238670552</v>
      </c>
      <c r="AM27" s="44">
        <f t="shared" si="9"/>
        <v>8.7179466193352759</v>
      </c>
      <c r="AN27" s="35"/>
      <c r="AO27" s="45"/>
    </row>
    <row r="28" spans="1:51" x14ac:dyDescent="0.35">
      <c r="A28" s="35" t="s">
        <v>218</v>
      </c>
      <c r="B28">
        <v>1</v>
      </c>
      <c r="C28">
        <v>0</v>
      </c>
      <c r="D28">
        <v>3285.09</v>
      </c>
      <c r="E28">
        <f t="shared" si="25"/>
        <v>2</v>
      </c>
      <c r="F28" s="44">
        <f t="shared" si="2"/>
        <v>0</v>
      </c>
      <c r="G28" s="44">
        <f t="shared" si="3"/>
        <v>100.65230712666218</v>
      </c>
      <c r="H28" s="14">
        <f t="shared" si="13"/>
        <v>1.0065230712666218</v>
      </c>
      <c r="I28" s="14">
        <f t="shared" si="4"/>
        <v>0</v>
      </c>
      <c r="J28" s="14">
        <f t="shared" si="4"/>
        <v>100</v>
      </c>
      <c r="K28" s="45">
        <f t="shared" ref="K28" si="27">AVERAGE(J28:J30)</f>
        <v>99.912273445418577</v>
      </c>
      <c r="L28" s="45">
        <f t="shared" ref="L28" si="28">_xlfn.STDEV.S(J28:J30)</f>
        <v>7.906218891988416E-2</v>
      </c>
      <c r="O28" s="35" t="s">
        <v>218</v>
      </c>
      <c r="P28">
        <v>1</v>
      </c>
      <c r="Q28">
        <v>9.8000000000000007</v>
      </c>
      <c r="R28">
        <v>3665.2</v>
      </c>
      <c r="S28">
        <f t="shared" si="26"/>
        <v>2</v>
      </c>
      <c r="T28" s="44">
        <f t="shared" si="5"/>
        <v>0.1090403337969402</v>
      </c>
      <c r="U28" s="44">
        <f t="shared" si="14"/>
        <v>112.298547705129</v>
      </c>
      <c r="V28" s="14">
        <f t="shared" si="15"/>
        <v>1.1240758803892594</v>
      </c>
      <c r="W28" s="14">
        <f t="shared" si="6"/>
        <v>9.7004424433678182E-2</v>
      </c>
      <c r="X28" s="14">
        <f t="shared" si="6"/>
        <v>99.902995575566322</v>
      </c>
      <c r="Y28" s="45">
        <f t="shared" ref="Y28" si="29">AVERAGE(X28:X30)</f>
        <v>99.891889980480002</v>
      </c>
      <c r="Z28" s="45">
        <f t="shared" ref="Z28" si="30">_xlfn.STDEV.S(X28:X30)</f>
        <v>1.1498732762705102E-2</v>
      </c>
      <c r="AC28" s="35" t="s">
        <v>218</v>
      </c>
      <c r="AD28">
        <v>1</v>
      </c>
      <c r="AE28">
        <v>0</v>
      </c>
      <c r="AF28">
        <v>2978.7</v>
      </c>
      <c r="AG28">
        <v>4</v>
      </c>
      <c r="AH28" s="44">
        <f t="shared" ref="AH28:AH34" si="31">(AE28/AD$11)*AG28</f>
        <v>0</v>
      </c>
      <c r="AI28" s="44">
        <f t="shared" si="1"/>
        <v>182.52956676266928</v>
      </c>
      <c r="AJ28" s="14">
        <f t="shared" si="7"/>
        <v>0.91264783381334635</v>
      </c>
      <c r="AK28" s="14">
        <f t="shared" si="8"/>
        <v>0</v>
      </c>
      <c r="AL28" s="14">
        <f t="shared" si="8"/>
        <v>200</v>
      </c>
      <c r="AM28" s="44">
        <f t="shared" si="9"/>
        <v>100</v>
      </c>
      <c r="AN28" s="45">
        <f>AVERAGE(AM28:AM30)</f>
        <v>99.901315586857109</v>
      </c>
      <c r="AO28" s="45">
        <f>_xlfn.STDEV.S(AM28:AM30)</f>
        <v>8.6216623495823042E-2</v>
      </c>
    </row>
    <row r="29" spans="1:51" x14ac:dyDescent="0.35">
      <c r="A29" s="35"/>
      <c r="B29">
        <v>2</v>
      </c>
      <c r="C29">
        <v>11</v>
      </c>
      <c r="D29">
        <v>3637.2</v>
      </c>
      <c r="E29">
        <f t="shared" si="25"/>
        <v>2</v>
      </c>
      <c r="F29" s="44">
        <f t="shared" si="2"/>
        <v>0.12239221140472879</v>
      </c>
      <c r="G29" s="44">
        <f t="shared" si="3"/>
        <v>111.44065200073534</v>
      </c>
      <c r="H29" s="14">
        <f t="shared" si="13"/>
        <v>1.1156304421214007</v>
      </c>
      <c r="I29" s="14">
        <f t="shared" si="4"/>
        <v>0.10970676918065876</v>
      </c>
      <c r="J29" s="14">
        <f t="shared" si="4"/>
        <v>99.890293230819339</v>
      </c>
      <c r="K29" s="45"/>
      <c r="L29" s="45"/>
      <c r="O29" s="35"/>
      <c r="P29">
        <v>2</v>
      </c>
      <c r="Q29">
        <v>10.9</v>
      </c>
      <c r="R29">
        <v>3295.6</v>
      </c>
      <c r="S29">
        <f t="shared" si="26"/>
        <v>2</v>
      </c>
      <c r="T29" s="44">
        <f t="shared" si="5"/>
        <v>0.12127955493741308</v>
      </c>
      <c r="U29" s="44">
        <f t="shared" si="14"/>
        <v>100.9743244071328</v>
      </c>
      <c r="V29" s="14">
        <f t="shared" si="15"/>
        <v>1.0109560396207022</v>
      </c>
      <c r="W29" s="14">
        <f t="shared" si="6"/>
        <v>0.11996521132898678</v>
      </c>
      <c r="X29" s="14">
        <f t="shared" si="6"/>
        <v>99.880034788670997</v>
      </c>
      <c r="Y29" s="45"/>
      <c r="Z29" s="45"/>
      <c r="AC29" s="35"/>
      <c r="AD29">
        <v>2</v>
      </c>
      <c r="AE29">
        <v>12.4</v>
      </c>
      <c r="AF29">
        <v>2820.5</v>
      </c>
      <c r="AG29">
        <v>4</v>
      </c>
      <c r="AH29" s="44">
        <f t="shared" si="31"/>
        <v>0.27593880389429765</v>
      </c>
      <c r="AI29" s="44">
        <f t="shared" si="1"/>
        <v>172.83534530302103</v>
      </c>
      <c r="AJ29" s="14">
        <f t="shared" si="7"/>
        <v>0.8655564205345766</v>
      </c>
      <c r="AK29" s="14">
        <f t="shared" si="8"/>
        <v>0.31879932647703657</v>
      </c>
      <c r="AL29" s="14">
        <f t="shared" si="8"/>
        <v>199.68120067352297</v>
      </c>
      <c r="AM29" s="44">
        <f t="shared" si="9"/>
        <v>99.840600336761483</v>
      </c>
      <c r="AN29" s="35"/>
      <c r="AO29" s="45"/>
    </row>
    <row r="30" spans="1:51" x14ac:dyDescent="0.35">
      <c r="A30" s="35"/>
      <c r="B30">
        <v>3</v>
      </c>
      <c r="C30">
        <v>16.3</v>
      </c>
      <c r="D30">
        <v>3851</v>
      </c>
      <c r="E30">
        <f t="shared" si="25"/>
        <v>2</v>
      </c>
      <c r="F30" s="44">
        <f t="shared" si="2"/>
        <v>0.18136300417246176</v>
      </c>
      <c r="G30" s="44">
        <f t="shared" si="3"/>
        <v>117.99129848642687</v>
      </c>
      <c r="H30" s="14">
        <f t="shared" si="13"/>
        <v>1.1817266149059933</v>
      </c>
      <c r="I30" s="14">
        <f t="shared" si="4"/>
        <v>0.1534728945635952</v>
      </c>
      <c r="J30" s="14">
        <f t="shared" si="4"/>
        <v>99.846527105436408</v>
      </c>
      <c r="K30" s="45"/>
      <c r="L30" s="45"/>
      <c r="O30" s="35"/>
      <c r="P30">
        <v>3</v>
      </c>
      <c r="Q30">
        <v>9.9</v>
      </c>
      <c r="R30">
        <v>3345.1</v>
      </c>
      <c r="S30">
        <f t="shared" si="26"/>
        <v>2</v>
      </c>
      <c r="T30" s="44">
        <f t="shared" si="5"/>
        <v>0.11015299026425591</v>
      </c>
      <c r="U30" s="44">
        <f t="shared" si="14"/>
        <v>102.49096145597157</v>
      </c>
      <c r="V30" s="14">
        <f t="shared" si="15"/>
        <v>1.0260111444623583</v>
      </c>
      <c r="W30" s="14">
        <f t="shared" si="6"/>
        <v>0.10736042279733458</v>
      </c>
      <c r="X30" s="14">
        <f t="shared" si="6"/>
        <v>99.892639577202658</v>
      </c>
      <c r="Y30" s="45"/>
      <c r="Z30" s="45"/>
      <c r="AC30" s="35"/>
      <c r="AD30">
        <v>3</v>
      </c>
      <c r="AE30">
        <v>10.5</v>
      </c>
      <c r="AF30">
        <v>2786.5</v>
      </c>
      <c r="AG30">
        <v>4</v>
      </c>
      <c r="AH30" s="44">
        <f t="shared" si="31"/>
        <v>0.23365785813630041</v>
      </c>
      <c r="AI30" s="44">
        <f t="shared" si="1"/>
        <v>170.75188430663644</v>
      </c>
      <c r="AJ30" s="14">
        <f t="shared" si="7"/>
        <v>0.85492771082386365</v>
      </c>
      <c r="AK30" s="14">
        <f t="shared" si="8"/>
        <v>0.27330715238032532</v>
      </c>
      <c r="AL30" s="14">
        <f t="shared" si="8"/>
        <v>199.72669284761969</v>
      </c>
      <c r="AM30" s="44">
        <f t="shared" si="9"/>
        <v>99.863346423809844</v>
      </c>
      <c r="AN30" s="35"/>
      <c r="AO30" s="45"/>
    </row>
    <row r="31" spans="1:51" x14ac:dyDescent="0.35">
      <c r="A31" s="35" t="s">
        <v>219</v>
      </c>
      <c r="B31">
        <v>1</v>
      </c>
      <c r="C31">
        <v>7.8</v>
      </c>
      <c r="D31">
        <v>3615.39</v>
      </c>
      <c r="E31">
        <f t="shared" si="25"/>
        <v>2</v>
      </c>
      <c r="F31" s="44">
        <f t="shared" si="2"/>
        <v>8.6787204450625863E-2</v>
      </c>
      <c r="G31" s="44">
        <f t="shared" si="3"/>
        <v>110.77241252527729</v>
      </c>
      <c r="H31" s="14">
        <f t="shared" si="13"/>
        <v>1.1085919972972791</v>
      </c>
      <c r="I31" s="14">
        <f t="shared" si="4"/>
        <v>7.8285974156597743E-2</v>
      </c>
      <c r="J31" s="14">
        <f t="shared" si="4"/>
        <v>99.921714025843414</v>
      </c>
      <c r="K31" s="45">
        <f t="shared" ref="K31" si="32">AVERAGE(J31:J33)</f>
        <v>99.875314173608217</v>
      </c>
      <c r="L31" s="45">
        <f>_xlfn.STDEV.S(J31:J33)</f>
        <v>5.5702159741819281E-2</v>
      </c>
      <c r="N31" s="25"/>
      <c r="O31" s="35" t="s">
        <v>219</v>
      </c>
      <c r="P31">
        <v>1</v>
      </c>
      <c r="Q31">
        <v>3415.3</v>
      </c>
      <c r="R31">
        <v>1975.6</v>
      </c>
      <c r="S31">
        <f t="shared" si="26"/>
        <v>2</v>
      </c>
      <c r="T31" s="44">
        <f t="shared" si="5"/>
        <v>38.000556328233657</v>
      </c>
      <c r="U31" s="44">
        <f t="shared" si="14"/>
        <v>60.530669771432073</v>
      </c>
      <c r="V31" s="14">
        <f t="shared" si="15"/>
        <v>0.98531226099665725</v>
      </c>
      <c r="W31" s="14">
        <f t="shared" si="6"/>
        <v>38.567018632038092</v>
      </c>
      <c r="X31" s="14">
        <f t="shared" si="6"/>
        <v>61.432981367961915</v>
      </c>
      <c r="Y31" s="45">
        <f t="shared" ref="Y31" si="33">AVERAGE(X31:X33)</f>
        <v>54.904045758064349</v>
      </c>
      <c r="Z31" s="45">
        <f>_xlfn.STDEV.S(X31:X33)</f>
        <v>7.5521238356314919</v>
      </c>
      <c r="AC31" s="35" t="s">
        <v>219</v>
      </c>
      <c r="AD31">
        <v>1</v>
      </c>
      <c r="AE31">
        <v>5515.4</v>
      </c>
      <c r="AF31">
        <v>0</v>
      </c>
      <c r="AG31">
        <v>4</v>
      </c>
      <c r="AH31" s="44">
        <f t="shared" si="31"/>
        <v>122.73490959666202</v>
      </c>
      <c r="AI31" s="44">
        <f t="shared" si="1"/>
        <v>0</v>
      </c>
      <c r="AJ31" s="14">
        <f t="shared" si="7"/>
        <v>0.61367454798331011</v>
      </c>
      <c r="AK31" s="14">
        <f t="shared" si="8"/>
        <v>200</v>
      </c>
      <c r="AL31" s="14">
        <f t="shared" si="8"/>
        <v>0</v>
      </c>
      <c r="AM31" s="44">
        <f t="shared" si="9"/>
        <v>0</v>
      </c>
      <c r="AN31" s="45">
        <f>AVERAGE(AM31:AM33)</f>
        <v>2.6365432999061951</v>
      </c>
      <c r="AO31" s="45">
        <f>_xlfn.STDEV.S(AM31:AM33)</f>
        <v>2.2852331893268905</v>
      </c>
    </row>
    <row r="32" spans="1:51" x14ac:dyDescent="0.35">
      <c r="A32" s="35"/>
      <c r="B32">
        <v>2</v>
      </c>
      <c r="C32">
        <v>11.8</v>
      </c>
      <c r="D32">
        <v>3915.87</v>
      </c>
      <c r="E32">
        <f t="shared" si="25"/>
        <v>2</v>
      </c>
      <c r="F32" s="44">
        <f t="shared" si="2"/>
        <v>0.13129346314325452</v>
      </c>
      <c r="G32" s="44">
        <f t="shared" si="3"/>
        <v>119.97885899871316</v>
      </c>
      <c r="H32" s="14">
        <f t="shared" si="13"/>
        <v>1.2011015246185641</v>
      </c>
      <c r="I32" s="14">
        <f t="shared" si="4"/>
        <v>0.10931087876601406</v>
      </c>
      <c r="J32" s="14">
        <f t="shared" si="4"/>
        <v>99.89068912123399</v>
      </c>
      <c r="K32" s="45"/>
      <c r="L32" s="45"/>
      <c r="N32" s="25"/>
      <c r="O32" s="35"/>
      <c r="P32">
        <v>2</v>
      </c>
      <c r="Q32">
        <v>4352.6000000000004</v>
      </c>
      <c r="R32">
        <v>1381.2</v>
      </c>
      <c r="S32">
        <f t="shared" si="26"/>
        <v>2</v>
      </c>
      <c r="T32" s="44">
        <f t="shared" si="5"/>
        <v>48.429485396383868</v>
      </c>
      <c r="U32" s="44">
        <f t="shared" si="14"/>
        <v>42.318769532446844</v>
      </c>
      <c r="V32" s="14">
        <f t="shared" si="15"/>
        <v>0.90748254928830707</v>
      </c>
      <c r="W32" s="14">
        <f t="shared" si="6"/>
        <v>53.366850342593011</v>
      </c>
      <c r="X32" s="14">
        <f t="shared" si="6"/>
        <v>46.633149657406996</v>
      </c>
      <c r="Y32" s="45"/>
      <c r="Z32" s="45"/>
      <c r="AC32" s="35"/>
      <c r="AD32">
        <v>2</v>
      </c>
      <c r="AE32">
        <v>7075.8</v>
      </c>
      <c r="AF32">
        <v>103.2</v>
      </c>
      <c r="AG32">
        <v>4</v>
      </c>
      <c r="AH32" s="44">
        <f t="shared" si="31"/>
        <v>157.45869262865091</v>
      </c>
      <c r="AI32" s="44">
        <f t="shared" si="1"/>
        <v>6.3239169066732037</v>
      </c>
      <c r="AJ32" s="14">
        <f t="shared" si="7"/>
        <v>0.81891304767662054</v>
      </c>
      <c r="AK32" s="14">
        <f t="shared" si="8"/>
        <v>192.27766986419974</v>
      </c>
      <c r="AL32" s="14">
        <f t="shared" si="8"/>
        <v>7.7223301358002621</v>
      </c>
      <c r="AM32" s="44">
        <f t="shared" si="9"/>
        <v>3.861165067900131</v>
      </c>
      <c r="AN32" s="35"/>
      <c r="AO32" s="45"/>
    </row>
    <row r="33" spans="1:41" x14ac:dyDescent="0.35">
      <c r="A33" s="35"/>
      <c r="B33">
        <v>3</v>
      </c>
      <c r="C33">
        <v>19.2</v>
      </c>
      <c r="D33">
        <v>3732.4</v>
      </c>
      <c r="E33">
        <f t="shared" si="25"/>
        <v>2</v>
      </c>
      <c r="F33" s="44">
        <f t="shared" si="2"/>
        <v>0.21363004172461753</v>
      </c>
      <c r="G33" s="44">
        <f t="shared" si="3"/>
        <v>114.35749739567376</v>
      </c>
      <c r="H33" s="14">
        <f t="shared" si="13"/>
        <v>1.1457112743739837</v>
      </c>
      <c r="I33" s="14">
        <f t="shared" si="4"/>
        <v>0.18646062625275719</v>
      </c>
      <c r="J33" s="14">
        <f t="shared" si="4"/>
        <v>99.813539373747247</v>
      </c>
      <c r="K33" s="45"/>
      <c r="L33" s="45"/>
      <c r="N33" s="25"/>
      <c r="O33" s="35"/>
      <c r="P33">
        <v>3</v>
      </c>
      <c r="Q33">
        <v>3858.9</v>
      </c>
      <c r="R33">
        <v>1831</v>
      </c>
      <c r="S33">
        <f t="shared" si="26"/>
        <v>2</v>
      </c>
      <c r="T33" s="44">
        <f t="shared" si="5"/>
        <v>42.936300417246173</v>
      </c>
      <c r="U33" s="44">
        <f t="shared" si="14"/>
        <v>56.100251240884859</v>
      </c>
      <c r="V33" s="14">
        <f t="shared" si="15"/>
        <v>0.99036551658131033</v>
      </c>
      <c r="W33" s="14">
        <f t="shared" si="6"/>
        <v>43.35399375117585</v>
      </c>
      <c r="X33" s="14">
        <f t="shared" si="6"/>
        <v>56.646006248824143</v>
      </c>
      <c r="Y33" s="45"/>
      <c r="Z33" s="45"/>
      <c r="AC33" s="35"/>
      <c r="AD33">
        <v>3</v>
      </c>
      <c r="AE33">
        <v>6983.3</v>
      </c>
      <c r="AF33">
        <v>107</v>
      </c>
      <c r="AG33">
        <v>4</v>
      </c>
      <c r="AH33" s="44">
        <f t="shared" si="31"/>
        <v>155.40027816411683</v>
      </c>
      <c r="AI33" s="44">
        <f t="shared" si="1"/>
        <v>6.5567743121514805</v>
      </c>
      <c r="AJ33" s="14">
        <f t="shared" si="7"/>
        <v>0.80978526238134152</v>
      </c>
      <c r="AK33" s="14">
        <f t="shared" si="8"/>
        <v>191.9030703363631</v>
      </c>
      <c r="AL33" s="14">
        <f t="shared" si="8"/>
        <v>8.0969296636369084</v>
      </c>
      <c r="AM33" s="44">
        <f t="shared" si="9"/>
        <v>4.0484648318184542</v>
      </c>
      <c r="AN33" s="35"/>
      <c r="AO33" s="45"/>
    </row>
    <row r="34" spans="1:41" x14ac:dyDescent="0.35">
      <c r="A34" s="35" t="s">
        <v>220</v>
      </c>
      <c r="B34">
        <v>1</v>
      </c>
      <c r="C34">
        <v>8522.4</v>
      </c>
      <c r="D34">
        <v>0</v>
      </c>
      <c r="E34">
        <v>2</v>
      </c>
      <c r="F34" s="44">
        <f>(C34/B$11)*E34</f>
        <v>94.825034770514605</v>
      </c>
      <c r="G34" s="44">
        <f t="shared" si="3"/>
        <v>0</v>
      </c>
      <c r="H34" s="14">
        <f t="shared" si="13"/>
        <v>0.94825034770514605</v>
      </c>
      <c r="I34" s="14">
        <f t="shared" si="4"/>
        <v>100</v>
      </c>
      <c r="J34" s="14">
        <f t="shared" si="4"/>
        <v>0</v>
      </c>
      <c r="K34" s="22"/>
      <c r="N34" s="25"/>
      <c r="O34" s="25" t="s">
        <v>220</v>
      </c>
      <c r="P34">
        <v>1</v>
      </c>
      <c r="Q34">
        <v>7582.6</v>
      </c>
      <c r="R34">
        <v>0</v>
      </c>
      <c r="S34">
        <v>2</v>
      </c>
      <c r="T34" s="44">
        <f>(Q34/P$11)*S34</f>
        <v>84.368289290681503</v>
      </c>
      <c r="U34" s="44">
        <f>(R34/P$12)*S34</f>
        <v>0</v>
      </c>
      <c r="V34" s="14">
        <f t="shared" si="15"/>
        <v>0.84368289290681497</v>
      </c>
      <c r="W34" s="14">
        <f t="shared" si="6"/>
        <v>100</v>
      </c>
      <c r="X34" s="14">
        <f t="shared" si="6"/>
        <v>0</v>
      </c>
      <c r="Y34" s="22"/>
      <c r="AC34" s="25" t="s">
        <v>220</v>
      </c>
      <c r="AD34">
        <v>1</v>
      </c>
      <c r="AE34">
        <v>8153.6</v>
      </c>
      <c r="AF34">
        <v>0</v>
      </c>
      <c r="AG34">
        <v>4</v>
      </c>
      <c r="AH34" s="44">
        <f t="shared" si="31"/>
        <v>181.44311543810849</v>
      </c>
      <c r="AI34" s="44">
        <f t="shared" si="1"/>
        <v>0</v>
      </c>
      <c r="AJ34" s="14">
        <f t="shared" si="7"/>
        <v>0.90721557719054247</v>
      </c>
      <c r="AK34" s="14">
        <f t="shared" si="8"/>
        <v>200</v>
      </c>
      <c r="AL34" s="14">
        <f t="shared" si="8"/>
        <v>0</v>
      </c>
      <c r="AM34" s="44">
        <f t="shared" si="9"/>
        <v>0</v>
      </c>
    </row>
    <row r="35" spans="1:41" x14ac:dyDescent="0.35">
      <c r="A35" s="35"/>
      <c r="B35">
        <v>2</v>
      </c>
      <c r="C35">
        <v>9214.2000000000007</v>
      </c>
      <c r="D35">
        <v>0</v>
      </c>
      <c r="E35">
        <v>2</v>
      </c>
      <c r="F35" s="44">
        <f>(C35/B$11)*E35</f>
        <v>102.52239221140474</v>
      </c>
      <c r="G35" s="44">
        <f t="shared" si="3"/>
        <v>0</v>
      </c>
      <c r="H35" s="14">
        <f t="shared" si="13"/>
        <v>1.0252239221140473</v>
      </c>
      <c r="I35" s="14">
        <f t="shared" si="4"/>
        <v>100</v>
      </c>
      <c r="J35" s="14">
        <f t="shared" si="4"/>
        <v>0</v>
      </c>
      <c r="N35" s="25"/>
    </row>
    <row r="36" spans="1:41" x14ac:dyDescent="0.35">
      <c r="A36" s="35"/>
      <c r="B36">
        <v>3</v>
      </c>
      <c r="C36">
        <v>9021.1</v>
      </c>
      <c r="D36">
        <v>0</v>
      </c>
      <c r="E36">
        <v>2</v>
      </c>
      <c r="F36" s="44">
        <f t="shared" si="2"/>
        <v>100.37385257301808</v>
      </c>
      <c r="G36" s="44">
        <f t="shared" si="3"/>
        <v>0</v>
      </c>
      <c r="H36" s="14">
        <f t="shared" si="13"/>
        <v>1.0037385257301807</v>
      </c>
      <c r="I36" s="14">
        <f t="shared" ref="I36:J36" si="34">F36/$H36</f>
        <v>100.00000000000001</v>
      </c>
      <c r="J36" s="14">
        <f t="shared" si="34"/>
        <v>0</v>
      </c>
      <c r="N36" s="25"/>
      <c r="AC36" s="42" t="s">
        <v>197</v>
      </c>
      <c r="AD36" s="42" t="s">
        <v>209</v>
      </c>
      <c r="AE36" s="42" t="s">
        <v>211</v>
      </c>
    </row>
    <row r="37" spans="1:41" x14ac:dyDescent="0.35">
      <c r="G37" s="44"/>
      <c r="N37" s="25"/>
      <c r="O37" s="42" t="s">
        <v>197</v>
      </c>
      <c r="P37" s="42" t="s">
        <v>209</v>
      </c>
      <c r="Q37" s="42" t="s">
        <v>211</v>
      </c>
      <c r="AC37" s="40" t="s">
        <v>214</v>
      </c>
      <c r="AD37" s="47">
        <f>AN16</f>
        <v>40.077373894007479</v>
      </c>
      <c r="AE37" s="47">
        <f>AO16</f>
        <v>1.4929829617866985</v>
      </c>
    </row>
    <row r="38" spans="1:41" x14ac:dyDescent="0.35">
      <c r="N38" s="25"/>
      <c r="O38" s="40" t="s">
        <v>214</v>
      </c>
      <c r="P38" s="47">
        <f>Y16</f>
        <v>92.786666433338794</v>
      </c>
      <c r="Q38" s="49">
        <f>Z16</f>
        <v>1.1108385331177901</v>
      </c>
      <c r="AC38" s="40" t="s">
        <v>215</v>
      </c>
      <c r="AD38" s="47">
        <f>AN19</f>
        <v>96.174642319705598</v>
      </c>
      <c r="AE38" s="47">
        <f>AO19</f>
        <v>3.0623606210344931</v>
      </c>
    </row>
    <row r="39" spans="1:41" x14ac:dyDescent="0.35">
      <c r="A39" s="42" t="s">
        <v>197</v>
      </c>
      <c r="B39" s="42" t="s">
        <v>209</v>
      </c>
      <c r="C39" s="42" t="s">
        <v>211</v>
      </c>
      <c r="N39" s="25"/>
      <c r="O39" s="40" t="s">
        <v>215</v>
      </c>
      <c r="P39" s="47">
        <f>Y19</f>
        <v>97.9106974743123</v>
      </c>
      <c r="Q39" s="49">
        <f>Z19</f>
        <v>2.0321008991496328</v>
      </c>
      <c r="AC39" s="40" t="s">
        <v>216</v>
      </c>
      <c r="AD39" s="47">
        <f>AN22</f>
        <v>83.174579300111944</v>
      </c>
      <c r="AE39" s="47">
        <f>AO22</f>
        <v>5.8950061993886811</v>
      </c>
    </row>
    <row r="40" spans="1:41" x14ac:dyDescent="0.35">
      <c r="A40" s="40" t="s">
        <v>214</v>
      </c>
      <c r="B40" s="47">
        <f>K16</f>
        <v>99.877956307297623</v>
      </c>
      <c r="C40" s="49">
        <f>L16</f>
        <v>0.10621574653152717</v>
      </c>
      <c r="N40" s="25"/>
      <c r="O40" s="40" t="s">
        <v>216</v>
      </c>
      <c r="P40" s="47">
        <f>Y22</f>
        <v>95.39192917786697</v>
      </c>
      <c r="Q40" s="49">
        <f>Z22</f>
        <v>1.0679087578617434</v>
      </c>
      <c r="AC40" s="40" t="s">
        <v>217</v>
      </c>
      <c r="AD40" s="47">
        <f>AN25</f>
        <v>10.152393201768223</v>
      </c>
      <c r="AE40" s="47">
        <f>AO25</f>
        <v>3.8315451167693659</v>
      </c>
    </row>
    <row r="41" spans="1:41" x14ac:dyDescent="0.35">
      <c r="A41" s="40" t="s">
        <v>215</v>
      </c>
      <c r="B41" s="47">
        <f>K19</f>
        <v>99.873446279469547</v>
      </c>
      <c r="C41" s="49">
        <f>L19</f>
        <v>0.11322655078942487</v>
      </c>
      <c r="N41" s="25"/>
      <c r="O41" s="40" t="s">
        <v>217</v>
      </c>
      <c r="P41" s="47">
        <f>Y25</f>
        <v>69.69752730621714</v>
      </c>
      <c r="Q41" s="49">
        <f>Z25</f>
        <v>4.3325905159645091</v>
      </c>
      <c r="AC41" s="40" t="s">
        <v>218</v>
      </c>
      <c r="AD41" s="47">
        <f>AN28</f>
        <v>99.901315586857109</v>
      </c>
      <c r="AE41" s="47">
        <f>AO28</f>
        <v>8.6216623495823042E-2</v>
      </c>
    </row>
    <row r="42" spans="1:41" x14ac:dyDescent="0.35">
      <c r="A42" s="40" t="s">
        <v>216</v>
      </c>
      <c r="B42" s="47">
        <f>K22</f>
        <v>99.890171447018091</v>
      </c>
      <c r="C42" s="49">
        <f>L22</f>
        <v>9.557115696541868E-2</v>
      </c>
      <c r="N42" s="25"/>
      <c r="O42" s="40" t="s">
        <v>218</v>
      </c>
      <c r="P42" s="47">
        <f>Y28</f>
        <v>99.891889980480002</v>
      </c>
      <c r="Q42" s="49">
        <f>Z28</f>
        <v>1.1498732762705102E-2</v>
      </c>
      <c r="AC42" s="40" t="s">
        <v>219</v>
      </c>
      <c r="AD42" s="47">
        <f>AN31</f>
        <v>2.6365432999061951</v>
      </c>
      <c r="AE42" s="47">
        <f>AO31</f>
        <v>2.2852331893268905</v>
      </c>
    </row>
    <row r="43" spans="1:41" x14ac:dyDescent="0.35">
      <c r="A43" s="40" t="s">
        <v>217</v>
      </c>
      <c r="B43" s="47">
        <f>K25</f>
        <v>99.497736419038517</v>
      </c>
      <c r="C43" s="49">
        <f>L25</f>
        <v>0.16626534291593623</v>
      </c>
      <c r="N43" s="25"/>
      <c r="O43" s="40" t="s">
        <v>219</v>
      </c>
      <c r="P43" s="47">
        <f>Y31</f>
        <v>54.904045758064349</v>
      </c>
      <c r="Q43" s="49">
        <f>Z31</f>
        <v>7.5521238356314919</v>
      </c>
    </row>
    <row r="44" spans="1:41" x14ac:dyDescent="0.35">
      <c r="A44" s="40" t="s">
        <v>218</v>
      </c>
      <c r="B44" s="47">
        <f>K28</f>
        <v>99.912273445418577</v>
      </c>
      <c r="C44" s="49">
        <f>L28</f>
        <v>7.906218891988416E-2</v>
      </c>
      <c r="N44" s="25"/>
    </row>
    <row r="45" spans="1:41" x14ac:dyDescent="0.35">
      <c r="A45" s="40" t="s">
        <v>219</v>
      </c>
      <c r="B45" s="47">
        <f>K31</f>
        <v>99.875314173608217</v>
      </c>
      <c r="C45" s="49">
        <f>L31</f>
        <v>5.5702159741819281E-2</v>
      </c>
      <c r="N45" s="25"/>
    </row>
  </sheetData>
  <mergeCells count="61">
    <mergeCell ref="AN31:AN33"/>
    <mergeCell ref="AO31:AO33"/>
    <mergeCell ref="A34:A36"/>
    <mergeCell ref="AC28:AC30"/>
    <mergeCell ref="AN28:AN30"/>
    <mergeCell ref="AO28:AO30"/>
    <mergeCell ref="A31:A33"/>
    <mergeCell ref="K31:K33"/>
    <mergeCell ref="L31:L33"/>
    <mergeCell ref="O31:O33"/>
    <mergeCell ref="Y31:Y33"/>
    <mergeCell ref="Z31:Z33"/>
    <mergeCell ref="AC31:AC33"/>
    <mergeCell ref="A28:A30"/>
    <mergeCell ref="K28:K30"/>
    <mergeCell ref="L28:L30"/>
    <mergeCell ref="O28:O30"/>
    <mergeCell ref="Y28:Y30"/>
    <mergeCell ref="Z28:Z30"/>
    <mergeCell ref="AO22:AO24"/>
    <mergeCell ref="A25:A27"/>
    <mergeCell ref="K25:K27"/>
    <mergeCell ref="L25:L27"/>
    <mergeCell ref="O25:O27"/>
    <mergeCell ref="Y25:Y27"/>
    <mergeCell ref="Z25:Z27"/>
    <mergeCell ref="AC25:AC27"/>
    <mergeCell ref="AN25:AN27"/>
    <mergeCell ref="AO25:AO27"/>
    <mergeCell ref="AN19:AN21"/>
    <mergeCell ref="AO19:AO21"/>
    <mergeCell ref="A22:A24"/>
    <mergeCell ref="K22:K24"/>
    <mergeCell ref="L22:L24"/>
    <mergeCell ref="O22:O24"/>
    <mergeCell ref="Y22:Y24"/>
    <mergeCell ref="Z22:Z24"/>
    <mergeCell ref="AC22:AC24"/>
    <mergeCell ref="AN22:AN24"/>
    <mergeCell ref="AC16:AC18"/>
    <mergeCell ref="AN16:AN18"/>
    <mergeCell ref="AO16:AO18"/>
    <mergeCell ref="A19:A21"/>
    <mergeCell ref="K19:K21"/>
    <mergeCell ref="L19:L21"/>
    <mergeCell ref="O19:O21"/>
    <mergeCell ref="Y19:Y21"/>
    <mergeCell ref="Z19:Z21"/>
    <mergeCell ref="AC19:AC21"/>
    <mergeCell ref="A16:A18"/>
    <mergeCell ref="K16:K18"/>
    <mergeCell ref="L16:L18"/>
    <mergeCell ref="O16:O18"/>
    <mergeCell ref="Y16:Y18"/>
    <mergeCell ref="Z16:Z18"/>
    <mergeCell ref="A5:B5"/>
    <mergeCell ref="O5:P5"/>
    <mergeCell ref="AC5:AD5"/>
    <mergeCell ref="A10:B10"/>
    <mergeCell ref="O10:P10"/>
    <mergeCell ref="AC10:AD10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67"/>
  <sheetViews>
    <sheetView tabSelected="1" zoomScale="46" zoomScaleNormal="85" workbookViewId="0">
      <selection activeCell="D16" sqref="D16"/>
    </sheetView>
  </sheetViews>
  <sheetFormatPr defaultRowHeight="14.5" x14ac:dyDescent="0.35"/>
  <cols>
    <col min="1" max="1" width="24.90625" bestFit="1" customWidth="1"/>
    <col min="2" max="2" width="15.81640625" bestFit="1" customWidth="1"/>
    <col min="3" max="3" width="19.54296875" bestFit="1" customWidth="1"/>
    <col min="4" max="4" width="20.08984375" bestFit="1" customWidth="1"/>
    <col min="5" max="5" width="19.6328125" bestFit="1" customWidth="1"/>
    <col min="6" max="6" width="17" bestFit="1" customWidth="1"/>
    <col min="7" max="7" width="22.26953125" style="14" customWidth="1"/>
    <col min="8" max="8" width="12.90625" bestFit="1" customWidth="1"/>
    <col min="9" max="9" width="10.26953125" bestFit="1" customWidth="1"/>
    <col min="10" max="10" width="11.26953125" customWidth="1"/>
    <col min="12" max="12" width="15.54296875" bestFit="1" customWidth="1"/>
    <col min="14" max="14" width="20.08984375" bestFit="1" customWidth="1"/>
    <col min="15" max="15" width="42.1796875" bestFit="1" customWidth="1"/>
  </cols>
  <sheetData>
    <row r="1" spans="1:18" x14ac:dyDescent="0.35">
      <c r="C1" t="s">
        <v>85</v>
      </c>
      <c r="D1" t="s">
        <v>183</v>
      </c>
      <c r="E1" t="s">
        <v>57</v>
      </c>
      <c r="F1" t="s">
        <v>86</v>
      </c>
      <c r="G1" s="14" t="s">
        <v>162</v>
      </c>
      <c r="H1" t="s">
        <v>88</v>
      </c>
      <c r="I1" t="s">
        <v>163</v>
      </c>
    </row>
    <row r="2" spans="1:18" x14ac:dyDescent="0.35">
      <c r="A2" s="36" t="s">
        <v>45</v>
      </c>
      <c r="B2" t="s">
        <v>8</v>
      </c>
      <c r="C2">
        <v>1178.81</v>
      </c>
      <c r="D2" t="s">
        <v>46</v>
      </c>
      <c r="E2" t="s">
        <v>46</v>
      </c>
      <c r="F2">
        <f>(C2-$Q$20)/$O$20</f>
        <v>16.118177290231667</v>
      </c>
      <c r="G2" s="15">
        <f>F2/$O$22</f>
        <v>0.57564918893684525</v>
      </c>
      <c r="H2" t="s">
        <v>84</v>
      </c>
      <c r="I2" s="9">
        <v>0.57564918893684525</v>
      </c>
      <c r="N2" t="s">
        <v>50</v>
      </c>
      <c r="O2" t="s">
        <v>51</v>
      </c>
    </row>
    <row r="3" spans="1:18" x14ac:dyDescent="0.35">
      <c r="A3" s="36"/>
      <c r="B3" t="s">
        <v>9</v>
      </c>
      <c r="C3">
        <v>1317.5</v>
      </c>
      <c r="D3" t="s">
        <v>46</v>
      </c>
      <c r="E3" t="s">
        <v>46</v>
      </c>
      <c r="F3">
        <f t="shared" ref="F3:F46" si="0">(C3-$Q$20)/$O$20</f>
        <v>17.803005454523369</v>
      </c>
      <c r="G3" s="15">
        <f t="shared" ref="G3:G46" si="1">F3/$O$22</f>
        <v>0.63582162337583459</v>
      </c>
      <c r="H3" t="s">
        <v>84</v>
      </c>
      <c r="I3" s="9">
        <v>0.63582162337583459</v>
      </c>
      <c r="N3" t="s">
        <v>0</v>
      </c>
      <c r="O3" t="s">
        <v>53</v>
      </c>
    </row>
    <row r="4" spans="1:18" x14ac:dyDescent="0.35">
      <c r="A4" s="36"/>
      <c r="B4" t="s">
        <v>10</v>
      </c>
      <c r="C4">
        <v>1118.5999999999999</v>
      </c>
      <c r="D4" t="s">
        <v>46</v>
      </c>
      <c r="E4">
        <v>77.8</v>
      </c>
      <c r="F4">
        <f t="shared" si="0"/>
        <v>15.3867366400622</v>
      </c>
      <c r="G4" s="15">
        <f t="shared" si="1"/>
        <v>0.54952630857365004</v>
      </c>
      <c r="H4" t="s">
        <v>84</v>
      </c>
      <c r="I4" s="9">
        <v>0.54952630857365004</v>
      </c>
      <c r="N4" t="s">
        <v>1</v>
      </c>
      <c r="O4" t="s">
        <v>54</v>
      </c>
      <c r="P4" t="s">
        <v>52</v>
      </c>
    </row>
    <row r="5" spans="1:18" x14ac:dyDescent="0.35">
      <c r="A5" s="36"/>
      <c r="B5" t="s">
        <v>11</v>
      </c>
      <c r="C5">
        <v>2097.6</v>
      </c>
      <c r="D5" t="s">
        <v>46</v>
      </c>
      <c r="E5" t="s">
        <v>46</v>
      </c>
      <c r="F5">
        <f t="shared" si="0"/>
        <v>27.279784248697116</v>
      </c>
      <c r="G5" s="15">
        <f t="shared" si="1"/>
        <v>0.97427800888203986</v>
      </c>
      <c r="H5" t="s">
        <v>84</v>
      </c>
      <c r="I5" s="9">
        <v>0.97427800888203986</v>
      </c>
      <c r="N5" t="s">
        <v>2</v>
      </c>
      <c r="O5" t="s">
        <v>55</v>
      </c>
    </row>
    <row r="6" spans="1:18" x14ac:dyDescent="0.35">
      <c r="A6" s="36"/>
      <c r="B6" t="s">
        <v>12</v>
      </c>
      <c r="C6">
        <v>1255.7</v>
      </c>
      <c r="D6" t="s">
        <v>46</v>
      </c>
      <c r="E6" t="s">
        <v>46</v>
      </c>
      <c r="F6">
        <f t="shared" si="0"/>
        <v>17.052249231628949</v>
      </c>
      <c r="G6" s="15">
        <f t="shared" si="1"/>
        <v>0.60900890112960526</v>
      </c>
      <c r="H6" t="s">
        <v>84</v>
      </c>
      <c r="I6" s="9">
        <v>0.60900890112960526</v>
      </c>
      <c r="N6" t="s">
        <v>3</v>
      </c>
      <c r="O6" t="s">
        <v>56</v>
      </c>
      <c r="P6" t="s">
        <v>52</v>
      </c>
    </row>
    <row r="7" spans="1:18" x14ac:dyDescent="0.35">
      <c r="A7" s="36"/>
      <c r="B7" t="s">
        <v>13</v>
      </c>
      <c r="C7">
        <v>1004.2</v>
      </c>
      <c r="D7" t="s">
        <v>46</v>
      </c>
      <c r="E7" t="s">
        <v>46</v>
      </c>
      <c r="F7">
        <f t="shared" si="0"/>
        <v>13.996987256581267</v>
      </c>
      <c r="G7" s="15">
        <f t="shared" si="1"/>
        <v>0.49989240202075952</v>
      </c>
      <c r="H7" t="s">
        <v>84</v>
      </c>
      <c r="I7" s="9">
        <v>0.49989240202075952</v>
      </c>
    </row>
    <row r="8" spans="1:18" x14ac:dyDescent="0.35">
      <c r="A8" s="36"/>
      <c r="B8" t="s">
        <v>14</v>
      </c>
      <c r="C8">
        <v>790.1</v>
      </c>
      <c r="D8" t="s">
        <v>46</v>
      </c>
      <c r="E8" t="s">
        <v>46</v>
      </c>
      <c r="F8">
        <f t="shared" si="0"/>
        <v>11.396066426133121</v>
      </c>
      <c r="G8" s="15">
        <f t="shared" si="1"/>
        <v>0.40700237236189718</v>
      </c>
      <c r="H8" t="s">
        <v>84</v>
      </c>
      <c r="I8" s="9">
        <v>0.40700237236189718</v>
      </c>
    </row>
    <row r="9" spans="1:18" x14ac:dyDescent="0.35">
      <c r="A9" s="36"/>
      <c r="B9" t="s">
        <v>15</v>
      </c>
      <c r="C9">
        <v>1458.8</v>
      </c>
      <c r="D9" t="s">
        <v>46</v>
      </c>
      <c r="E9">
        <v>57.2</v>
      </c>
      <c r="F9">
        <f t="shared" si="0"/>
        <v>19.519540313665466</v>
      </c>
      <c r="G9" s="15">
        <f t="shared" si="1"/>
        <v>0.69712643977376665</v>
      </c>
      <c r="H9" t="s">
        <v>84</v>
      </c>
      <c r="I9" s="9">
        <v>0.69712643977376665</v>
      </c>
      <c r="N9" t="s">
        <v>58</v>
      </c>
      <c r="O9" t="s">
        <v>59</v>
      </c>
      <c r="P9" t="s">
        <v>60</v>
      </c>
      <c r="Q9" t="s">
        <v>61</v>
      </c>
      <c r="R9" t="s">
        <v>62</v>
      </c>
    </row>
    <row r="10" spans="1:18" x14ac:dyDescent="0.35">
      <c r="A10" s="36"/>
      <c r="B10" t="s">
        <v>16</v>
      </c>
      <c r="C10">
        <v>616.79999999999995</v>
      </c>
      <c r="D10" t="s">
        <v>46</v>
      </c>
      <c r="E10">
        <v>827.5</v>
      </c>
      <c r="F10">
        <f t="shared" si="0"/>
        <v>9.2907904807026505</v>
      </c>
      <c r="G10" s="15">
        <f t="shared" si="1"/>
        <v>0.33181394573938039</v>
      </c>
      <c r="H10" t="s">
        <v>84</v>
      </c>
      <c r="I10" s="9">
        <v>0.33181394573938039</v>
      </c>
      <c r="N10" t="s">
        <v>63</v>
      </c>
      <c r="O10" t="s">
        <v>59</v>
      </c>
      <c r="P10" t="s">
        <v>64</v>
      </c>
      <c r="Q10" t="s">
        <v>65</v>
      </c>
      <c r="R10" t="s">
        <v>62</v>
      </c>
    </row>
    <row r="11" spans="1:18" x14ac:dyDescent="0.35">
      <c r="A11" s="36"/>
      <c r="B11" t="s">
        <v>17</v>
      </c>
      <c r="C11">
        <v>1682.3</v>
      </c>
      <c r="D11" t="s">
        <v>46</v>
      </c>
      <c r="E11">
        <v>30</v>
      </c>
      <c r="F11">
        <f t="shared" si="0"/>
        <v>22.234653838210821</v>
      </c>
      <c r="G11" s="15">
        <f t="shared" si="1"/>
        <v>0.79409477993610078</v>
      </c>
      <c r="H11" t="s">
        <v>84</v>
      </c>
      <c r="I11" s="9">
        <v>0.79409477993610078</v>
      </c>
      <c r="N11" t="s">
        <v>66</v>
      </c>
      <c r="O11" t="s">
        <v>59</v>
      </c>
      <c r="P11" t="s">
        <v>67</v>
      </c>
      <c r="Q11" t="s">
        <v>68</v>
      </c>
      <c r="R11" t="s">
        <v>62</v>
      </c>
    </row>
    <row r="12" spans="1:18" x14ac:dyDescent="0.35">
      <c r="A12" s="36"/>
      <c r="B12" t="s">
        <v>98</v>
      </c>
      <c r="C12">
        <v>763.2</v>
      </c>
      <c r="D12" t="s">
        <v>46</v>
      </c>
      <c r="E12">
        <v>45.5</v>
      </c>
      <c r="F12">
        <f t="shared" si="0"/>
        <v>11.069280950471958</v>
      </c>
      <c r="G12" s="15">
        <f t="shared" si="1"/>
        <v>0.39533146251685564</v>
      </c>
      <c r="H12" t="s">
        <v>84</v>
      </c>
      <c r="I12" s="9">
        <v>0.39533146251685564</v>
      </c>
      <c r="N12" t="s">
        <v>69</v>
      </c>
      <c r="O12" t="s">
        <v>70</v>
      </c>
      <c r="P12" t="s">
        <v>71</v>
      </c>
      <c r="Q12" t="s">
        <v>72</v>
      </c>
      <c r="R12" t="s">
        <v>73</v>
      </c>
    </row>
    <row r="13" spans="1:18" x14ac:dyDescent="0.35">
      <c r="A13" s="36"/>
      <c r="B13" t="s">
        <v>47</v>
      </c>
      <c r="C13">
        <v>38.5</v>
      </c>
      <c r="D13">
        <v>2207.6999999999998</v>
      </c>
      <c r="E13">
        <v>12.2</v>
      </c>
      <c r="F13">
        <f t="shared" si="0"/>
        <v>2.2655101619349591</v>
      </c>
      <c r="G13" s="15">
        <f>F13/$O$22</f>
        <v>8.091107721196282E-2</v>
      </c>
      <c r="H13" s="13"/>
      <c r="I13" s="9">
        <v>8.091107721196282E-2</v>
      </c>
      <c r="N13" t="s">
        <v>74</v>
      </c>
      <c r="O13" t="s">
        <v>70</v>
      </c>
      <c r="P13" t="s">
        <v>75</v>
      </c>
      <c r="Q13" t="s">
        <v>76</v>
      </c>
      <c r="R13" t="s">
        <v>73</v>
      </c>
    </row>
    <row r="14" spans="1:18" x14ac:dyDescent="0.35">
      <c r="A14" s="36"/>
      <c r="B14" t="s">
        <v>19</v>
      </c>
      <c r="C14" t="s">
        <v>46</v>
      </c>
      <c r="D14" t="s">
        <v>46</v>
      </c>
      <c r="E14">
        <v>705.8</v>
      </c>
      <c r="F14" t="e">
        <f>(C14-$Q$20)/$O$20</f>
        <v>#VALUE!</v>
      </c>
      <c r="G14" s="15" t="e">
        <f>F14/$O$22</f>
        <v>#VALUE!</v>
      </c>
      <c r="H14" t="s">
        <v>84</v>
      </c>
      <c r="I14" s="9">
        <v>0.01</v>
      </c>
      <c r="N14" t="s">
        <v>77</v>
      </c>
      <c r="O14" t="s">
        <v>70</v>
      </c>
      <c r="P14" t="s">
        <v>78</v>
      </c>
      <c r="Q14" t="s">
        <v>68</v>
      </c>
      <c r="R14" t="s">
        <v>73</v>
      </c>
    </row>
    <row r="15" spans="1:18" x14ac:dyDescent="0.35">
      <c r="A15" s="36"/>
      <c r="B15" t="s">
        <v>48</v>
      </c>
      <c r="C15" t="s">
        <v>46</v>
      </c>
      <c r="D15">
        <v>997.1</v>
      </c>
      <c r="E15">
        <v>162.5</v>
      </c>
      <c r="F15" t="e">
        <f t="shared" si="0"/>
        <v>#VALUE!</v>
      </c>
      <c r="G15" s="15" t="e">
        <f t="shared" si="1"/>
        <v>#VALUE!</v>
      </c>
      <c r="H15" s="13"/>
      <c r="I15" s="9">
        <v>0.01</v>
      </c>
      <c r="N15" t="s">
        <v>79</v>
      </c>
      <c r="O15" t="s">
        <v>80</v>
      </c>
      <c r="P15" t="s">
        <v>81</v>
      </c>
      <c r="Q15" t="s">
        <v>76</v>
      </c>
    </row>
    <row r="16" spans="1:18" x14ac:dyDescent="0.35">
      <c r="A16" s="36"/>
      <c r="B16" t="s">
        <v>20</v>
      </c>
      <c r="C16">
        <v>1405.1</v>
      </c>
      <c r="E16">
        <v>219.2</v>
      </c>
      <c r="F16">
        <f t="shared" si="0"/>
        <v>18.867184178237789</v>
      </c>
      <c r="G16" s="15">
        <f t="shared" si="1"/>
        <v>0.67382800636563533</v>
      </c>
      <c r="H16" t="s">
        <v>84</v>
      </c>
      <c r="I16" s="9">
        <v>0.67382800636563533</v>
      </c>
      <c r="N16" t="s">
        <v>82</v>
      </c>
      <c r="O16" t="s">
        <v>80</v>
      </c>
      <c r="P16" t="s">
        <v>83</v>
      </c>
      <c r="Q16" t="s">
        <v>76</v>
      </c>
    </row>
    <row r="17" spans="1:17" x14ac:dyDescent="0.35">
      <c r="A17" s="36"/>
      <c r="B17" t="s">
        <v>21</v>
      </c>
      <c r="C17">
        <v>2202.5</v>
      </c>
      <c r="D17" t="s">
        <v>46</v>
      </c>
      <c r="E17">
        <v>26.2</v>
      </c>
      <c r="F17">
        <f t="shared" si="0"/>
        <v>28.554126122186183</v>
      </c>
      <c r="G17" s="15">
        <f t="shared" si="1"/>
        <v>1.0197902186495065</v>
      </c>
      <c r="H17" t="s">
        <v>84</v>
      </c>
      <c r="I17" s="9">
        <v>0.99</v>
      </c>
    </row>
    <row r="18" spans="1:17" x14ac:dyDescent="0.35">
      <c r="A18" s="36"/>
      <c r="B18" t="s">
        <v>22</v>
      </c>
      <c r="C18">
        <v>1275.2</v>
      </c>
      <c r="D18" t="s">
        <v>46</v>
      </c>
      <c r="E18">
        <v>77.400000000000006</v>
      </c>
      <c r="F18">
        <f t="shared" si="0"/>
        <v>17.289138331085926</v>
      </c>
      <c r="G18" s="15">
        <f t="shared" si="1"/>
        <v>0.6174692261102116</v>
      </c>
      <c r="H18" t="s">
        <v>84</v>
      </c>
      <c r="I18" s="9">
        <v>0.6174692261102116</v>
      </c>
    </row>
    <row r="19" spans="1:17" x14ac:dyDescent="0.35">
      <c r="A19" s="36"/>
      <c r="B19" t="s">
        <v>49</v>
      </c>
      <c r="C19">
        <v>38.6</v>
      </c>
      <c r="D19" t="s">
        <v>46</v>
      </c>
      <c r="E19" t="s">
        <v>46</v>
      </c>
      <c r="F19">
        <f t="shared" si="0"/>
        <v>2.2667249778296101</v>
      </c>
      <c r="G19" s="15">
        <f t="shared" si="1"/>
        <v>8.095446349391465E-2</v>
      </c>
      <c r="H19" s="13"/>
      <c r="I19" s="9">
        <v>8.095446349391465E-2</v>
      </c>
      <c r="O19" t="s">
        <v>167</v>
      </c>
    </row>
    <row r="20" spans="1:17" x14ac:dyDescent="0.35">
      <c r="A20" s="36"/>
      <c r="B20" t="s">
        <v>23</v>
      </c>
      <c r="C20" t="s">
        <v>46</v>
      </c>
      <c r="D20">
        <v>3086.7</v>
      </c>
      <c r="E20">
        <v>350.6</v>
      </c>
      <c r="F20" t="e">
        <f t="shared" si="0"/>
        <v>#VALUE!</v>
      </c>
      <c r="G20" s="15" t="e">
        <f t="shared" si="1"/>
        <v>#VALUE!</v>
      </c>
      <c r="H20" s="13"/>
      <c r="I20" s="9">
        <v>0.01</v>
      </c>
      <c r="O20">
        <v>82.316999999999993</v>
      </c>
      <c r="P20" t="s">
        <v>36</v>
      </c>
      <c r="Q20">
        <v>-147.99</v>
      </c>
    </row>
    <row r="21" spans="1:17" x14ac:dyDescent="0.35">
      <c r="A21" s="36"/>
      <c r="B21" t="s">
        <v>24</v>
      </c>
      <c r="C21">
        <v>455</v>
      </c>
      <c r="D21">
        <v>367.9</v>
      </c>
      <c r="E21">
        <v>175.3</v>
      </c>
      <c r="F21">
        <f t="shared" si="0"/>
        <v>7.325218363157064</v>
      </c>
      <c r="G21" s="15">
        <f t="shared" si="1"/>
        <v>0.2616149415413237</v>
      </c>
      <c r="H21" t="s">
        <v>84</v>
      </c>
      <c r="I21" s="9">
        <v>0.2616149415413237</v>
      </c>
    </row>
    <row r="22" spans="1:17" x14ac:dyDescent="0.35">
      <c r="A22" s="36"/>
      <c r="B22" t="s">
        <v>25</v>
      </c>
      <c r="C22">
        <v>326.5</v>
      </c>
      <c r="D22" t="s">
        <v>46</v>
      </c>
      <c r="E22">
        <v>369.6</v>
      </c>
      <c r="F22">
        <f t="shared" si="0"/>
        <v>5.7641799385303161</v>
      </c>
      <c r="G22" s="15">
        <f t="shared" si="1"/>
        <v>0.20586356923322557</v>
      </c>
      <c r="H22" s="13"/>
      <c r="I22" s="9">
        <v>0.20586356923322557</v>
      </c>
      <c r="N22" t="s">
        <v>166</v>
      </c>
      <c r="O22">
        <v>28</v>
      </c>
      <c r="P22" t="s">
        <v>87</v>
      </c>
    </row>
    <row r="23" spans="1:17" x14ac:dyDescent="0.35">
      <c r="A23" s="36"/>
      <c r="B23" t="s">
        <v>26</v>
      </c>
      <c r="C23">
        <v>625.5</v>
      </c>
      <c r="D23">
        <v>36.700000000000003</v>
      </c>
      <c r="E23">
        <v>119.4</v>
      </c>
      <c r="F23">
        <f t="shared" si="0"/>
        <v>9.3964794635373021</v>
      </c>
      <c r="G23" s="15">
        <f t="shared" si="1"/>
        <v>0.33558855226918938</v>
      </c>
      <c r="H23" t="s">
        <v>84</v>
      </c>
      <c r="I23" s="9">
        <v>0.33558855226918938</v>
      </c>
    </row>
    <row r="24" spans="1:17" x14ac:dyDescent="0.35">
      <c r="A24" s="36"/>
      <c r="B24" t="s">
        <v>27</v>
      </c>
      <c r="C24">
        <v>559.4</v>
      </c>
      <c r="D24" t="s">
        <v>46</v>
      </c>
      <c r="E24">
        <v>71.099999999999994</v>
      </c>
      <c r="F24">
        <f t="shared" si="0"/>
        <v>8.5934861571728813</v>
      </c>
      <c r="G24" s="15">
        <f t="shared" si="1"/>
        <v>0.3069102198990315</v>
      </c>
      <c r="H24" t="s">
        <v>84</v>
      </c>
      <c r="I24" s="9">
        <v>0.3069102198990315</v>
      </c>
    </row>
    <row r="25" spans="1:17" x14ac:dyDescent="0.35">
      <c r="A25" s="36"/>
      <c r="B25" t="s">
        <v>28</v>
      </c>
      <c r="C25" t="s">
        <v>46</v>
      </c>
      <c r="D25" t="s">
        <v>46</v>
      </c>
      <c r="E25" t="s">
        <v>46</v>
      </c>
      <c r="F25" t="e">
        <f t="shared" si="0"/>
        <v>#VALUE!</v>
      </c>
      <c r="G25" s="15" t="e">
        <f t="shared" si="1"/>
        <v>#VALUE!</v>
      </c>
      <c r="H25" s="13"/>
      <c r="I25" s="9">
        <v>0.01</v>
      </c>
    </row>
    <row r="26" spans="1:17" x14ac:dyDescent="0.35">
      <c r="A26" s="36"/>
      <c r="B26" t="s">
        <v>29</v>
      </c>
      <c r="C26">
        <v>2052.4</v>
      </c>
      <c r="D26">
        <v>2159.1999999999998</v>
      </c>
      <c r="E26">
        <v>24.5</v>
      </c>
      <c r="F26">
        <f t="shared" si="0"/>
        <v>26.730687464314791</v>
      </c>
      <c r="G26" s="15">
        <f t="shared" si="1"/>
        <v>0.95466740943981399</v>
      </c>
      <c r="H26" t="s">
        <v>84</v>
      </c>
      <c r="I26" s="9">
        <v>0.95466740943981399</v>
      </c>
    </row>
    <row r="27" spans="1:17" x14ac:dyDescent="0.35">
      <c r="A27" s="36"/>
      <c r="B27" t="s">
        <v>30</v>
      </c>
      <c r="C27">
        <v>1723.2</v>
      </c>
      <c r="D27" t="s">
        <v>46</v>
      </c>
      <c r="E27" t="s">
        <v>46</v>
      </c>
      <c r="F27">
        <f t="shared" si="0"/>
        <v>22.731513539123149</v>
      </c>
      <c r="G27" s="15">
        <f t="shared" si="1"/>
        <v>0.81183976925439816</v>
      </c>
      <c r="H27" t="s">
        <v>84</v>
      </c>
      <c r="I27" s="9">
        <v>0.81183976925439816</v>
      </c>
    </row>
    <row r="28" spans="1:17" x14ac:dyDescent="0.35">
      <c r="A28" s="36"/>
      <c r="B28" t="s">
        <v>31</v>
      </c>
      <c r="C28">
        <v>1082.3</v>
      </c>
      <c r="D28" t="s">
        <v>46</v>
      </c>
      <c r="E28" t="s">
        <v>46</v>
      </c>
      <c r="F28">
        <f t="shared" si="0"/>
        <v>14.945758470303826</v>
      </c>
      <c r="G28" s="15">
        <f t="shared" si="1"/>
        <v>0.53377708822513659</v>
      </c>
      <c r="H28" t="s">
        <v>84</v>
      </c>
      <c r="I28" s="9">
        <v>0.53377708822513659</v>
      </c>
    </row>
    <row r="29" spans="1:17" x14ac:dyDescent="0.35">
      <c r="A29" s="36"/>
      <c r="B29" t="s">
        <v>32</v>
      </c>
      <c r="C29">
        <v>969.9</v>
      </c>
      <c r="D29" t="s">
        <v>46</v>
      </c>
      <c r="E29" t="s">
        <v>46</v>
      </c>
      <c r="F29">
        <f t="shared" si="0"/>
        <v>13.580305404715915</v>
      </c>
      <c r="G29" s="15">
        <f t="shared" si="1"/>
        <v>0.48501090731128266</v>
      </c>
      <c r="H29" t="s">
        <v>84</v>
      </c>
      <c r="I29" s="9">
        <v>0.48501090731128266</v>
      </c>
    </row>
    <row r="30" spans="1:17" x14ac:dyDescent="0.35">
      <c r="B30" t="s">
        <v>100</v>
      </c>
      <c r="C30">
        <v>1914.3</v>
      </c>
      <c r="D30" t="s">
        <v>46</v>
      </c>
      <c r="E30" t="s">
        <v>46</v>
      </c>
      <c r="F30">
        <f t="shared" si="0"/>
        <v>25.053026713801525</v>
      </c>
      <c r="G30" s="15">
        <f t="shared" si="1"/>
        <v>0.89475095406434024</v>
      </c>
      <c r="H30" t="s">
        <v>84</v>
      </c>
      <c r="I30" s="9">
        <v>0.89475095406434024</v>
      </c>
    </row>
    <row r="31" spans="1:17" x14ac:dyDescent="0.35">
      <c r="B31" t="s">
        <v>101</v>
      </c>
      <c r="C31">
        <v>353.9</v>
      </c>
      <c r="D31" t="s">
        <v>46</v>
      </c>
      <c r="E31" t="s">
        <v>46</v>
      </c>
      <c r="F31">
        <f t="shared" si="0"/>
        <v>6.0970394936647354</v>
      </c>
      <c r="G31" s="15">
        <f t="shared" si="1"/>
        <v>0.21775141048802626</v>
      </c>
      <c r="H31" t="s">
        <v>84</v>
      </c>
      <c r="I31" s="9">
        <v>0.21775141048802626</v>
      </c>
    </row>
    <row r="32" spans="1:17" x14ac:dyDescent="0.35">
      <c r="B32" t="s">
        <v>102</v>
      </c>
      <c r="C32">
        <v>1956.1</v>
      </c>
      <c r="D32" t="s">
        <v>46</v>
      </c>
      <c r="E32" t="s">
        <v>46</v>
      </c>
      <c r="F32">
        <f t="shared" si="0"/>
        <v>25.560819757765714</v>
      </c>
      <c r="G32" s="15">
        <f t="shared" si="1"/>
        <v>0.91288641992020403</v>
      </c>
      <c r="H32" t="s">
        <v>84</v>
      </c>
      <c r="I32" s="9">
        <v>0.91288641992020403</v>
      </c>
    </row>
    <row r="33" spans="1:9" x14ac:dyDescent="0.35">
      <c r="B33" t="s">
        <v>103</v>
      </c>
      <c r="C33">
        <v>2149.9</v>
      </c>
      <c r="D33" t="s">
        <v>46</v>
      </c>
      <c r="E33" t="s">
        <v>46</v>
      </c>
      <c r="F33">
        <f t="shared" si="0"/>
        <v>27.915132961599674</v>
      </c>
      <c r="G33" s="15">
        <f t="shared" si="1"/>
        <v>0.99696903434284556</v>
      </c>
      <c r="H33" t="s">
        <v>84</v>
      </c>
      <c r="I33" s="9">
        <v>0.99</v>
      </c>
    </row>
    <row r="34" spans="1:9" x14ac:dyDescent="0.35">
      <c r="B34" t="s">
        <v>89</v>
      </c>
      <c r="C34">
        <v>846.9</v>
      </c>
      <c r="D34" t="s">
        <v>46</v>
      </c>
      <c r="F34">
        <f t="shared" si="0"/>
        <v>12.086081854294983</v>
      </c>
      <c r="G34" s="15">
        <f t="shared" si="1"/>
        <v>0.43164578051053509</v>
      </c>
      <c r="H34" t="s">
        <v>84</v>
      </c>
      <c r="I34" s="9">
        <v>0.43164578051053509</v>
      </c>
    </row>
    <row r="35" spans="1:9" x14ac:dyDescent="0.35">
      <c r="B35" t="s">
        <v>90</v>
      </c>
      <c r="C35" t="s">
        <v>46</v>
      </c>
      <c r="D35" t="s">
        <v>46</v>
      </c>
      <c r="F35" t="e">
        <f t="shared" si="0"/>
        <v>#VALUE!</v>
      </c>
      <c r="G35" s="15" t="e">
        <f t="shared" si="1"/>
        <v>#VALUE!</v>
      </c>
      <c r="H35" s="13"/>
      <c r="I35" s="9">
        <v>0.01</v>
      </c>
    </row>
    <row r="36" spans="1:9" x14ac:dyDescent="0.35">
      <c r="B36" t="s">
        <v>91</v>
      </c>
      <c r="C36">
        <v>1421.2</v>
      </c>
      <c r="D36">
        <v>135</v>
      </c>
      <c r="F36">
        <f t="shared" si="0"/>
        <v>19.06276953727663</v>
      </c>
      <c r="G36" s="15">
        <f t="shared" si="1"/>
        <v>0.68081319775987958</v>
      </c>
      <c r="H36" t="s">
        <v>84</v>
      </c>
      <c r="I36" s="9">
        <v>0.68081319775987958</v>
      </c>
    </row>
    <row r="37" spans="1:9" x14ac:dyDescent="0.35">
      <c r="B37" t="s">
        <v>92</v>
      </c>
      <c r="C37" t="s">
        <v>46</v>
      </c>
      <c r="D37" t="s">
        <v>46</v>
      </c>
      <c r="E37" t="s">
        <v>46</v>
      </c>
      <c r="F37" t="e">
        <f t="shared" si="0"/>
        <v>#VALUE!</v>
      </c>
      <c r="G37" s="15" t="e">
        <f t="shared" si="1"/>
        <v>#VALUE!</v>
      </c>
      <c r="H37" s="13"/>
      <c r="I37" s="9">
        <v>0.01</v>
      </c>
    </row>
    <row r="38" spans="1:9" x14ac:dyDescent="0.35">
      <c r="B38" t="s">
        <v>93</v>
      </c>
      <c r="C38" t="s">
        <v>46</v>
      </c>
      <c r="D38">
        <v>2982.6</v>
      </c>
      <c r="E38" t="s">
        <v>46</v>
      </c>
      <c r="F38" t="e">
        <f t="shared" si="0"/>
        <v>#VALUE!</v>
      </c>
      <c r="G38" s="15" t="e">
        <f t="shared" si="1"/>
        <v>#VALUE!</v>
      </c>
      <c r="H38" s="13"/>
      <c r="I38" s="9">
        <v>0.01</v>
      </c>
    </row>
    <row r="39" spans="1:9" x14ac:dyDescent="0.35">
      <c r="B39" t="s">
        <v>94</v>
      </c>
      <c r="C39">
        <v>1448.9</v>
      </c>
      <c r="D39">
        <v>2021.8</v>
      </c>
      <c r="F39">
        <f t="shared" si="0"/>
        <v>19.399273540095002</v>
      </c>
      <c r="G39" s="15">
        <f t="shared" si="1"/>
        <v>0.69283119786053582</v>
      </c>
      <c r="H39" t="s">
        <v>84</v>
      </c>
      <c r="I39" s="9">
        <v>0.69283119786053582</v>
      </c>
    </row>
    <row r="40" spans="1:9" x14ac:dyDescent="0.35">
      <c r="B40" t="s">
        <v>95</v>
      </c>
      <c r="C40" t="s">
        <v>46</v>
      </c>
      <c r="D40" t="s">
        <v>46</v>
      </c>
      <c r="F40" t="e">
        <f t="shared" si="0"/>
        <v>#VALUE!</v>
      </c>
      <c r="G40" s="15" t="e">
        <f t="shared" si="1"/>
        <v>#VALUE!</v>
      </c>
      <c r="H40" s="13"/>
      <c r="I40" s="9">
        <v>0.01</v>
      </c>
    </row>
    <row r="41" spans="1:9" x14ac:dyDescent="0.35">
      <c r="B41" t="s">
        <v>96</v>
      </c>
      <c r="C41">
        <v>1882.3</v>
      </c>
      <c r="D41">
        <v>53.9</v>
      </c>
      <c r="E41" t="s">
        <v>46</v>
      </c>
      <c r="F41">
        <f t="shared" si="0"/>
        <v>24.664285627513152</v>
      </c>
      <c r="G41" s="15">
        <f t="shared" si="1"/>
        <v>0.8808673438397554</v>
      </c>
      <c r="H41" t="s">
        <v>84</v>
      </c>
      <c r="I41" s="9">
        <v>0.8808673438397554</v>
      </c>
    </row>
    <row r="42" spans="1:9" x14ac:dyDescent="0.35">
      <c r="A42" t="s">
        <v>97</v>
      </c>
      <c r="B42" t="s">
        <v>144</v>
      </c>
      <c r="C42">
        <v>2203</v>
      </c>
      <c r="D42" t="s">
        <v>46</v>
      </c>
      <c r="E42" t="s">
        <v>46</v>
      </c>
      <c r="F42">
        <f t="shared" si="0"/>
        <v>28.560200201659438</v>
      </c>
      <c r="G42" s="15">
        <f t="shared" si="1"/>
        <v>1.0200071500592656</v>
      </c>
      <c r="H42" t="s">
        <v>84</v>
      </c>
      <c r="I42" s="9">
        <v>0.99</v>
      </c>
    </row>
    <row r="43" spans="1:9" x14ac:dyDescent="0.35">
      <c r="A43" t="s">
        <v>99</v>
      </c>
      <c r="B43" t="s">
        <v>145</v>
      </c>
      <c r="C43">
        <v>2146.3000000000002</v>
      </c>
      <c r="D43" t="s">
        <v>46</v>
      </c>
      <c r="E43" t="s">
        <v>46</v>
      </c>
      <c r="F43">
        <f t="shared" si="0"/>
        <v>27.87139958939223</v>
      </c>
      <c r="G43" s="15">
        <f t="shared" si="1"/>
        <v>0.99540712819257959</v>
      </c>
      <c r="H43" t="s">
        <v>84</v>
      </c>
      <c r="I43" s="9">
        <v>0.99</v>
      </c>
    </row>
    <row r="44" spans="1:9" x14ac:dyDescent="0.35">
      <c r="B44" t="s">
        <v>146</v>
      </c>
      <c r="C44" t="s">
        <v>46</v>
      </c>
      <c r="D44" t="s">
        <v>46</v>
      </c>
      <c r="E44">
        <v>250.4</v>
      </c>
      <c r="F44" t="e">
        <f t="shared" si="0"/>
        <v>#VALUE!</v>
      </c>
      <c r="G44" s="15" t="e">
        <f t="shared" si="1"/>
        <v>#VALUE!</v>
      </c>
      <c r="H44" s="13"/>
      <c r="I44" s="9">
        <v>0.01</v>
      </c>
    </row>
    <row r="45" spans="1:9" x14ac:dyDescent="0.35">
      <c r="B45" t="s">
        <v>147</v>
      </c>
      <c r="C45">
        <v>858.7</v>
      </c>
      <c r="D45">
        <v>1915.3</v>
      </c>
      <c r="E45" t="s">
        <v>46</v>
      </c>
      <c r="F45">
        <f t="shared" si="0"/>
        <v>12.229430129863822</v>
      </c>
      <c r="G45" s="15">
        <f t="shared" si="1"/>
        <v>0.43676536178085079</v>
      </c>
      <c r="H45" t="s">
        <v>84</v>
      </c>
      <c r="I45" s="9">
        <v>0.43676536178085079</v>
      </c>
    </row>
    <row r="46" spans="1:9" x14ac:dyDescent="0.35">
      <c r="B46" t="s">
        <v>148</v>
      </c>
      <c r="C46" t="s">
        <v>46</v>
      </c>
      <c r="D46" t="s">
        <v>46</v>
      </c>
      <c r="E46" t="s">
        <v>46</v>
      </c>
      <c r="F46" t="e">
        <f t="shared" si="0"/>
        <v>#VALUE!</v>
      </c>
      <c r="G46" s="15" t="e">
        <f t="shared" si="1"/>
        <v>#VALUE!</v>
      </c>
      <c r="H46" s="13"/>
      <c r="I46" s="9">
        <v>0.01</v>
      </c>
    </row>
    <row r="47" spans="1:9" x14ac:dyDescent="0.35">
      <c r="D47">
        <v>2415</v>
      </c>
    </row>
    <row r="75" spans="1:17" ht="21" x14ac:dyDescent="0.5">
      <c r="F75" s="24" t="s">
        <v>123</v>
      </c>
      <c r="G75" s="23"/>
      <c r="L75" s="24"/>
      <c r="M75" s="14"/>
    </row>
    <row r="76" spans="1:17" x14ac:dyDescent="0.35">
      <c r="B76" t="s">
        <v>114</v>
      </c>
      <c r="C76" t="s">
        <v>171</v>
      </c>
      <c r="E76" t="s">
        <v>116</v>
      </c>
      <c r="F76" t="s">
        <v>115</v>
      </c>
      <c r="G76" s="21" t="s">
        <v>110</v>
      </c>
      <c r="H76" t="s">
        <v>111</v>
      </c>
      <c r="I76" t="s">
        <v>112</v>
      </c>
    </row>
    <row r="77" spans="1:17" x14ac:dyDescent="0.35">
      <c r="A77">
        <v>28</v>
      </c>
      <c r="B77" t="s">
        <v>125</v>
      </c>
      <c r="D77" s="19" t="s">
        <v>164</v>
      </c>
      <c r="E77" t="s">
        <v>172</v>
      </c>
      <c r="L77" t="s">
        <v>168</v>
      </c>
      <c r="M77" t="s">
        <v>169</v>
      </c>
      <c r="N77" t="s">
        <v>104</v>
      </c>
      <c r="O77">
        <v>219.18</v>
      </c>
      <c r="P77" t="s">
        <v>122</v>
      </c>
      <c r="Q77">
        <v>-346.5</v>
      </c>
    </row>
    <row r="78" spans="1:17" x14ac:dyDescent="0.35">
      <c r="A78" t="s">
        <v>35</v>
      </c>
      <c r="G78" s="3">
        <v>0.99</v>
      </c>
      <c r="L78" t="s">
        <v>168</v>
      </c>
      <c r="M78" t="s">
        <v>170</v>
      </c>
      <c r="N78" s="16" t="s">
        <v>104</v>
      </c>
      <c r="O78">
        <v>82.316999999999993</v>
      </c>
      <c r="P78" s="16" t="s">
        <v>36</v>
      </c>
      <c r="Q78">
        <v>-147.99</v>
      </c>
    </row>
    <row r="79" spans="1:17" x14ac:dyDescent="0.35">
      <c r="A79" t="s">
        <v>120</v>
      </c>
      <c r="D79" s="3">
        <v>0.99</v>
      </c>
      <c r="G79" s="3">
        <v>0.99</v>
      </c>
      <c r="N79" s="16" t="s">
        <v>117</v>
      </c>
      <c r="O79" s="18">
        <v>1.5</v>
      </c>
      <c r="P79" s="16"/>
    </row>
    <row r="80" spans="1:17" x14ac:dyDescent="0.35">
      <c r="A80" t="s">
        <v>119</v>
      </c>
      <c r="D80" s="3">
        <v>0.99</v>
      </c>
      <c r="G80" s="3">
        <v>0.99</v>
      </c>
      <c r="N80" t="s">
        <v>165</v>
      </c>
      <c r="O80">
        <v>20</v>
      </c>
    </row>
    <row r="81" spans="1:9" x14ac:dyDescent="0.35">
      <c r="A81" t="s">
        <v>21</v>
      </c>
      <c r="D81" s="3">
        <v>0.99</v>
      </c>
      <c r="G81" s="3">
        <v>0.99</v>
      </c>
    </row>
    <row r="82" spans="1:9" x14ac:dyDescent="0.35">
      <c r="A82" t="s">
        <v>11</v>
      </c>
      <c r="D82" s="3">
        <v>0.99</v>
      </c>
      <c r="G82" s="3">
        <v>0.99</v>
      </c>
    </row>
    <row r="83" spans="1:9" x14ac:dyDescent="0.35">
      <c r="D83" s="3">
        <v>0.99</v>
      </c>
      <c r="G83" s="3"/>
    </row>
    <row r="84" spans="1:9" x14ac:dyDescent="0.35">
      <c r="A84">
        <v>50</v>
      </c>
      <c r="B84" t="s">
        <v>177</v>
      </c>
      <c r="G84" s="21"/>
    </row>
    <row r="85" spans="1:9" x14ac:dyDescent="0.35">
      <c r="A85" t="s">
        <v>35</v>
      </c>
      <c r="B85">
        <v>2009</v>
      </c>
      <c r="C85">
        <v>0</v>
      </c>
      <c r="D85" s="19"/>
      <c r="E85">
        <f>((B85-$Q$78)/$O$78)*(25/$O$80)*$O$79</f>
        <v>49.131482561317824</v>
      </c>
      <c r="F85">
        <v>0</v>
      </c>
      <c r="G85" s="20">
        <f>E85/$A$84</f>
        <v>0.98262965122635648</v>
      </c>
      <c r="H85">
        <f>SUM(E85:F85)</f>
        <v>49.131482561317824</v>
      </c>
      <c r="I85">
        <f>$A$84-H85</f>
        <v>0.86851743868217568</v>
      </c>
    </row>
    <row r="86" spans="1:9" x14ac:dyDescent="0.35">
      <c r="A86" t="s">
        <v>120</v>
      </c>
      <c r="B86">
        <v>1265</v>
      </c>
      <c r="C86">
        <v>0</v>
      </c>
      <c r="D86" s="20">
        <f>($A$84-F85)/($A$84)</f>
        <v>1</v>
      </c>
      <c r="E86">
        <f>((B86-$Q$78)/$O$78)*(25/$O$80)*$O$79</f>
        <v>32.184800830934073</v>
      </c>
      <c r="F86">
        <v>0</v>
      </c>
      <c r="G86" s="20">
        <f>E86/$A$84</f>
        <v>0.64369601661868148</v>
      </c>
      <c r="H86">
        <f t="shared" ref="H86:H110" si="2">SUM(E86:F86)</f>
        <v>32.184800830934073</v>
      </c>
      <c r="I86">
        <f>$A$84-H86</f>
        <v>17.815199169065927</v>
      </c>
    </row>
    <row r="87" spans="1:9" x14ac:dyDescent="0.35">
      <c r="A87" t="s">
        <v>119</v>
      </c>
      <c r="B87">
        <v>1458.2</v>
      </c>
      <c r="D87" s="20">
        <f>($A$84-F86)/($A$84)</f>
        <v>1</v>
      </c>
      <c r="E87">
        <f t="shared" ref="E87:E89" si="3">((B87-$Q$78)/$O$78)*(25/$O$80)*$O$79</f>
        <v>36.585471409307921</v>
      </c>
      <c r="F87">
        <f>(C87-$Q$77)/($O$77)*(25/$O$80)*$O$79</f>
        <v>2.9641732822337801</v>
      </c>
      <c r="G87" s="20">
        <f>E87/$A$84</f>
        <v>0.73170942818615847</v>
      </c>
      <c r="H87">
        <f t="shared" si="2"/>
        <v>39.549644691541701</v>
      </c>
      <c r="I87">
        <f>$A$84-H87</f>
        <v>10.450355308458299</v>
      </c>
    </row>
    <row r="88" spans="1:9" x14ac:dyDescent="0.35">
      <c r="A88" t="s">
        <v>21</v>
      </c>
      <c r="B88">
        <v>1462.11</v>
      </c>
      <c r="D88" s="20">
        <f>($A$84-F87)/($A$84)</f>
        <v>0.94071653435532443</v>
      </c>
      <c r="E88">
        <f t="shared" si="3"/>
        <v>36.674532599584538</v>
      </c>
      <c r="F88">
        <f t="shared" ref="F88:F110" si="4">(C88-$Q$77)/($O$77)*(25/$O$80)*$O$79</f>
        <v>2.9641732822337801</v>
      </c>
      <c r="G88" s="20">
        <f>E88/$A$84</f>
        <v>0.73349065199169072</v>
      </c>
      <c r="H88">
        <f t="shared" si="2"/>
        <v>39.638705881818318</v>
      </c>
      <c r="I88">
        <f>$A$84-H88</f>
        <v>10.361294118181682</v>
      </c>
    </row>
    <row r="89" spans="1:9" x14ac:dyDescent="0.35">
      <c r="A89" t="s">
        <v>11</v>
      </c>
      <c r="B89">
        <v>1377.58</v>
      </c>
      <c r="D89" s="20">
        <f>($A$84-F88)/($A$84)</f>
        <v>0.94071653435532443</v>
      </c>
      <c r="E89">
        <f t="shared" si="3"/>
        <v>34.749125332555849</v>
      </c>
      <c r="F89">
        <f t="shared" si="4"/>
        <v>2.9641732822337801</v>
      </c>
      <c r="G89" s="20">
        <f>E89/$A$84</f>
        <v>0.69498250665111694</v>
      </c>
      <c r="H89">
        <f t="shared" si="2"/>
        <v>37.713298614789629</v>
      </c>
      <c r="I89">
        <f>$A$84-H89</f>
        <v>12.286701385210371</v>
      </c>
    </row>
    <row r="90" spans="1:9" x14ac:dyDescent="0.35">
      <c r="D90" s="20">
        <f>($A$84-F89)/($A$84)</f>
        <v>0.94071653435532443</v>
      </c>
      <c r="G90" s="20"/>
    </row>
    <row r="91" spans="1:9" x14ac:dyDescent="0.35">
      <c r="A91">
        <v>100</v>
      </c>
      <c r="B91" t="s">
        <v>178</v>
      </c>
      <c r="D91" s="20"/>
      <c r="G91" s="20"/>
      <c r="H91" s="14"/>
    </row>
    <row r="92" spans="1:9" x14ac:dyDescent="0.35">
      <c r="A92" t="s">
        <v>35</v>
      </c>
      <c r="B92">
        <v>1780.3</v>
      </c>
      <c r="C92">
        <v>0</v>
      </c>
      <c r="D92" s="20"/>
      <c r="E92">
        <f>((B92-$Q$78)/$O$78)*(25/$O$80)*$O$79</f>
        <v>43.922200153066811</v>
      </c>
      <c r="F92">
        <f>(C92-$Q$77)/($O$77)*(25/$O$80)*$O$79</f>
        <v>2.9641732822337801</v>
      </c>
      <c r="G92" s="20">
        <f>E92/$A$91</f>
        <v>0.43922200153066809</v>
      </c>
      <c r="H92">
        <f t="shared" si="2"/>
        <v>46.886373435300591</v>
      </c>
      <c r="I92">
        <f>$A$91-H92</f>
        <v>53.113626564699409</v>
      </c>
    </row>
    <row r="93" spans="1:9" x14ac:dyDescent="0.35">
      <c r="A93" t="s">
        <v>120</v>
      </c>
      <c r="B93">
        <v>0</v>
      </c>
      <c r="C93">
        <v>3769.8</v>
      </c>
      <c r="D93" s="20">
        <f>($A$91-F92)/($A$91)</f>
        <v>0.97035826717766216</v>
      </c>
      <c r="E93">
        <f>((B93-$Q$78)/$O$78)*(25/$O$80)*$O$79</f>
        <v>3.3708863296767384</v>
      </c>
      <c r="F93">
        <f t="shared" si="4"/>
        <v>35.213352039419654</v>
      </c>
      <c r="G93" s="20">
        <f>E93/$A$91</f>
        <v>3.3708863296767387E-2</v>
      </c>
      <c r="H93">
        <f t="shared" si="2"/>
        <v>38.58423836909639</v>
      </c>
      <c r="I93">
        <f>$A$91-H93</f>
        <v>61.41576163090361</v>
      </c>
    </row>
    <row r="94" spans="1:9" x14ac:dyDescent="0.35">
      <c r="A94" t="s">
        <v>119</v>
      </c>
      <c r="B94">
        <v>839.8</v>
      </c>
      <c r="C94">
        <v>51.4</v>
      </c>
      <c r="D94" s="20">
        <f>($A$91-F93)/($A$91)</f>
        <v>0.64786647960580357</v>
      </c>
      <c r="E94">
        <f t="shared" ref="E94" si="5">((B94-$Q$78)/$O$78)*(25/$O$80)*$O$79</f>
        <v>22.499681110827655</v>
      </c>
      <c r="F94">
        <f t="shared" si="4"/>
        <v>3.4038803722967419</v>
      </c>
      <c r="G94" s="20">
        <f>E94/$A$91</f>
        <v>0.22499681110827655</v>
      </c>
      <c r="H94">
        <f t="shared" si="2"/>
        <v>25.903561483124399</v>
      </c>
      <c r="I94">
        <f>$A$91-H94</f>
        <v>74.096438516875594</v>
      </c>
    </row>
    <row r="95" spans="1:9" x14ac:dyDescent="0.35">
      <c r="A95" t="s">
        <v>21</v>
      </c>
      <c r="B95">
        <v>1439</v>
      </c>
      <c r="D95" s="20">
        <f>($A$91-F94)/($A$91)</f>
        <v>0.96596119627703259</v>
      </c>
      <c r="E95">
        <f>((B95-$Q$78)/$O$78)*(25/$O$80)*$O$79</f>
        <v>36.148137687233501</v>
      </c>
      <c r="F95">
        <f>(C95-$Q$77)/($O$77)*(25/$O$80)*$O$79</f>
        <v>2.9641732822337801</v>
      </c>
      <c r="G95" s="20">
        <f>E95/$A$91</f>
        <v>0.361481376872335</v>
      </c>
      <c r="H95">
        <f t="shared" si="2"/>
        <v>39.112310969467281</v>
      </c>
      <c r="I95">
        <f>$A$91-H95</f>
        <v>60.887689030532719</v>
      </c>
    </row>
    <row r="96" spans="1:9" x14ac:dyDescent="0.35">
      <c r="A96" t="s">
        <v>11</v>
      </c>
      <c r="B96">
        <v>600</v>
      </c>
      <c r="D96" s="20">
        <f>($A$91-F95)/($A$91)</f>
        <v>0.97035826717766216</v>
      </c>
      <c r="E96">
        <f t="shared" ref="E96" si="6">((B96-$Q$78)/$O$78)*(25/$O$80)*$O$79</f>
        <v>17.037565144502352</v>
      </c>
      <c r="F96">
        <f t="shared" si="4"/>
        <v>2.9641732822337801</v>
      </c>
      <c r="G96" s="20">
        <f>E96/$A$91</f>
        <v>0.17037565144502353</v>
      </c>
      <c r="H96">
        <f t="shared" si="2"/>
        <v>20.001738426736132</v>
      </c>
      <c r="I96">
        <f>$A$91-H96</f>
        <v>79.998261573263875</v>
      </c>
    </row>
    <row r="97" spans="1:18" x14ac:dyDescent="0.35">
      <c r="D97" s="20">
        <f>($A$91-F96)/($A$91)</f>
        <v>0.97035826717766216</v>
      </c>
      <c r="G97" s="20"/>
    </row>
    <row r="98" spans="1:18" x14ac:dyDescent="0.35">
      <c r="A98">
        <v>150</v>
      </c>
      <c r="B98" t="s">
        <v>179</v>
      </c>
      <c r="D98" s="20"/>
      <c r="G98" s="20"/>
    </row>
    <row r="99" spans="1:18" x14ac:dyDescent="0.35">
      <c r="A99" t="s">
        <v>35</v>
      </c>
      <c r="B99">
        <v>90.9</v>
      </c>
      <c r="C99">
        <v>1153.5999999999999</v>
      </c>
      <c r="D99" s="20"/>
      <c r="E99">
        <f>((B99-$Q$78)/$O$78)*(25/$O$80)*$O$79</f>
        <v>5.4413881701228188</v>
      </c>
      <c r="F99">
        <f>(C99-$Q$77)/($O$77)*(25/$O$80)*$O$79</f>
        <v>12.832774431973718</v>
      </c>
      <c r="G99" s="20">
        <f>E99/$A$98</f>
        <v>3.6275921134152123E-2</v>
      </c>
      <c r="H99">
        <f t="shared" si="2"/>
        <v>18.274162602096538</v>
      </c>
      <c r="I99">
        <f>$A$98-H99</f>
        <v>131.72583739790346</v>
      </c>
      <c r="M99" s="22"/>
    </row>
    <row r="100" spans="1:18" x14ac:dyDescent="0.35">
      <c r="A100" t="s">
        <v>120</v>
      </c>
      <c r="B100">
        <v>0</v>
      </c>
      <c r="C100">
        <v>10702.6</v>
      </c>
      <c r="D100" s="20">
        <f>($A$98-F99)/($A$98)</f>
        <v>0.91444817045350857</v>
      </c>
      <c r="E100">
        <f t="shared" ref="E100:E110" si="7">((B100-$Q$78)/$O$78)*(25/$O$80)*$O$79</f>
        <v>3.3708863296767384</v>
      </c>
      <c r="F100">
        <f t="shared" si="4"/>
        <v>94.520770599507259</v>
      </c>
      <c r="G100" s="20">
        <f>E100/$A$98</f>
        <v>2.2472575531178256E-2</v>
      </c>
      <c r="H100">
        <f t="shared" si="2"/>
        <v>97.891656929183995</v>
      </c>
      <c r="I100">
        <f>$A$98-H100</f>
        <v>52.108343070816005</v>
      </c>
    </row>
    <row r="101" spans="1:18" x14ac:dyDescent="0.35">
      <c r="A101" t="s">
        <v>119</v>
      </c>
      <c r="B101">
        <v>339.5</v>
      </c>
      <c r="C101">
        <v>841.5</v>
      </c>
      <c r="D101" s="20">
        <f>($A$98-F100)/($A$98)</f>
        <v>0.36986152933661826</v>
      </c>
      <c r="E101">
        <f t="shared" si="7"/>
        <v>11.103948759065567</v>
      </c>
      <c r="F101">
        <f t="shared" si="4"/>
        <v>10.162879824801532</v>
      </c>
      <c r="G101" s="20">
        <f>E101/$A$98</f>
        <v>7.4026325060437118E-2</v>
      </c>
      <c r="H101">
        <f t="shared" si="2"/>
        <v>21.266828583867099</v>
      </c>
      <c r="I101">
        <f>$A$98-H101</f>
        <v>128.7331714161329</v>
      </c>
    </row>
    <row r="102" spans="1:18" x14ac:dyDescent="0.35">
      <c r="A102" t="s">
        <v>21</v>
      </c>
      <c r="B102">
        <v>396.4</v>
      </c>
      <c r="C102">
        <v>561</v>
      </c>
      <c r="D102" s="20">
        <f>($A$98-F101)/($A$98)</f>
        <v>0.9322474678346564</v>
      </c>
      <c r="E102">
        <f t="shared" si="7"/>
        <v>12.400005466671526</v>
      </c>
      <c r="F102">
        <f t="shared" si="4"/>
        <v>7.7633109772789481</v>
      </c>
      <c r="G102" s="20">
        <f>E102/$A$98</f>
        <v>8.2666703111143505E-2</v>
      </c>
      <c r="H102">
        <f t="shared" si="2"/>
        <v>20.163316443950475</v>
      </c>
      <c r="I102">
        <f>$A$98-H102</f>
        <v>129.83668355604954</v>
      </c>
    </row>
    <row r="103" spans="1:18" x14ac:dyDescent="0.35">
      <c r="A103" t="s">
        <v>11</v>
      </c>
      <c r="B103">
        <v>583</v>
      </c>
      <c r="C103">
        <v>95.1</v>
      </c>
      <c r="D103" s="20">
        <f>($A$98-F102)/($A$98)</f>
        <v>0.94824459348480705</v>
      </c>
      <c r="E103">
        <f t="shared" si="7"/>
        <v>16.650342578082295</v>
      </c>
      <c r="F103">
        <f t="shared" si="4"/>
        <v>3.7777169449767314</v>
      </c>
      <c r="G103" s="20">
        <f>E103/$A$98</f>
        <v>0.11100228385388197</v>
      </c>
      <c r="H103">
        <f t="shared" si="2"/>
        <v>20.428059523059027</v>
      </c>
      <c r="I103">
        <f>$A$98-H103</f>
        <v>129.57194047694097</v>
      </c>
    </row>
    <row r="104" spans="1:18" x14ac:dyDescent="0.35">
      <c r="D104" s="20">
        <f>($A$98-F103)/($A$98)</f>
        <v>0.97481522036682178</v>
      </c>
      <c r="G104" s="20"/>
    </row>
    <row r="105" spans="1:18" x14ac:dyDescent="0.35">
      <c r="A105">
        <v>200</v>
      </c>
      <c r="B105" t="s">
        <v>179</v>
      </c>
      <c r="D105" s="20"/>
      <c r="G105" s="20"/>
    </row>
    <row r="106" spans="1:18" x14ac:dyDescent="0.35">
      <c r="A106" t="s">
        <v>35</v>
      </c>
      <c r="B106">
        <v>0</v>
      </c>
      <c r="C106">
        <v>6144.38</v>
      </c>
      <c r="D106" s="20"/>
      <c r="E106">
        <f>((B106-$Q$78)/$O$78)*(25/$O$80)*$O$79</f>
        <v>3.3708863296767384</v>
      </c>
      <c r="F106">
        <f t="shared" si="4"/>
        <v>55.526964139063779</v>
      </c>
      <c r="G106" s="20">
        <f>E106/$A$105</f>
        <v>1.6854431648383694E-2</v>
      </c>
      <c r="H106">
        <f t="shared" si="2"/>
        <v>58.897850468740515</v>
      </c>
      <c r="I106">
        <f>$A$105-H106</f>
        <v>141.1021495312595</v>
      </c>
    </row>
    <row r="107" spans="1:18" x14ac:dyDescent="0.35">
      <c r="A107" t="s">
        <v>120</v>
      </c>
      <c r="B107">
        <v>0</v>
      </c>
      <c r="C107">
        <v>14142.5</v>
      </c>
      <c r="D107" s="20">
        <f>($A$105-F106)/($A$105)</f>
        <v>0.72236517930468114</v>
      </c>
      <c r="E107">
        <f t="shared" si="7"/>
        <v>3.3708863296767384</v>
      </c>
      <c r="F107">
        <f t="shared" si="4"/>
        <v>123.94778264440187</v>
      </c>
      <c r="G107" s="20">
        <f>E107/$A$105</f>
        <v>1.6854431648383694E-2</v>
      </c>
      <c r="H107">
        <f t="shared" si="2"/>
        <v>127.31866897407861</v>
      </c>
      <c r="I107">
        <f>$A$105-H107</f>
        <v>72.681331025921395</v>
      </c>
    </row>
    <row r="108" spans="1:18" x14ac:dyDescent="0.35">
      <c r="A108" t="s">
        <v>119</v>
      </c>
      <c r="B108">
        <v>278.2</v>
      </c>
      <c r="C108">
        <v>1013.9</v>
      </c>
      <c r="D108" s="20">
        <f>($A$105-F107)/($A$105)</f>
        <v>0.38026108677799064</v>
      </c>
      <c r="E108">
        <f t="shared" si="7"/>
        <v>9.707669740150882</v>
      </c>
      <c r="F108">
        <f t="shared" si="4"/>
        <v>11.637695045168355</v>
      </c>
      <c r="G108" s="20">
        <f>E108/$A$105</f>
        <v>4.8538348700754408E-2</v>
      </c>
      <c r="H108">
        <f t="shared" si="2"/>
        <v>21.345364785319237</v>
      </c>
      <c r="I108">
        <f>$A$105-H108</f>
        <v>178.65463521468075</v>
      </c>
    </row>
    <row r="109" spans="1:18" x14ac:dyDescent="0.35">
      <c r="A109" t="s">
        <v>21</v>
      </c>
      <c r="B109">
        <v>200.7</v>
      </c>
      <c r="C109">
        <v>3238.65</v>
      </c>
      <c r="D109" s="20">
        <f>($A$105-F108)/($A$105)</f>
        <v>0.94181152477415819</v>
      </c>
      <c r="E109">
        <f t="shared" si="7"/>
        <v>7.9423903932359057</v>
      </c>
      <c r="F109">
        <f t="shared" si="4"/>
        <v>30.669569531891597</v>
      </c>
      <c r="G109" s="20">
        <f>E109/$A$105</f>
        <v>3.9711951966179528E-2</v>
      </c>
      <c r="H109">
        <f t="shared" si="2"/>
        <v>38.611959925127501</v>
      </c>
      <c r="I109">
        <f>$A$105-H109</f>
        <v>161.38804007487249</v>
      </c>
      <c r="N109" t="s">
        <v>169</v>
      </c>
      <c r="O109" t="s">
        <v>104</v>
      </c>
      <c r="P109">
        <v>219.18</v>
      </c>
      <c r="Q109" t="s">
        <v>122</v>
      </c>
      <c r="R109">
        <v>-346.5</v>
      </c>
    </row>
    <row r="110" spans="1:18" x14ac:dyDescent="0.35">
      <c r="A110" t="s">
        <v>11</v>
      </c>
      <c r="B110">
        <v>87.4</v>
      </c>
      <c r="C110">
        <v>3925.5</v>
      </c>
      <c r="D110" s="20">
        <f>($A$105-F109)/($A$105)</f>
        <v>0.84665215234054203</v>
      </c>
      <c r="E110">
        <f t="shared" si="7"/>
        <v>5.3616658770363355</v>
      </c>
      <c r="F110">
        <f t="shared" si="4"/>
        <v>36.545305228579252</v>
      </c>
      <c r="G110" s="20">
        <f>E110/$A$105</f>
        <v>2.6808329385181677E-2</v>
      </c>
      <c r="H110">
        <f t="shared" si="2"/>
        <v>41.90697110561559</v>
      </c>
      <c r="I110">
        <f>$A$105-H110</f>
        <v>158.09302889438442</v>
      </c>
      <c r="N110" t="s">
        <v>170</v>
      </c>
      <c r="O110" s="16" t="s">
        <v>104</v>
      </c>
      <c r="P110">
        <v>82.316999999999993</v>
      </c>
      <c r="Q110" s="16" t="s">
        <v>36</v>
      </c>
      <c r="R110">
        <v>-147.99</v>
      </c>
    </row>
    <row r="111" spans="1:18" x14ac:dyDescent="0.35">
      <c r="D111" s="20">
        <f>($A$105-F110)/($A$105)</f>
        <v>0.81727347385710369</v>
      </c>
      <c r="G111" s="20"/>
      <c r="O111" s="16" t="s">
        <v>117</v>
      </c>
      <c r="P111" s="18">
        <v>1.5</v>
      </c>
      <c r="Q111" s="16"/>
    </row>
    <row r="112" spans="1:18" x14ac:dyDescent="0.35">
      <c r="D112" s="20"/>
      <c r="G112" s="20"/>
      <c r="O112" t="s">
        <v>165</v>
      </c>
      <c r="P112">
        <v>20</v>
      </c>
    </row>
    <row r="113" spans="4:8" x14ac:dyDescent="0.35">
      <c r="D113" s="20"/>
      <c r="G113" s="20"/>
    </row>
    <row r="114" spans="4:8" ht="13.5" customHeight="1" x14ac:dyDescent="0.35">
      <c r="D114" s="20"/>
      <c r="G114" s="20"/>
    </row>
    <row r="115" spans="4:8" x14ac:dyDescent="0.35">
      <c r="D115" s="20"/>
      <c r="G115" s="20"/>
      <c r="H115" s="14"/>
    </row>
    <row r="116" spans="4:8" x14ac:dyDescent="0.35">
      <c r="D116" s="20"/>
      <c r="G116" s="20"/>
    </row>
    <row r="117" spans="4:8" x14ac:dyDescent="0.35">
      <c r="D117" s="20"/>
      <c r="G117" s="20"/>
    </row>
    <row r="118" spans="4:8" x14ac:dyDescent="0.35">
      <c r="D118" s="20"/>
      <c r="G118" s="20"/>
    </row>
    <row r="119" spans="4:8" x14ac:dyDescent="0.35">
      <c r="D119" s="20"/>
      <c r="G119" s="20"/>
    </row>
    <row r="120" spans="4:8" x14ac:dyDescent="0.35">
      <c r="D120" s="20"/>
      <c r="G120" s="20"/>
    </row>
    <row r="121" spans="4:8" x14ac:dyDescent="0.35">
      <c r="D121" s="20"/>
      <c r="G121" s="20"/>
    </row>
    <row r="122" spans="4:8" x14ac:dyDescent="0.35">
      <c r="D122" s="20"/>
      <c r="G122" s="20"/>
    </row>
    <row r="123" spans="4:8" x14ac:dyDescent="0.35">
      <c r="D123" s="20"/>
      <c r="G123" s="20"/>
    </row>
    <row r="124" spans="4:8" x14ac:dyDescent="0.35">
      <c r="D124" s="20"/>
      <c r="G124" s="20"/>
    </row>
    <row r="125" spans="4:8" x14ac:dyDescent="0.35">
      <c r="D125" s="20"/>
      <c r="G125" s="20"/>
    </row>
    <row r="126" spans="4:8" x14ac:dyDescent="0.35">
      <c r="D126" s="20"/>
      <c r="G126" s="20"/>
    </row>
    <row r="127" spans="4:8" x14ac:dyDescent="0.35">
      <c r="D127" s="20"/>
      <c r="G127" s="20"/>
    </row>
    <row r="128" spans="4:8" x14ac:dyDescent="0.35">
      <c r="D128" s="20"/>
      <c r="G128" s="20"/>
    </row>
    <row r="129" spans="1:7" x14ac:dyDescent="0.35">
      <c r="D129" s="20"/>
      <c r="G129" s="20"/>
    </row>
    <row r="130" spans="1:7" x14ac:dyDescent="0.35">
      <c r="D130" s="20"/>
      <c r="G130" s="20"/>
    </row>
    <row r="131" spans="1:7" x14ac:dyDescent="0.35">
      <c r="D131" s="20"/>
      <c r="G131" s="20"/>
    </row>
    <row r="132" spans="1:7" x14ac:dyDescent="0.35">
      <c r="D132" s="20"/>
      <c r="G132" s="20"/>
    </row>
    <row r="133" spans="1:7" x14ac:dyDescent="0.35">
      <c r="D133" s="20"/>
      <c r="G133" s="20"/>
    </row>
    <row r="134" spans="1:7" x14ac:dyDescent="0.35">
      <c r="D134" s="20"/>
      <c r="G134" s="20"/>
    </row>
    <row r="135" spans="1:7" x14ac:dyDescent="0.35">
      <c r="D135" s="20"/>
    </row>
    <row r="143" spans="1:7" ht="15.5" x14ac:dyDescent="0.35">
      <c r="A143" s="24" t="s">
        <v>124</v>
      </c>
    </row>
    <row r="145" spans="1:19" x14ac:dyDescent="0.35">
      <c r="A145">
        <v>25</v>
      </c>
      <c r="B145" t="s">
        <v>125</v>
      </c>
      <c r="C145" t="s">
        <v>114</v>
      </c>
      <c r="E145" s="19" t="s">
        <v>109</v>
      </c>
      <c r="F145" t="s">
        <v>116</v>
      </c>
      <c r="G145" t="s">
        <v>115</v>
      </c>
      <c r="H145" s="21" t="s">
        <v>110</v>
      </c>
      <c r="I145" t="s">
        <v>111</v>
      </c>
      <c r="J145" t="s">
        <v>112</v>
      </c>
    </row>
    <row r="146" spans="1:19" x14ac:dyDescent="0.35">
      <c r="A146" t="s">
        <v>35</v>
      </c>
      <c r="C146">
        <v>1260</v>
      </c>
      <c r="D146" t="s">
        <v>113</v>
      </c>
      <c r="E146" s="3">
        <f>($A$145-G146)/($A$145)</f>
        <v>0.99959999999999993</v>
      </c>
      <c r="F146">
        <f>((C146-$Q$147)/$O$147)*(25/$Q$153)*$Q$152</f>
        <v>25.656729472648422</v>
      </c>
      <c r="G146">
        <v>0.01</v>
      </c>
      <c r="H146" s="3">
        <f>F146/I146</f>
        <v>0.99961039056375856</v>
      </c>
      <c r="I146">
        <f>SUM(F146:G146)</f>
        <v>25.666729472648424</v>
      </c>
      <c r="J146">
        <f>$A$145-I146</f>
        <v>-0.66672947264842364</v>
      </c>
      <c r="M146" t="s">
        <v>169</v>
      </c>
      <c r="N146" t="s">
        <v>104</v>
      </c>
      <c r="O146">
        <v>219.18</v>
      </c>
      <c r="P146" t="s">
        <v>122</v>
      </c>
      <c r="Q146">
        <v>-346.5</v>
      </c>
    </row>
    <row r="147" spans="1:19" x14ac:dyDescent="0.35">
      <c r="A147" t="s">
        <v>120</v>
      </c>
      <c r="C147">
        <v>1294</v>
      </c>
      <c r="D147">
        <v>0</v>
      </c>
      <c r="E147" s="3">
        <f t="shared" ref="E147:E149" si="8">($A$145-G147)/($A$145)</f>
        <v>0.99959999999999993</v>
      </c>
      <c r="F147">
        <f t="shared" ref="F147:F150" si="9">((C147-$Q$147)/$O$147)*(25/$Q$153)*$Q$152</f>
        <v>26.276285578920515</v>
      </c>
      <c r="G147">
        <v>0.01</v>
      </c>
      <c r="H147" s="3">
        <f t="shared" ref="H147:H150" si="10">F147/I147</f>
        <v>0.99961957348557373</v>
      </c>
      <c r="I147">
        <f t="shared" ref="I147:I148" si="11">SUM(F147:G147)</f>
        <v>26.286285578920516</v>
      </c>
      <c r="J147">
        <f t="shared" ref="J147:J150" si="12">$A$145-I147</f>
        <v>-1.2862855789205163</v>
      </c>
      <c r="M147" t="s">
        <v>170</v>
      </c>
      <c r="N147" s="16" t="s">
        <v>104</v>
      </c>
      <c r="O147">
        <v>82.316999999999993</v>
      </c>
      <c r="P147" s="16" t="s">
        <v>36</v>
      </c>
      <c r="Q147">
        <v>-147.99</v>
      </c>
      <c r="S147">
        <v>-346.5</v>
      </c>
    </row>
    <row r="148" spans="1:19" x14ac:dyDescent="0.35">
      <c r="A148" t="s">
        <v>119</v>
      </c>
      <c r="C148">
        <v>1282</v>
      </c>
      <c r="E148" s="3">
        <f t="shared" si="8"/>
        <v>0.99959999999999993</v>
      </c>
      <c r="F148">
        <f>((C148-$Q$147)/$O$147)*(25/$Q$153)*$Q$152</f>
        <v>26.057618717883305</v>
      </c>
      <c r="G148">
        <v>0.01</v>
      </c>
      <c r="H148" s="3">
        <f t="shared" si="10"/>
        <v>0.99961638229758432</v>
      </c>
      <c r="I148">
        <f t="shared" si="11"/>
        <v>26.067618717883306</v>
      </c>
      <c r="J148">
        <f t="shared" si="12"/>
        <v>-1.0676187178833061</v>
      </c>
      <c r="N148" s="16" t="s">
        <v>117</v>
      </c>
      <c r="O148" s="18">
        <v>1.5</v>
      </c>
      <c r="P148" s="16"/>
      <c r="S148">
        <v>-147.99</v>
      </c>
    </row>
    <row r="149" spans="1:19" x14ac:dyDescent="0.35">
      <c r="A149" t="s">
        <v>21</v>
      </c>
      <c r="C149">
        <v>1248.8</v>
      </c>
      <c r="E149" s="3">
        <f t="shared" si="8"/>
        <v>0.99959999999999993</v>
      </c>
      <c r="F149">
        <f>((C149-$Q$147)/$O$147)*(25/$Q$153)*$Q$152</f>
        <v>25.452640402347022</v>
      </c>
      <c r="G149">
        <v>0.01</v>
      </c>
      <c r="H149" s="3">
        <f t="shared" si="10"/>
        <v>0.99960726775220532</v>
      </c>
      <c r="I149">
        <f t="shared" ref="I149:I150" si="13">SUM(F149:G149)</f>
        <v>25.462640402347024</v>
      </c>
      <c r="J149">
        <f t="shared" si="12"/>
        <v>-0.46264040234702364</v>
      </c>
      <c r="N149" t="s">
        <v>118</v>
      </c>
      <c r="O149">
        <v>25</v>
      </c>
    </row>
    <row r="150" spans="1:19" x14ac:dyDescent="0.35">
      <c r="A150" t="s">
        <v>11</v>
      </c>
      <c r="C150">
        <v>1292</v>
      </c>
      <c r="E150" s="3">
        <f>($A$145-G150)/($A$145)</f>
        <v>0.99959999999999993</v>
      </c>
      <c r="F150">
        <f t="shared" si="9"/>
        <v>26.239841102080984</v>
      </c>
      <c r="G150">
        <v>0.01</v>
      </c>
      <c r="H150" s="3">
        <f t="shared" si="10"/>
        <v>0.99961904531303203</v>
      </c>
      <c r="I150">
        <f t="shared" si="13"/>
        <v>26.249841102080985</v>
      </c>
      <c r="J150">
        <f t="shared" si="12"/>
        <v>-1.2498411020809854</v>
      </c>
      <c r="R150" t="s">
        <v>122</v>
      </c>
    </row>
    <row r="151" spans="1:19" x14ac:dyDescent="0.35">
      <c r="E151" s="3"/>
      <c r="G151"/>
      <c r="H151" s="14"/>
      <c r="O151" t="s">
        <v>121</v>
      </c>
      <c r="P151" s="16" t="s">
        <v>104</v>
      </c>
      <c r="Q151">
        <v>82.316999999999993</v>
      </c>
      <c r="R151" s="16" t="s">
        <v>36</v>
      </c>
    </row>
    <row r="152" spans="1:19" x14ac:dyDescent="0.35">
      <c r="E152" s="3"/>
      <c r="G152"/>
      <c r="P152" s="16" t="s">
        <v>117</v>
      </c>
      <c r="Q152" s="18">
        <v>1.5</v>
      </c>
      <c r="R152" s="16"/>
    </row>
    <row r="153" spans="1:19" x14ac:dyDescent="0.35">
      <c r="A153">
        <v>50</v>
      </c>
      <c r="B153" t="s">
        <v>125</v>
      </c>
      <c r="E153" s="3"/>
      <c r="G153"/>
      <c r="P153" t="s">
        <v>118</v>
      </c>
      <c r="Q153">
        <v>25</v>
      </c>
    </row>
    <row r="154" spans="1:19" x14ac:dyDescent="0.35">
      <c r="A154" t="s">
        <v>35</v>
      </c>
      <c r="C154">
        <v>1394</v>
      </c>
      <c r="E154" s="3">
        <f>($A$153-G154)/($A$153)</f>
        <v>0.99980000000000002</v>
      </c>
      <c r="F154">
        <f>((C154-$Q$147)/$O$147)*(25/$Q$153)*$Q$152</f>
        <v>28.098509420897265</v>
      </c>
      <c r="G154">
        <v>0.01</v>
      </c>
      <c r="H154" s="3">
        <f>F154/$A$153</f>
        <v>0.56197018841794533</v>
      </c>
      <c r="I154">
        <f>SUM(F154:G154)</f>
        <v>28.108509420897267</v>
      </c>
      <c r="J154">
        <f>$A$153-I154</f>
        <v>21.891490579102733</v>
      </c>
    </row>
    <row r="155" spans="1:19" x14ac:dyDescent="0.35">
      <c r="A155" t="s">
        <v>120</v>
      </c>
      <c r="C155">
        <v>148.4</v>
      </c>
      <c r="D155">
        <v>0</v>
      </c>
      <c r="E155" s="3">
        <f t="shared" ref="E155:E158" si="14">($A$153-G155)/($A$153)</f>
        <v>0.99980000000000002</v>
      </c>
      <c r="F155">
        <f t="shared" ref="F155:F158" si="15">((C155-$Q$147)/$O$147)*(25/$Q$153)*$Q$152</f>
        <v>5.4008892452348851</v>
      </c>
      <c r="G155">
        <v>0.01</v>
      </c>
      <c r="H155" s="3">
        <f t="shared" ref="H155:H158" si="16">F155/$A$153</f>
        <v>0.1080177849046977</v>
      </c>
      <c r="I155">
        <f t="shared" ref="I155:I158" si="17">SUM(F155:G155)</f>
        <v>5.4108892452348849</v>
      </c>
      <c r="J155">
        <f t="shared" ref="J155:J158" si="18">$A$145-I155</f>
        <v>19.589110754765116</v>
      </c>
    </row>
    <row r="156" spans="1:19" x14ac:dyDescent="0.35">
      <c r="A156" t="s">
        <v>119</v>
      </c>
      <c r="C156">
        <v>2343.6999999999998</v>
      </c>
      <c r="E156" s="3">
        <f t="shared" ref="E156" si="19">($A$153-G156)/($A$153)</f>
        <v>0.99980000000000002</v>
      </c>
      <c r="F156">
        <f t="shared" ref="F156" si="20">((C156-$Q$147)/$O$147)*(25/$Q$153)*$Q$152</f>
        <v>45.404169248150438</v>
      </c>
      <c r="G156">
        <v>0.01</v>
      </c>
      <c r="H156" s="3">
        <f t="shared" ref="H156" si="21">F156/$A$153</f>
        <v>0.90808338496300878</v>
      </c>
      <c r="I156">
        <f t="shared" ref="I156" si="22">SUM(F156:G156)</f>
        <v>45.414169248150436</v>
      </c>
      <c r="J156">
        <f t="shared" si="18"/>
        <v>-20.414169248150436</v>
      </c>
    </row>
    <row r="157" spans="1:19" x14ac:dyDescent="0.35">
      <c r="A157" t="s">
        <v>21</v>
      </c>
      <c r="C157">
        <v>2678.1</v>
      </c>
      <c r="D157">
        <v>0</v>
      </c>
      <c r="E157" s="3">
        <f t="shared" si="14"/>
        <v>0.99980000000000002</v>
      </c>
      <c r="F157">
        <f>((C157-$Q$147)/$O$147)*(25/$Q$153)*$Q$152</f>
        <v>51.497685775720697</v>
      </c>
      <c r="G157">
        <v>0.01</v>
      </c>
      <c r="H157" s="3">
        <f>F157/$I$157</f>
        <v>0.99980585421671742</v>
      </c>
      <c r="I157">
        <f t="shared" ref="I157" si="23">SUM(F157:G157)</f>
        <v>51.507685775720695</v>
      </c>
      <c r="J157">
        <f t="shared" si="18"/>
        <v>-26.507685775720695</v>
      </c>
    </row>
    <row r="158" spans="1:19" x14ac:dyDescent="0.35">
      <c r="A158" t="s">
        <v>11</v>
      </c>
      <c r="C158">
        <v>2406</v>
      </c>
      <c r="E158" s="3">
        <f t="shared" si="14"/>
        <v>0.99980000000000002</v>
      </c>
      <c r="F158">
        <f t="shared" si="15"/>
        <v>46.539414701701958</v>
      </c>
      <c r="G158">
        <v>0.01</v>
      </c>
      <c r="H158" s="3">
        <f t="shared" si="16"/>
        <v>0.93078829403403918</v>
      </c>
      <c r="I158">
        <f t="shared" si="17"/>
        <v>46.549414701701956</v>
      </c>
      <c r="J158">
        <f t="shared" si="18"/>
        <v>-21.549414701701956</v>
      </c>
    </row>
    <row r="159" spans="1:19" x14ac:dyDescent="0.35">
      <c r="E159" s="3"/>
    </row>
    <row r="160" spans="1:19" x14ac:dyDescent="0.35">
      <c r="E160" s="3"/>
    </row>
    <row r="161" spans="1:10" x14ac:dyDescent="0.35">
      <c r="A161">
        <v>100</v>
      </c>
      <c r="B161" t="s">
        <v>126</v>
      </c>
      <c r="E161" s="3"/>
    </row>
    <row r="162" spans="1:10" x14ac:dyDescent="0.35">
      <c r="A162" t="s">
        <v>35</v>
      </c>
      <c r="C162">
        <v>542.29999999999995</v>
      </c>
      <c r="E162" s="3">
        <f>($A$161-G162)/($A$161)</f>
        <v>0.94286203120722689</v>
      </c>
      <c r="F162">
        <f>((C162-$Q$147)/$O$147)*(25/$Q$153)*$Q$152</f>
        <v>12.578628958781298</v>
      </c>
      <c r="G162">
        <f>(D163-$Q$146)/($O$146)*(25/$Q$153)*$Q$152</f>
        <v>5.7137968792773055</v>
      </c>
      <c r="H162" s="3">
        <f>F162/$A$161</f>
        <v>0.12578628958781299</v>
      </c>
      <c r="I162">
        <f>SUM(F162:G162)</f>
        <v>18.292425838058605</v>
      </c>
      <c r="J162">
        <f>$A$161-I162</f>
        <v>81.707574161941395</v>
      </c>
    </row>
    <row r="163" spans="1:10" x14ac:dyDescent="0.35">
      <c r="A163" t="s">
        <v>120</v>
      </c>
      <c r="C163">
        <v>0</v>
      </c>
      <c r="D163">
        <v>488.4</v>
      </c>
      <c r="E163" s="3">
        <f t="shared" ref="E163:E166" si="24">($A$161-G163)/($A$161)</f>
        <v>0.28198056392006576</v>
      </c>
      <c r="F163">
        <f t="shared" ref="F163:F166" si="25">((C163-$Q$147)/$O$147)*(25/$Q$153)*$Q$152</f>
        <v>2.6967090637413906</v>
      </c>
      <c r="G163">
        <f>(D164-$Q$146)/($O$146)*(25/$Q$153)*$Q$152</f>
        <v>71.801943607993422</v>
      </c>
      <c r="H163" s="3">
        <f t="shared" ref="H163:H166" si="26">F163/$A$161</f>
        <v>2.6967090637413905E-2</v>
      </c>
      <c r="I163">
        <f t="shared" ref="I163:I166" si="27">SUM(F163:G163)</f>
        <v>74.498652671734817</v>
      </c>
      <c r="J163">
        <f t="shared" ref="J163:J166" si="28">$A$161-I163</f>
        <v>25.501347328265183</v>
      </c>
    </row>
    <row r="164" spans="1:10" x14ac:dyDescent="0.35">
      <c r="A164" t="s">
        <v>119</v>
      </c>
      <c r="C164">
        <v>891.1</v>
      </c>
      <c r="D164">
        <v>10145.200000000001</v>
      </c>
      <c r="E164" s="3">
        <f t="shared" si="24"/>
        <v>0.94724199288256228</v>
      </c>
      <c r="F164">
        <f>((C165-$Q$147)/$O$147)*(25/$Q$153)*$Q$152</f>
        <v>20.91530303582492</v>
      </c>
      <c r="G164">
        <f>(D165-$Q$146)/($O$146)*(25/$Q$153)*$Q$152</f>
        <v>5.2758007117437717</v>
      </c>
      <c r="H164" s="3">
        <f t="shared" si="26"/>
        <v>0.2091530303582492</v>
      </c>
      <c r="I164">
        <f t="shared" si="27"/>
        <v>26.19110374756869</v>
      </c>
      <c r="J164">
        <f t="shared" si="28"/>
        <v>73.80889625243131</v>
      </c>
    </row>
    <row r="165" spans="1:10" x14ac:dyDescent="0.35">
      <c r="A165" t="s">
        <v>21</v>
      </c>
      <c r="C165">
        <v>999.8</v>
      </c>
      <c r="D165">
        <v>424.4</v>
      </c>
      <c r="E165" s="3">
        <f t="shared" si="24"/>
        <v>0.97628661374212977</v>
      </c>
      <c r="F165">
        <f>((C166-$Q$147)/$O$147)*(25/$Q$153)*$Q$152</f>
        <v>73.869127883669236</v>
      </c>
      <c r="G165">
        <f>(D166-$Q$146)/($O$146)*(25/$Q$153)*$Q$152</f>
        <v>2.3713386257870241</v>
      </c>
      <c r="H165" s="3">
        <f t="shared" si="26"/>
        <v>0.73869127883669239</v>
      </c>
      <c r="I165">
        <f t="shared" ref="I165" si="29">SUM(F165:G165)</f>
        <v>76.240466509456255</v>
      </c>
      <c r="J165">
        <f t="shared" si="28"/>
        <v>23.759533490543745</v>
      </c>
    </row>
    <row r="166" spans="1:10" x14ac:dyDescent="0.35">
      <c r="A166" t="s">
        <v>11</v>
      </c>
      <c r="C166">
        <v>3905.8</v>
      </c>
      <c r="D166">
        <v>0</v>
      </c>
      <c r="E166" s="3">
        <f t="shared" si="24"/>
        <v>0.97628661374212977</v>
      </c>
      <c r="F166">
        <f t="shared" si="25"/>
        <v>73.869127883669236</v>
      </c>
      <c r="G166">
        <f>(D167-$Q$146)/($O$146)*(25/$Q$153)*$Q$152</f>
        <v>2.3713386257870241</v>
      </c>
      <c r="H166" s="3">
        <f t="shared" si="26"/>
        <v>0.73869127883669239</v>
      </c>
      <c r="I166">
        <f t="shared" si="27"/>
        <v>76.240466509456255</v>
      </c>
      <c r="J166">
        <f t="shared" si="28"/>
        <v>23.759533490543745</v>
      </c>
    </row>
    <row r="167" spans="1:10" x14ac:dyDescent="0.35">
      <c r="D167">
        <v>0</v>
      </c>
      <c r="G167"/>
    </row>
  </sheetData>
  <mergeCells count="1">
    <mergeCell ref="A2:A29"/>
  </mergeCells>
  <phoneticPr fontId="1" type="noConversion"/>
  <pageMargins left="0.7" right="0.7" top="0.75" bottom="0.75" header="0.3" footer="0.3"/>
  <pageSetup paperSize="9" orientation="portrait" horizontalDpi="360" verticalDpi="360" r:id="rId1"/>
  <drawing r:id="rId2"/>
  <legacyDrawing r:id="rId3"/>
  <oleObjects>
    <mc:AlternateContent xmlns:mc="http://schemas.openxmlformats.org/markup-compatibility/2006">
      <mc:Choice Requires="x14">
        <oleObject progId="ChemDraw.Document.6.0" shapeId="2049" r:id="rId4">
          <objectPr defaultSize="0" autoPict="0" r:id="rId5">
            <anchor moveWithCells="1">
              <from>
                <xdr:col>13</xdr:col>
                <xdr:colOff>990600</xdr:colOff>
                <xdr:row>24</xdr:row>
                <xdr:rowOff>127000</xdr:rowOff>
              </from>
              <to>
                <xdr:col>16</xdr:col>
                <xdr:colOff>101600</xdr:colOff>
                <xdr:row>30</xdr:row>
                <xdr:rowOff>95250</xdr:rowOff>
              </to>
            </anchor>
          </objectPr>
        </oleObject>
      </mc:Choice>
      <mc:Fallback>
        <oleObject progId="ChemDraw.Document.6.0" shapeId="2049" r:id="rId4"/>
      </mc:Fallback>
    </mc:AlternateContent>
    <mc:AlternateContent xmlns:mc="http://schemas.openxmlformats.org/markup-compatibility/2006">
      <mc:Choice Requires="x14">
        <oleObject progId="ChemDraw.Document.6.0" shapeId="2050" r:id="rId6">
          <objectPr defaultSize="0" autoPict="0" r:id="rId7">
            <anchor moveWithCells="1">
              <from>
                <xdr:col>13</xdr:col>
                <xdr:colOff>704850</xdr:colOff>
                <xdr:row>138</xdr:row>
                <xdr:rowOff>0</xdr:rowOff>
              </from>
              <to>
                <xdr:col>16</xdr:col>
                <xdr:colOff>177800</xdr:colOff>
                <xdr:row>144</xdr:row>
                <xdr:rowOff>57150</xdr:rowOff>
              </to>
            </anchor>
          </objectPr>
        </oleObject>
      </mc:Choice>
      <mc:Fallback>
        <oleObject progId="ChemDraw.Document.6.0" shapeId="2050" r:id="rId6"/>
      </mc:Fallback>
    </mc:AlternateContent>
    <mc:AlternateContent xmlns:mc="http://schemas.openxmlformats.org/markup-compatibility/2006">
      <mc:Choice Requires="x14">
        <oleObject progId="ChemDraw.Document.6.0" shapeId="2051" r:id="rId8">
          <objectPr defaultSize="0" autoPict="0" r:id="rId9">
            <anchor moveWithCells="1">
              <from>
                <xdr:col>13</xdr:col>
                <xdr:colOff>6350</xdr:colOff>
                <xdr:row>81</xdr:row>
                <xdr:rowOff>114300</xdr:rowOff>
              </from>
              <to>
                <xdr:col>14</xdr:col>
                <xdr:colOff>2673350</xdr:colOff>
                <xdr:row>87</xdr:row>
                <xdr:rowOff>82550</xdr:rowOff>
              </to>
            </anchor>
          </objectPr>
        </oleObject>
      </mc:Choice>
      <mc:Fallback>
        <oleObject progId="ChemDraw.Document.6.0" shapeId="2051" r:id="rId8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28F7F-F364-4ACE-A2AB-613164D98297}">
  <dimension ref="A5:P45"/>
  <sheetViews>
    <sheetView topLeftCell="A8" zoomScale="75" zoomScaleNormal="71" workbookViewId="0">
      <selection activeCell="E62" sqref="E62"/>
    </sheetView>
  </sheetViews>
  <sheetFormatPr defaultColWidth="8.81640625" defaultRowHeight="14.5" x14ac:dyDescent="0.35"/>
  <cols>
    <col min="1" max="1" width="21.453125" bestFit="1" customWidth="1"/>
    <col min="2" max="2" width="12.453125" bestFit="1" customWidth="1"/>
    <col min="3" max="3" width="10" bestFit="1" customWidth="1"/>
    <col min="4" max="4" width="13.6328125" bestFit="1" customWidth="1"/>
    <col min="5" max="5" width="40.81640625" bestFit="1" customWidth="1"/>
    <col min="6" max="6" width="16.453125" bestFit="1" customWidth="1"/>
    <col min="7" max="7" width="17.6328125" bestFit="1" customWidth="1"/>
    <col min="8" max="8" width="11.453125" bestFit="1" customWidth="1"/>
    <col min="9" max="9" width="14.6328125" bestFit="1" customWidth="1"/>
    <col min="10" max="10" width="16.6328125" bestFit="1" customWidth="1"/>
    <col min="11" max="11" width="15.6328125" bestFit="1" customWidth="1"/>
    <col min="12" max="12" width="7.1796875" bestFit="1" customWidth="1"/>
    <col min="13" max="13" width="20.81640625" customWidth="1"/>
  </cols>
  <sheetData>
    <row r="5" spans="1:16" x14ac:dyDescent="0.35">
      <c r="A5" s="37" t="s">
        <v>190</v>
      </c>
      <c r="B5" s="37"/>
    </row>
    <row r="6" spans="1:16" x14ac:dyDescent="0.35">
      <c r="A6" s="40" t="s">
        <v>191</v>
      </c>
      <c r="B6" s="40">
        <v>50</v>
      </c>
    </row>
    <row r="7" spans="1:16" x14ac:dyDescent="0.35">
      <c r="A7" s="40" t="s">
        <v>192</v>
      </c>
      <c r="B7" s="40">
        <v>0.5</v>
      </c>
    </row>
    <row r="8" spans="1:16" x14ac:dyDescent="0.35">
      <c r="A8" s="40" t="s">
        <v>193</v>
      </c>
      <c r="B8" s="40">
        <f>B6*(B7/1000)</f>
        <v>2.5000000000000001E-2</v>
      </c>
    </row>
    <row r="10" spans="1:16" x14ac:dyDescent="0.35">
      <c r="A10" s="38" t="s">
        <v>194</v>
      </c>
      <c r="B10" s="39"/>
    </row>
    <row r="11" spans="1:16" x14ac:dyDescent="0.35">
      <c r="A11" s="40" t="s">
        <v>195</v>
      </c>
      <c r="B11" s="41">
        <v>179.75</v>
      </c>
    </row>
    <row r="12" spans="1:16" x14ac:dyDescent="0.35">
      <c r="A12" s="40" t="s">
        <v>196</v>
      </c>
      <c r="B12" s="41">
        <v>65.275999999999996</v>
      </c>
    </row>
    <row r="14" spans="1:16" x14ac:dyDescent="0.35">
      <c r="N14" s="25"/>
      <c r="O14" s="25"/>
    </row>
    <row r="15" spans="1:16" x14ac:dyDescent="0.35">
      <c r="A15" s="42" t="s">
        <v>197</v>
      </c>
      <c r="B15" s="42" t="s">
        <v>198</v>
      </c>
      <c r="C15" s="42" t="s">
        <v>199</v>
      </c>
      <c r="D15" s="42" t="s">
        <v>200</v>
      </c>
      <c r="E15" s="42" t="s">
        <v>201</v>
      </c>
      <c r="F15" s="42" t="s">
        <v>202</v>
      </c>
      <c r="G15" s="42" t="s">
        <v>203</v>
      </c>
      <c r="H15" s="42" t="s">
        <v>204</v>
      </c>
      <c r="I15" s="42" t="s">
        <v>205</v>
      </c>
      <c r="J15" s="42" t="s">
        <v>206</v>
      </c>
      <c r="K15" s="42" t="s">
        <v>207</v>
      </c>
      <c r="L15" s="42" t="s">
        <v>208</v>
      </c>
      <c r="N15" s="25"/>
      <c r="P15" s="25"/>
    </row>
    <row r="16" spans="1:16" x14ac:dyDescent="0.35">
      <c r="A16" s="43" t="s">
        <v>214</v>
      </c>
      <c r="B16">
        <v>1</v>
      </c>
      <c r="C16">
        <v>0</v>
      </c>
      <c r="D16">
        <v>3697.09</v>
      </c>
      <c r="E16">
        <v>2</v>
      </c>
      <c r="F16" s="44">
        <f>(C16/B$11)*E16</f>
        <v>0</v>
      </c>
      <c r="G16" s="44">
        <f>(D16/B$12)*E16</f>
        <v>113.27562963416877</v>
      </c>
      <c r="H16" s="14">
        <f>(G16+F16)/100</f>
        <v>1.1327562963416877</v>
      </c>
      <c r="I16" s="14">
        <f>F16/$H16</f>
        <v>0</v>
      </c>
      <c r="J16" s="14">
        <f>G16/$H16</f>
        <v>100</v>
      </c>
      <c r="K16" s="45">
        <f>AVERAGE(J16:J18)</f>
        <v>99.877956307297623</v>
      </c>
      <c r="L16" s="45">
        <f>_xlfn.STDEV.S(J16:J18)</f>
        <v>0.10621574653152717</v>
      </c>
      <c r="N16" s="25"/>
    </row>
    <row r="17" spans="1:16" x14ac:dyDescent="0.35">
      <c r="A17" s="35"/>
      <c r="B17">
        <v>2</v>
      </c>
      <c r="C17">
        <v>19.7</v>
      </c>
      <c r="D17">
        <v>4139.1499999999996</v>
      </c>
      <c r="E17">
        <v>2</v>
      </c>
      <c r="F17" s="44">
        <f t="shared" ref="F17:F36" si="0">(C17/B$11)*E17</f>
        <v>0.2191933240611961</v>
      </c>
      <c r="G17" s="44">
        <f t="shared" ref="G17:G36" si="1">(D17/B$12)*E17</f>
        <v>126.81996445860653</v>
      </c>
      <c r="H17" s="14">
        <f>(G17+F17)/100</f>
        <v>1.2703915778266772</v>
      </c>
      <c r="I17" s="14">
        <f t="shared" ref="I17:J35" si="2">F17/$H17</f>
        <v>0.17253996947632566</v>
      </c>
      <c r="J17" s="14">
        <f t="shared" si="2"/>
        <v>99.827460030523682</v>
      </c>
      <c r="K17" s="35"/>
      <c r="L17" s="45"/>
      <c r="N17" s="25"/>
    </row>
    <row r="18" spans="1:16" x14ac:dyDescent="0.35">
      <c r="A18" s="35"/>
      <c r="B18">
        <v>3</v>
      </c>
      <c r="C18">
        <v>19.7</v>
      </c>
      <c r="D18">
        <v>3688.28</v>
      </c>
      <c r="E18">
        <v>2</v>
      </c>
      <c r="F18" s="44">
        <f t="shared" si="0"/>
        <v>0.2191933240611961</v>
      </c>
      <c r="G18" s="44">
        <f t="shared" si="1"/>
        <v>113.00569887860777</v>
      </c>
      <c r="H18" s="14">
        <f t="shared" ref="H18:H36" si="3">(G18+F18)/100</f>
        <v>1.1322489220266896</v>
      </c>
      <c r="I18" s="14">
        <f t="shared" si="2"/>
        <v>0.19359110863081858</v>
      </c>
      <c r="J18" s="14">
        <f t="shared" si="2"/>
        <v>99.806408891369188</v>
      </c>
      <c r="K18" s="35"/>
      <c r="L18" s="45"/>
      <c r="N18" s="25"/>
    </row>
    <row r="19" spans="1:16" x14ac:dyDescent="0.35">
      <c r="A19" s="35" t="s">
        <v>215</v>
      </c>
      <c r="B19">
        <v>1</v>
      </c>
      <c r="C19">
        <v>0</v>
      </c>
      <c r="D19">
        <v>3617.09</v>
      </c>
      <c r="E19">
        <v>2</v>
      </c>
      <c r="F19" s="44">
        <f t="shared" si="0"/>
        <v>0</v>
      </c>
      <c r="G19" s="44">
        <f t="shared" si="1"/>
        <v>110.82449905018692</v>
      </c>
      <c r="H19" s="14">
        <f t="shared" si="3"/>
        <v>1.1082449905018692</v>
      </c>
      <c r="I19" s="14">
        <f t="shared" si="2"/>
        <v>0</v>
      </c>
      <c r="J19" s="14">
        <f t="shared" si="2"/>
        <v>100</v>
      </c>
      <c r="K19" s="45">
        <f>AVERAGE(J19:J21)</f>
        <v>99.873446279469547</v>
      </c>
      <c r="L19" s="45">
        <f>_xlfn.STDEV.S(J19:J21)</f>
        <v>0.11322655078942487</v>
      </c>
      <c r="N19" s="25"/>
    </row>
    <row r="20" spans="1:16" x14ac:dyDescent="0.35">
      <c r="A20" s="35"/>
      <c r="B20">
        <v>2</v>
      </c>
      <c r="C20">
        <v>17.7</v>
      </c>
      <c r="D20">
        <v>3976.09</v>
      </c>
      <c r="E20">
        <v>2</v>
      </c>
      <c r="F20" s="44">
        <f t="shared" si="0"/>
        <v>0.19694019471488178</v>
      </c>
      <c r="G20" s="44">
        <f t="shared" si="1"/>
        <v>121.82394754580551</v>
      </c>
      <c r="H20" s="14">
        <f t="shared" si="3"/>
        <v>1.220208877405204</v>
      </c>
      <c r="I20" s="14">
        <f t="shared" si="2"/>
        <v>0.16139875587012498</v>
      </c>
      <c r="J20" s="14">
        <f t="shared" si="2"/>
        <v>99.838601244129862</v>
      </c>
      <c r="K20" s="35"/>
      <c r="L20" s="45"/>
      <c r="N20" s="25"/>
    </row>
    <row r="21" spans="1:16" x14ac:dyDescent="0.35">
      <c r="A21" s="35"/>
      <c r="B21">
        <v>3</v>
      </c>
      <c r="C21">
        <v>21.5</v>
      </c>
      <c r="D21">
        <v>3569.4</v>
      </c>
      <c r="E21">
        <v>2</v>
      </c>
      <c r="F21" s="44">
        <f t="shared" si="0"/>
        <v>0.23922114047287898</v>
      </c>
      <c r="G21" s="44">
        <f t="shared" si="1"/>
        <v>109.36331883081073</v>
      </c>
      <c r="H21" s="14">
        <f t="shared" si="3"/>
        <v>1.096025399712836</v>
      </c>
      <c r="I21" s="14">
        <f t="shared" si="2"/>
        <v>0.21826240572121422</v>
      </c>
      <c r="J21" s="14">
        <f t="shared" si="2"/>
        <v>99.781737594278795</v>
      </c>
      <c r="K21" s="35"/>
      <c r="L21" s="45"/>
      <c r="N21" s="25"/>
    </row>
    <row r="22" spans="1:16" x14ac:dyDescent="0.35">
      <c r="A22" s="35" t="s">
        <v>216</v>
      </c>
      <c r="B22">
        <v>1</v>
      </c>
      <c r="C22">
        <v>0</v>
      </c>
      <c r="D22">
        <v>3291.01</v>
      </c>
      <c r="E22">
        <v>2</v>
      </c>
      <c r="F22" s="44">
        <f t="shared" si="0"/>
        <v>0</v>
      </c>
      <c r="G22" s="44">
        <f t="shared" si="1"/>
        <v>100.83369078987684</v>
      </c>
      <c r="H22" s="14">
        <f t="shared" si="3"/>
        <v>1.0083369078987685</v>
      </c>
      <c r="I22" s="14">
        <f t="shared" si="2"/>
        <v>0</v>
      </c>
      <c r="J22" s="14">
        <f t="shared" si="2"/>
        <v>99.999999999999986</v>
      </c>
      <c r="K22" s="45">
        <f>AVERAGE(J22:J24)</f>
        <v>99.890171447018091</v>
      </c>
      <c r="L22" s="45">
        <f>_xlfn.STDEV.S(J22:J24)</f>
        <v>9.557115696541868E-2</v>
      </c>
      <c r="N22" s="25"/>
    </row>
    <row r="23" spans="1:16" x14ac:dyDescent="0.35">
      <c r="A23" s="35"/>
      <c r="B23">
        <v>2</v>
      </c>
      <c r="C23">
        <v>16.3</v>
      </c>
      <c r="D23">
        <v>3802.94</v>
      </c>
      <c r="E23">
        <v>2</v>
      </c>
      <c r="F23" s="44">
        <f t="shared" si="0"/>
        <v>0.18136300417246176</v>
      </c>
      <c r="G23" s="44">
        <f t="shared" si="1"/>
        <v>116.51878178809977</v>
      </c>
      <c r="H23" s="14">
        <f t="shared" si="3"/>
        <v>1.1670014479227224</v>
      </c>
      <c r="I23" s="14">
        <f t="shared" si="2"/>
        <v>0.15540940801340927</v>
      </c>
      <c r="J23" s="14">
        <f t="shared" si="2"/>
        <v>99.844590591986588</v>
      </c>
      <c r="K23" s="45"/>
      <c r="L23" s="45"/>
      <c r="N23" s="25"/>
    </row>
    <row r="24" spans="1:16" x14ac:dyDescent="0.35">
      <c r="A24" s="35"/>
      <c r="B24">
        <v>3</v>
      </c>
      <c r="C24">
        <v>18.2</v>
      </c>
      <c r="D24">
        <v>3790.18</v>
      </c>
      <c r="E24">
        <v>2</v>
      </c>
      <c r="F24" s="44">
        <f t="shared" si="0"/>
        <v>0.20250347705146035</v>
      </c>
      <c r="G24" s="44">
        <f t="shared" si="1"/>
        <v>116.12782645995466</v>
      </c>
      <c r="H24" s="14">
        <f t="shared" si="3"/>
        <v>1.1633032993700612</v>
      </c>
      <c r="I24" s="14">
        <f t="shared" si="2"/>
        <v>0.17407625093225279</v>
      </c>
      <c r="J24" s="14">
        <f t="shared" si="2"/>
        <v>99.825923749067755</v>
      </c>
      <c r="K24" s="45"/>
      <c r="L24" s="45"/>
      <c r="N24" s="25"/>
    </row>
    <row r="25" spans="1:16" x14ac:dyDescent="0.35">
      <c r="A25" s="35" t="s">
        <v>217</v>
      </c>
      <c r="B25">
        <v>1</v>
      </c>
      <c r="C25">
        <v>42</v>
      </c>
      <c r="D25">
        <v>3397.12</v>
      </c>
      <c r="E25">
        <f>E24</f>
        <v>2</v>
      </c>
      <c r="F25" s="44">
        <f t="shared" si="0"/>
        <v>0.46731571627260082</v>
      </c>
      <c r="G25" s="44">
        <f t="shared" si="1"/>
        <v>104.08480911820577</v>
      </c>
      <c r="H25" s="14">
        <f t="shared" si="3"/>
        <v>1.0455212483447835</v>
      </c>
      <c r="I25" s="14">
        <f t="shared" si="2"/>
        <v>0.44696912378627546</v>
      </c>
      <c r="J25" s="14">
        <f t="shared" si="2"/>
        <v>99.553030876213739</v>
      </c>
      <c r="K25" s="45">
        <f t="shared" ref="K25" si="4">AVERAGE(J25:J27)</f>
        <v>99.497736419038517</v>
      </c>
      <c r="L25" s="45">
        <f t="shared" ref="L25" si="5">_xlfn.STDEV.S(J25:J27)</f>
        <v>0.16626534291593623</v>
      </c>
    </row>
    <row r="26" spans="1:16" x14ac:dyDescent="0.35">
      <c r="A26" s="35"/>
      <c r="B26">
        <v>2</v>
      </c>
      <c r="C26">
        <v>38.9</v>
      </c>
      <c r="D26">
        <v>3796.73</v>
      </c>
      <c r="E26">
        <f t="shared" ref="E26:E33" si="6">E25</f>
        <v>2</v>
      </c>
      <c r="F26" s="44">
        <f t="shared" si="0"/>
        <v>0.4328233657858136</v>
      </c>
      <c r="G26" s="44">
        <f t="shared" si="1"/>
        <v>116.32851277651818</v>
      </c>
      <c r="H26" s="14">
        <f t="shared" si="3"/>
        <v>1.16761336142304</v>
      </c>
      <c r="I26" s="14">
        <f t="shared" si="2"/>
        <v>0.37069065847131621</v>
      </c>
      <c r="J26" s="14">
        <f t="shared" si="2"/>
        <v>99.629309341528682</v>
      </c>
      <c r="K26" s="45"/>
      <c r="L26" s="45"/>
    </row>
    <row r="27" spans="1:16" x14ac:dyDescent="0.35">
      <c r="A27" s="35"/>
      <c r="B27">
        <v>3</v>
      </c>
      <c r="C27">
        <v>66</v>
      </c>
      <c r="D27">
        <v>3454.01</v>
      </c>
      <c r="E27">
        <f t="shared" si="6"/>
        <v>2</v>
      </c>
      <c r="F27" s="44">
        <f t="shared" si="0"/>
        <v>0.73435326842837279</v>
      </c>
      <c r="G27" s="44">
        <f t="shared" si="1"/>
        <v>105.82786935473989</v>
      </c>
      <c r="H27" s="14">
        <f t="shared" si="3"/>
        <v>1.0656222262316826</v>
      </c>
      <c r="I27" s="14">
        <f t="shared" si="2"/>
        <v>0.68913096062686019</v>
      </c>
      <c r="J27" s="14">
        <f t="shared" si="2"/>
        <v>99.310869039373145</v>
      </c>
      <c r="K27" s="45"/>
      <c r="L27" s="45"/>
      <c r="O27" s="25"/>
    </row>
    <row r="28" spans="1:16" x14ac:dyDescent="0.35">
      <c r="A28" s="35" t="s">
        <v>218</v>
      </c>
      <c r="B28">
        <v>1</v>
      </c>
      <c r="C28">
        <v>0</v>
      </c>
      <c r="D28">
        <v>3285.09</v>
      </c>
      <c r="E28">
        <f t="shared" si="6"/>
        <v>2</v>
      </c>
      <c r="F28" s="44">
        <f t="shared" si="0"/>
        <v>0</v>
      </c>
      <c r="G28" s="44">
        <f t="shared" si="1"/>
        <v>100.65230712666218</v>
      </c>
      <c r="H28" s="14">
        <f t="shared" si="3"/>
        <v>1.0065230712666218</v>
      </c>
      <c r="I28" s="14">
        <f t="shared" si="2"/>
        <v>0</v>
      </c>
      <c r="J28" s="14">
        <f t="shared" si="2"/>
        <v>100</v>
      </c>
      <c r="K28" s="45">
        <f t="shared" ref="K28" si="7">AVERAGE(J28:J30)</f>
        <v>99.912273445418577</v>
      </c>
      <c r="L28" s="45">
        <f t="shared" ref="L28" si="8">_xlfn.STDEV.S(J28:J30)</f>
        <v>7.906218891988416E-2</v>
      </c>
      <c r="N28" s="25"/>
      <c r="O28" s="25"/>
      <c r="P28" s="25"/>
    </row>
    <row r="29" spans="1:16" x14ac:dyDescent="0.35">
      <c r="A29" s="35"/>
      <c r="B29">
        <v>2</v>
      </c>
      <c r="C29">
        <v>11</v>
      </c>
      <c r="D29">
        <v>3637.2</v>
      </c>
      <c r="E29">
        <f t="shared" si="6"/>
        <v>2</v>
      </c>
      <c r="F29" s="44">
        <f t="shared" si="0"/>
        <v>0.12239221140472879</v>
      </c>
      <c r="G29" s="44">
        <f t="shared" si="1"/>
        <v>111.44065200073534</v>
      </c>
      <c r="H29" s="14">
        <f t="shared" si="3"/>
        <v>1.1156304421214007</v>
      </c>
      <c r="I29" s="14">
        <f t="shared" si="2"/>
        <v>0.10970676918065876</v>
      </c>
      <c r="J29" s="14">
        <f t="shared" si="2"/>
        <v>99.890293230819339</v>
      </c>
      <c r="K29" s="45"/>
      <c r="L29" s="45"/>
      <c r="P29" s="25"/>
    </row>
    <row r="30" spans="1:16" x14ac:dyDescent="0.35">
      <c r="A30" s="35"/>
      <c r="B30">
        <v>3</v>
      </c>
      <c r="C30">
        <v>16.3</v>
      </c>
      <c r="D30">
        <v>3851</v>
      </c>
      <c r="E30">
        <f t="shared" si="6"/>
        <v>2</v>
      </c>
      <c r="F30" s="44">
        <f t="shared" si="0"/>
        <v>0.18136300417246176</v>
      </c>
      <c r="G30" s="44">
        <f t="shared" si="1"/>
        <v>117.99129848642687</v>
      </c>
      <c r="H30" s="14">
        <f t="shared" si="3"/>
        <v>1.1817266149059933</v>
      </c>
      <c r="I30" s="14">
        <f t="shared" si="2"/>
        <v>0.1534728945635952</v>
      </c>
      <c r="J30" s="14">
        <f t="shared" si="2"/>
        <v>99.846527105436408</v>
      </c>
      <c r="K30" s="45"/>
      <c r="L30" s="45"/>
    </row>
    <row r="31" spans="1:16" x14ac:dyDescent="0.35">
      <c r="A31" s="35" t="s">
        <v>219</v>
      </c>
      <c r="B31">
        <v>1</v>
      </c>
      <c r="C31">
        <v>7.8</v>
      </c>
      <c r="D31">
        <v>3615.39</v>
      </c>
      <c r="E31">
        <f t="shared" si="6"/>
        <v>2</v>
      </c>
      <c r="F31" s="44">
        <f t="shared" si="0"/>
        <v>8.6787204450625863E-2</v>
      </c>
      <c r="G31" s="44">
        <f t="shared" si="1"/>
        <v>110.77241252527729</v>
      </c>
      <c r="H31" s="14">
        <f t="shared" si="3"/>
        <v>1.1085919972972791</v>
      </c>
      <c r="I31" s="14">
        <f t="shared" si="2"/>
        <v>7.8285974156597743E-2</v>
      </c>
      <c r="J31" s="14">
        <f t="shared" si="2"/>
        <v>99.921714025843414</v>
      </c>
      <c r="K31" s="45">
        <f t="shared" ref="K31" si="9">AVERAGE(J31:J33)</f>
        <v>99.875314173608217</v>
      </c>
      <c r="L31" s="45">
        <f>_xlfn.STDEV.S(J31:J33)</f>
        <v>5.5702159741819281E-2</v>
      </c>
    </row>
    <row r="32" spans="1:16" x14ac:dyDescent="0.35">
      <c r="A32" s="35"/>
      <c r="B32">
        <v>2</v>
      </c>
      <c r="C32">
        <v>11.8</v>
      </c>
      <c r="D32">
        <v>3915.87</v>
      </c>
      <c r="E32">
        <f t="shared" si="6"/>
        <v>2</v>
      </c>
      <c r="F32" s="44">
        <f t="shared" si="0"/>
        <v>0.13129346314325452</v>
      </c>
      <c r="G32" s="44">
        <f t="shared" si="1"/>
        <v>119.97885899871316</v>
      </c>
      <c r="H32" s="14">
        <f t="shared" si="3"/>
        <v>1.2011015246185641</v>
      </c>
      <c r="I32" s="14">
        <f t="shared" si="2"/>
        <v>0.10931087876601406</v>
      </c>
      <c r="J32" s="14">
        <f t="shared" si="2"/>
        <v>99.89068912123399</v>
      </c>
      <c r="K32" s="45"/>
      <c r="L32" s="45"/>
    </row>
    <row r="33" spans="1:16" x14ac:dyDescent="0.35">
      <c r="A33" s="35"/>
      <c r="B33">
        <v>3</v>
      </c>
      <c r="C33">
        <v>19.2</v>
      </c>
      <c r="D33">
        <v>3732.4</v>
      </c>
      <c r="E33">
        <f t="shared" si="6"/>
        <v>2</v>
      </c>
      <c r="F33" s="44">
        <f t="shared" si="0"/>
        <v>0.21363004172461753</v>
      </c>
      <c r="G33" s="44">
        <f t="shared" si="1"/>
        <v>114.35749739567376</v>
      </c>
      <c r="H33" s="14">
        <f t="shared" si="3"/>
        <v>1.1457112743739837</v>
      </c>
      <c r="I33" s="14">
        <f t="shared" si="2"/>
        <v>0.18646062625275719</v>
      </c>
      <c r="J33" s="14">
        <f t="shared" si="2"/>
        <v>99.813539373747247</v>
      </c>
      <c r="K33" s="45"/>
      <c r="L33" s="45"/>
      <c r="N33" s="25"/>
      <c r="O33" s="25"/>
    </row>
    <row r="34" spans="1:16" x14ac:dyDescent="0.35">
      <c r="A34" s="35" t="s">
        <v>220</v>
      </c>
      <c r="B34">
        <v>1</v>
      </c>
      <c r="C34">
        <v>8522.4</v>
      </c>
      <c r="D34">
        <v>0</v>
      </c>
      <c r="E34">
        <v>2</v>
      </c>
      <c r="F34" s="44">
        <f t="shared" si="0"/>
        <v>94.825034770514605</v>
      </c>
      <c r="G34" s="44">
        <f t="shared" si="1"/>
        <v>0</v>
      </c>
      <c r="H34" s="14">
        <f t="shared" si="3"/>
        <v>0.94825034770514605</v>
      </c>
      <c r="I34" s="14">
        <f t="shared" si="2"/>
        <v>100</v>
      </c>
      <c r="J34" s="14">
        <f t="shared" si="2"/>
        <v>0</v>
      </c>
      <c r="K34" s="22"/>
      <c r="N34" s="25"/>
      <c r="P34" s="25"/>
    </row>
    <row r="35" spans="1:16" x14ac:dyDescent="0.35">
      <c r="A35" s="35"/>
      <c r="B35">
        <v>2</v>
      </c>
      <c r="C35">
        <v>9214.2000000000007</v>
      </c>
      <c r="D35">
        <v>0</v>
      </c>
      <c r="E35">
        <v>2</v>
      </c>
      <c r="F35" s="44">
        <f t="shared" si="0"/>
        <v>102.52239221140474</v>
      </c>
      <c r="G35" s="44">
        <f t="shared" si="1"/>
        <v>0</v>
      </c>
      <c r="H35" s="14">
        <f t="shared" si="3"/>
        <v>1.0252239221140473</v>
      </c>
      <c r="I35" s="14">
        <f t="shared" si="2"/>
        <v>100</v>
      </c>
      <c r="J35" s="14">
        <f t="shared" si="2"/>
        <v>0</v>
      </c>
      <c r="N35" s="25"/>
    </row>
    <row r="36" spans="1:16" x14ac:dyDescent="0.35">
      <c r="A36" s="35"/>
      <c r="B36">
        <v>3</v>
      </c>
      <c r="C36">
        <v>9021.1</v>
      </c>
      <c r="D36">
        <v>0</v>
      </c>
      <c r="E36">
        <v>2</v>
      </c>
      <c r="F36" s="44">
        <f t="shared" si="0"/>
        <v>100.37385257301808</v>
      </c>
      <c r="G36" s="44">
        <f t="shared" si="1"/>
        <v>0</v>
      </c>
      <c r="H36" s="14">
        <f t="shared" si="3"/>
        <v>1.0037385257301807</v>
      </c>
      <c r="I36" s="14">
        <f t="shared" ref="I36:J36" si="10">F36/$H36</f>
        <v>100.00000000000001</v>
      </c>
      <c r="J36" s="14">
        <f t="shared" si="10"/>
        <v>0</v>
      </c>
      <c r="N36" s="25"/>
    </row>
    <row r="37" spans="1:16" x14ac:dyDescent="0.35">
      <c r="G37" s="44"/>
      <c r="N37" s="25"/>
    </row>
    <row r="38" spans="1:16" x14ac:dyDescent="0.35">
      <c r="N38" s="25"/>
    </row>
    <row r="39" spans="1:16" x14ac:dyDescent="0.35">
      <c r="A39" s="42" t="s">
        <v>197</v>
      </c>
      <c r="B39" s="42" t="s">
        <v>209</v>
      </c>
      <c r="C39" s="42" t="s">
        <v>211</v>
      </c>
      <c r="N39" s="25"/>
    </row>
    <row r="40" spans="1:16" x14ac:dyDescent="0.35">
      <c r="A40" s="40" t="s">
        <v>214</v>
      </c>
      <c r="B40" s="47">
        <f>K16</f>
        <v>99.877956307297623</v>
      </c>
      <c r="C40" s="49">
        <f>L16</f>
        <v>0.10621574653152717</v>
      </c>
      <c r="N40" s="25"/>
    </row>
    <row r="41" spans="1:16" x14ac:dyDescent="0.35">
      <c r="A41" s="40" t="s">
        <v>215</v>
      </c>
      <c r="B41" s="47">
        <f>K19</f>
        <v>99.873446279469547</v>
      </c>
      <c r="C41" s="49">
        <f>L19</f>
        <v>0.11322655078942487</v>
      </c>
      <c r="N41" s="25"/>
    </row>
    <row r="42" spans="1:16" x14ac:dyDescent="0.35">
      <c r="A42" s="40" t="s">
        <v>216</v>
      </c>
      <c r="B42" s="47">
        <f>K22</f>
        <v>99.890171447018091</v>
      </c>
      <c r="C42" s="49">
        <f>L22</f>
        <v>9.557115696541868E-2</v>
      </c>
      <c r="N42" s="25"/>
    </row>
    <row r="43" spans="1:16" x14ac:dyDescent="0.35">
      <c r="A43" s="40" t="s">
        <v>217</v>
      </c>
      <c r="B43" s="47">
        <f>K25</f>
        <v>99.497736419038517</v>
      </c>
      <c r="C43" s="49">
        <f>L25</f>
        <v>0.16626534291593623</v>
      </c>
      <c r="O43" s="25"/>
    </row>
    <row r="44" spans="1:16" x14ac:dyDescent="0.35">
      <c r="A44" s="40" t="s">
        <v>218</v>
      </c>
      <c r="B44" s="47">
        <f>K28</f>
        <v>99.912273445418577</v>
      </c>
      <c r="C44" s="49">
        <f>L28</f>
        <v>7.906218891988416E-2</v>
      </c>
    </row>
    <row r="45" spans="1:16" x14ac:dyDescent="0.35">
      <c r="A45" s="40" t="s">
        <v>219</v>
      </c>
      <c r="B45" s="47">
        <f>K31</f>
        <v>99.875314173608217</v>
      </c>
      <c r="C45" s="49">
        <f>L31</f>
        <v>5.5702159741819281E-2</v>
      </c>
    </row>
  </sheetData>
  <mergeCells count="21">
    <mergeCell ref="A34:A36"/>
    <mergeCell ref="A28:A30"/>
    <mergeCell ref="K28:K30"/>
    <mergeCell ref="L28:L30"/>
    <mergeCell ref="A31:A33"/>
    <mergeCell ref="K31:K33"/>
    <mergeCell ref="L31:L33"/>
    <mergeCell ref="A22:A24"/>
    <mergeCell ref="K22:K24"/>
    <mergeCell ref="L22:L24"/>
    <mergeCell ref="A25:A27"/>
    <mergeCell ref="K25:K27"/>
    <mergeCell ref="L25:L27"/>
    <mergeCell ref="A5:B5"/>
    <mergeCell ref="A10:B10"/>
    <mergeCell ref="A16:A18"/>
    <mergeCell ref="K16:K18"/>
    <mergeCell ref="L16:L18"/>
    <mergeCell ref="A19:A21"/>
    <mergeCell ref="K19:K21"/>
    <mergeCell ref="L19:L21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1928F-F5B4-43CD-A6AE-35347E2A8384}">
  <dimension ref="A2:I27"/>
  <sheetViews>
    <sheetView zoomScale="90" zoomScaleNormal="90" workbookViewId="0">
      <selection activeCell="I12" sqref="I12"/>
    </sheetView>
  </sheetViews>
  <sheetFormatPr defaultColWidth="10.90625" defaultRowHeight="14.5" x14ac:dyDescent="0.35"/>
  <cols>
    <col min="1" max="1" width="24.1796875" customWidth="1"/>
    <col min="2" max="2" width="15.81640625" customWidth="1"/>
    <col min="3" max="3" width="12.1796875" customWidth="1"/>
    <col min="4" max="4" width="17.453125" customWidth="1"/>
    <col min="5" max="5" width="14.81640625" customWidth="1"/>
  </cols>
  <sheetData>
    <row r="2" spans="1:5" x14ac:dyDescent="0.35">
      <c r="A2" t="s">
        <v>221</v>
      </c>
      <c r="B2" t="s">
        <v>222</v>
      </c>
      <c r="C2" t="s">
        <v>223</v>
      </c>
      <c r="D2" t="s">
        <v>224</v>
      </c>
      <c r="E2" t="s">
        <v>225</v>
      </c>
    </row>
    <row r="3" spans="1:5" x14ac:dyDescent="0.35">
      <c r="A3">
        <v>0</v>
      </c>
      <c r="B3">
        <v>0</v>
      </c>
      <c r="C3">
        <v>0</v>
      </c>
      <c r="D3">
        <f t="shared" ref="D3:D8" si="0">AVERAGE(B3:C3)</f>
        <v>0</v>
      </c>
      <c r="E3" s="44">
        <f t="shared" ref="E3:E8" si="1">_xlfn.STDEV.S(B3:C3)</f>
        <v>0</v>
      </c>
    </row>
    <row r="4" spans="1:5" x14ac:dyDescent="0.35">
      <c r="A4">
        <v>5</v>
      </c>
      <c r="B4">
        <v>891.4</v>
      </c>
      <c r="C4">
        <v>854.9</v>
      </c>
      <c r="D4">
        <f t="shared" si="0"/>
        <v>873.15</v>
      </c>
      <c r="E4" s="44">
        <f t="shared" si="1"/>
        <v>25.809397513308983</v>
      </c>
    </row>
    <row r="5" spans="1:5" x14ac:dyDescent="0.35">
      <c r="A5">
        <v>10</v>
      </c>
      <c r="B5">
        <v>1638.1</v>
      </c>
      <c r="C5">
        <v>1582.5</v>
      </c>
      <c r="D5">
        <f t="shared" si="0"/>
        <v>1610.3</v>
      </c>
      <c r="E5" s="44">
        <f t="shared" si="1"/>
        <v>39.315137033971979</v>
      </c>
    </row>
    <row r="6" spans="1:5" x14ac:dyDescent="0.35">
      <c r="A6">
        <v>25</v>
      </c>
      <c r="B6">
        <v>4900.2</v>
      </c>
      <c r="C6">
        <v>4832</v>
      </c>
      <c r="D6">
        <f t="shared" si="0"/>
        <v>4866.1000000000004</v>
      </c>
      <c r="E6" s="44">
        <f t="shared" si="1"/>
        <v>48.224682476922411</v>
      </c>
    </row>
    <row r="7" spans="1:5" x14ac:dyDescent="0.35">
      <c r="A7">
        <v>50</v>
      </c>
      <c r="B7">
        <v>8816.7000000000007</v>
      </c>
      <c r="C7">
        <v>8866.2000000000007</v>
      </c>
      <c r="D7">
        <f t="shared" si="0"/>
        <v>8841.4500000000007</v>
      </c>
      <c r="E7" s="44">
        <f t="shared" si="1"/>
        <v>35.001785668734101</v>
      </c>
    </row>
    <row r="8" spans="1:5" x14ac:dyDescent="0.35">
      <c r="A8">
        <v>75</v>
      </c>
      <c r="B8">
        <v>11129.5</v>
      </c>
      <c r="C8">
        <v>10897.7</v>
      </c>
      <c r="D8">
        <f t="shared" si="0"/>
        <v>11013.6</v>
      </c>
      <c r="E8" s="44">
        <f t="shared" si="1"/>
        <v>163.90735187904122</v>
      </c>
    </row>
    <row r="17" spans="1:9" x14ac:dyDescent="0.35">
      <c r="A17" t="s">
        <v>226</v>
      </c>
      <c r="B17" t="s">
        <v>227</v>
      </c>
      <c r="C17" t="s">
        <v>228</v>
      </c>
      <c r="D17" t="s">
        <v>229</v>
      </c>
      <c r="E17" t="s">
        <v>230</v>
      </c>
    </row>
    <row r="18" spans="1:9" x14ac:dyDescent="0.35">
      <c r="A18">
        <v>0</v>
      </c>
      <c r="B18">
        <v>0</v>
      </c>
      <c r="C18">
        <v>0</v>
      </c>
      <c r="D18">
        <f t="shared" ref="D18:D23" si="2">AVERAGE(B18:C18)</f>
        <v>0</v>
      </c>
      <c r="E18" s="44">
        <f t="shared" ref="E18:E23" si="3">_xlfn.STDEV.S(B18:C18)</f>
        <v>0</v>
      </c>
      <c r="I18" s="44"/>
    </row>
    <row r="19" spans="1:9" x14ac:dyDescent="0.35">
      <c r="A19">
        <v>5</v>
      </c>
      <c r="B19">
        <v>420.82600000000002</v>
      </c>
      <c r="C19">
        <v>410</v>
      </c>
      <c r="D19">
        <f t="shared" si="2"/>
        <v>415.41300000000001</v>
      </c>
      <c r="E19" s="44">
        <f t="shared" si="3"/>
        <v>7.6551380131255788</v>
      </c>
      <c r="I19" s="44"/>
    </row>
    <row r="20" spans="1:9" x14ac:dyDescent="0.35">
      <c r="A20">
        <v>10</v>
      </c>
      <c r="B20">
        <v>756.8</v>
      </c>
      <c r="C20">
        <v>734.8</v>
      </c>
      <c r="D20">
        <f t="shared" si="2"/>
        <v>745.8</v>
      </c>
      <c r="E20" s="44">
        <f t="shared" si="3"/>
        <v>15.556349186104045</v>
      </c>
      <c r="I20" s="44"/>
    </row>
    <row r="21" spans="1:9" x14ac:dyDescent="0.35">
      <c r="A21">
        <v>25</v>
      </c>
      <c r="B21">
        <v>1558.4</v>
      </c>
      <c r="C21">
        <v>1568.4</v>
      </c>
      <c r="D21">
        <f t="shared" si="2"/>
        <v>1563.4</v>
      </c>
      <c r="E21" s="44">
        <f t="shared" si="3"/>
        <v>7.0710678118654755</v>
      </c>
      <c r="I21" s="44"/>
    </row>
    <row r="22" spans="1:9" x14ac:dyDescent="0.35">
      <c r="A22">
        <v>50</v>
      </c>
      <c r="B22">
        <v>3291.1</v>
      </c>
      <c r="C22">
        <v>3257.7</v>
      </c>
      <c r="D22">
        <f t="shared" si="2"/>
        <v>3274.3999999999996</v>
      </c>
      <c r="E22" s="44">
        <f t="shared" si="3"/>
        <v>23.617366491630751</v>
      </c>
      <c r="I22" s="44"/>
    </row>
    <row r="23" spans="1:9" x14ac:dyDescent="0.35">
      <c r="A23">
        <v>75</v>
      </c>
      <c r="B23">
        <v>4933.6000000000004</v>
      </c>
      <c r="C23">
        <v>4852.6000000000004</v>
      </c>
      <c r="D23">
        <f t="shared" si="2"/>
        <v>4893.1000000000004</v>
      </c>
      <c r="E23" s="44">
        <f t="shared" si="3"/>
        <v>57.27564927611035</v>
      </c>
      <c r="I23" s="44"/>
    </row>
    <row r="27" spans="1:9" x14ac:dyDescent="0.35">
      <c r="A27" t="s">
        <v>231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6351B-E84F-4009-9BA7-685586CCA2E9}">
  <dimension ref="A1:C31"/>
  <sheetViews>
    <sheetView topLeftCell="A19" zoomScale="70" zoomScaleNormal="70" workbookViewId="0">
      <selection activeCell="E36" sqref="E36"/>
    </sheetView>
  </sheetViews>
  <sheetFormatPr defaultColWidth="8.81640625" defaultRowHeight="14.5" x14ac:dyDescent="0.35"/>
  <cols>
    <col min="1" max="1" width="17.6328125" bestFit="1" customWidth="1"/>
    <col min="2" max="2" width="13.6328125" bestFit="1" customWidth="1"/>
    <col min="3" max="3" width="16.1796875" bestFit="1" customWidth="1"/>
  </cols>
  <sheetData>
    <row r="1" spans="1:3" x14ac:dyDescent="0.35">
      <c r="A1" t="s">
        <v>184</v>
      </c>
      <c r="B1" t="s">
        <v>185</v>
      </c>
      <c r="C1" t="s">
        <v>186</v>
      </c>
    </row>
    <row r="2" spans="1:3" x14ac:dyDescent="0.35">
      <c r="A2">
        <v>5</v>
      </c>
      <c r="B2">
        <v>995.48099999999999</v>
      </c>
      <c r="C2">
        <v>412.57</v>
      </c>
    </row>
    <row r="3" spans="1:3" x14ac:dyDescent="0.35">
      <c r="A3">
        <v>10</v>
      </c>
      <c r="B3">
        <v>2072.65</v>
      </c>
      <c r="C3">
        <v>808.05</v>
      </c>
    </row>
    <row r="4" spans="1:3" x14ac:dyDescent="0.35">
      <c r="A4">
        <v>20</v>
      </c>
      <c r="B4">
        <v>4000.05</v>
      </c>
    </row>
    <row r="5" spans="1:3" x14ac:dyDescent="0.35">
      <c r="A5">
        <v>25</v>
      </c>
      <c r="B5">
        <v>4634.13</v>
      </c>
      <c r="C5">
        <v>1953.2</v>
      </c>
    </row>
    <row r="6" spans="1:3" x14ac:dyDescent="0.35">
      <c r="A6">
        <v>40</v>
      </c>
      <c r="B6">
        <v>8218.52</v>
      </c>
      <c r="C6">
        <v>2841.5</v>
      </c>
    </row>
    <row r="7" spans="1:3" x14ac:dyDescent="0.35">
      <c r="A7">
        <v>50</v>
      </c>
      <c r="B7">
        <v>10724.9</v>
      </c>
      <c r="C7">
        <v>3882.5</v>
      </c>
    </row>
    <row r="8" spans="1:3" x14ac:dyDescent="0.35">
      <c r="A8">
        <v>80</v>
      </c>
      <c r="B8">
        <v>17340</v>
      </c>
      <c r="C8">
        <v>6342.51</v>
      </c>
    </row>
    <row r="9" spans="1:3" x14ac:dyDescent="0.35">
      <c r="A9">
        <v>100</v>
      </c>
      <c r="C9">
        <v>8342</v>
      </c>
    </row>
    <row r="12" spans="1:3" x14ac:dyDescent="0.35">
      <c r="A12" t="s">
        <v>184</v>
      </c>
      <c r="B12" t="s">
        <v>187</v>
      </c>
      <c r="C12" s="25" t="s">
        <v>188</v>
      </c>
    </row>
    <row r="13" spans="1:3" x14ac:dyDescent="0.35">
      <c r="A13">
        <v>3.125</v>
      </c>
      <c r="B13">
        <v>296.39999999999998</v>
      </c>
      <c r="C13">
        <v>283</v>
      </c>
    </row>
    <row r="14" spans="1:3" x14ac:dyDescent="0.35">
      <c r="A14">
        <f>A13*2</f>
        <v>6.25</v>
      </c>
      <c r="B14">
        <v>616.70000000000005</v>
      </c>
      <c r="C14">
        <v>588.20000000000005</v>
      </c>
    </row>
    <row r="15" spans="1:3" x14ac:dyDescent="0.35">
      <c r="A15">
        <f t="shared" ref="A15:A18" si="0">A14*2</f>
        <v>12.5</v>
      </c>
      <c r="B15">
        <v>1272.3</v>
      </c>
      <c r="C15">
        <v>1176.0999999999999</v>
      </c>
    </row>
    <row r="16" spans="1:3" x14ac:dyDescent="0.35">
      <c r="A16">
        <f t="shared" si="0"/>
        <v>25</v>
      </c>
      <c r="B16">
        <v>2664.7</v>
      </c>
      <c r="C16">
        <v>2212.9</v>
      </c>
    </row>
    <row r="17" spans="1:3" x14ac:dyDescent="0.35">
      <c r="A17">
        <f>A16*2</f>
        <v>50</v>
      </c>
      <c r="B17">
        <v>5238.5</v>
      </c>
      <c r="C17">
        <v>4689.5</v>
      </c>
    </row>
    <row r="18" spans="1:3" x14ac:dyDescent="0.35">
      <c r="A18">
        <f t="shared" si="0"/>
        <v>100</v>
      </c>
      <c r="B18">
        <v>10616.3</v>
      </c>
      <c r="C18">
        <v>9506.25</v>
      </c>
    </row>
    <row r="19" spans="1:3" x14ac:dyDescent="0.35">
      <c r="A19">
        <v>150</v>
      </c>
      <c r="B19">
        <v>15801.6</v>
      </c>
      <c r="C19">
        <v>14678.5</v>
      </c>
    </row>
    <row r="20" spans="1:3" x14ac:dyDescent="0.35">
      <c r="A20">
        <v>200</v>
      </c>
      <c r="B20">
        <v>20924.099999999999</v>
      </c>
    </row>
    <row r="22" spans="1:3" x14ac:dyDescent="0.35">
      <c r="A22" t="s">
        <v>184</v>
      </c>
      <c r="B22" t="s">
        <v>189</v>
      </c>
    </row>
    <row r="23" spans="1:3" x14ac:dyDescent="0.35">
      <c r="A23">
        <v>2.5</v>
      </c>
      <c r="B23">
        <v>172.6</v>
      </c>
    </row>
    <row r="24" spans="1:3" x14ac:dyDescent="0.35">
      <c r="A24">
        <v>5</v>
      </c>
      <c r="B24">
        <v>368.2</v>
      </c>
    </row>
    <row r="25" spans="1:3" x14ac:dyDescent="0.35">
      <c r="A25">
        <v>10</v>
      </c>
      <c r="B25">
        <v>763.6</v>
      </c>
    </row>
    <row r="26" spans="1:3" x14ac:dyDescent="0.35">
      <c r="A26">
        <v>20</v>
      </c>
      <c r="B26">
        <v>1597.5</v>
      </c>
    </row>
    <row r="27" spans="1:3" x14ac:dyDescent="0.35">
      <c r="A27">
        <v>25</v>
      </c>
      <c r="B27">
        <v>1984.6</v>
      </c>
    </row>
    <row r="28" spans="1:3" x14ac:dyDescent="0.35">
      <c r="A28">
        <v>40</v>
      </c>
      <c r="B28">
        <v>3209.4</v>
      </c>
    </row>
    <row r="29" spans="1:3" x14ac:dyDescent="0.35">
      <c r="A29">
        <v>50</v>
      </c>
    </row>
    <row r="30" spans="1:3" x14ac:dyDescent="0.35">
      <c r="A30">
        <v>80</v>
      </c>
      <c r="B30">
        <v>6848.3</v>
      </c>
    </row>
    <row r="31" spans="1:3" x14ac:dyDescent="0.35">
      <c r="A31">
        <v>100</v>
      </c>
      <c r="B31">
        <v>8678.6</v>
      </c>
    </row>
  </sheetData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Furfural - Figure2 - TableS3</vt:lpstr>
      <vt:lpstr>Figure 3</vt:lpstr>
      <vt:lpstr>DFF - Figure 4, 5 and Table S5</vt:lpstr>
      <vt:lpstr>Figure S1</vt:lpstr>
      <vt:lpstr>Figure S6</vt:lpstr>
      <vt:lpstr>Calibration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Gianrocco Forestieri</dc:creator>
  <cp:lastModifiedBy>NICOLETTA CASCELLI</cp:lastModifiedBy>
  <dcterms:created xsi:type="dcterms:W3CDTF">2015-06-05T18:19:34Z</dcterms:created>
  <dcterms:modified xsi:type="dcterms:W3CDTF">2023-12-11T09:14:59Z</dcterms:modified>
</cp:coreProperties>
</file>