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https://researchconsultingltd.sharepoint.com/sites/Projects/Shared Documents/2023 - EC Cost model for ORE/5. Outputs/3. Final report/"/>
    </mc:Choice>
  </mc:AlternateContent>
  <xr:revisionPtr revIDLastSave="0" documentId="8_{A1F9A01F-BADB-433A-82B1-412D36C70D0A}" xr6:coauthVersionLast="47" xr6:coauthVersionMax="47" xr10:uidLastSave="{00000000-0000-0000-0000-000000000000}"/>
  <bookViews>
    <workbookView xWindow="28680" yWindow="-120" windowWidth="29040" windowHeight="15720" tabRatio="882" xr2:uid="{CEC63CA9-C5F7-4271-9A6B-51A39BF523C0}"/>
  </bookViews>
  <sheets>
    <sheet name="Introduction" sheetId="4" r:id="rId1"/>
    <sheet name="1.  Income &amp; exp - inflated" sheetId="26" r:id="rId2"/>
    <sheet name="2. Income &amp; exp - uninflated" sheetId="17" r:id="rId3"/>
    <sheet name="3. Model parameters" sheetId="24" r:id="rId4"/>
    <sheet name="4. Publication growth scenarios" sheetId="22" r:id="rId5"/>
    <sheet name="5. Article production costs" sheetId="19" r:id="rId6"/>
    <sheet name="5a. ORE page and figure avgs" sheetId="29" r:id="rId7"/>
    <sheet name="5b. Editorial hourly rates" sheetId="20" r:id="rId8"/>
    <sheet name="5c. M'ship &amp; supporter costs" sheetId="23" r:id="rId9"/>
    <sheet name="6. Marktg &amp; community (outsd)" sheetId="32" r:id="rId10"/>
    <sheet name="7. Platform costs" sheetId="31" r:id="rId11"/>
    <sheet name="8. Staff numbers (in-house)" sheetId="25" r:id="rId12"/>
    <sheet name="9. Inflatn &amp; labour cost index" sheetId="16" r:id="rId13"/>
    <sheet name="10. Assumptions" sheetId="7" r:id="rId14"/>
    <sheet name="Input - standalone" sheetId="1" state="hidden" r:id="rId15"/>
    <sheet name="Cost calculation - standalone" sheetId="2" state="hidden" r:id="rId16"/>
  </sheets>
  <definedNames>
    <definedName name="Advertising_and_promotion_costs">'3. Model parameters'!$D$12</definedName>
    <definedName name="Bank_Finance_Charges">'3. Model parameters'!$D$35</definedName>
    <definedName name="Computer_Hardware">'3. Model parameters'!$D$28</definedName>
    <definedName name="Computer_Software">'3. Model parameters'!$D$27</definedName>
    <definedName name="Conference_Attendance">'3. Model parameters'!$D$26</definedName>
    <definedName name="Depreciation">'3. Model parameters'!$D$37</definedName>
    <definedName name="Editor_EUR_per_hour">'5b. Editorial hourly rates'!$I$14</definedName>
    <definedName name="Insurance">'3. Model parameters'!$D$36</definedName>
    <definedName name="Internet___Telephone">'3. Model parameters'!$D$31</definedName>
    <definedName name="Legal_and_Professional_Fees">'3. Model parameters'!$D$33</definedName>
    <definedName name="Other_Computer_Costs">'3. Model parameters'!$D$29</definedName>
    <definedName name="Other_office_costs">'3. Model parameters'!$D$30</definedName>
    <definedName name="_xlnm.Print_Area" localSheetId="15">'Cost calculation - standalone'!$A$1:$G$20</definedName>
    <definedName name="_xlnm.Print_Area" localSheetId="14">'Input - standalone'!$A$1:$F$27</definedName>
    <definedName name="_xlnm.Print_Area" localSheetId="0">Introduction!$B$1:$L$18</definedName>
    <definedName name="Production_Editor_Eur_Per_Hour">'5b. Editorial hourly rates'!$I$15</definedName>
    <definedName name="Rent__service_charges_and_utilities_cost">'3. Model parameters'!$D$24</definedName>
    <definedName name="Staff_Training">'3. Model parameters'!$D$32</definedName>
    <definedName name="Subscriptions">'3. Model parameters'!$D$34</definedName>
    <definedName name="Technology_expenditure__outsourced">'3. Model parameters'!$D$16</definedName>
    <definedName name="Travel___subsistence">'3. Model parameters'!$D$25</definedName>
    <definedName name="USD_to_EUR">'3. Model parameters'!$D$42</definedName>
    <definedName name="VAT_rate">'3. Model parameters'!$D$43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7" l="1"/>
  <c r="F10" i="17"/>
  <c r="G39" i="17" s="1"/>
  <c r="H39" i="17" l="1"/>
  <c r="D39" i="17"/>
  <c r="E39" i="17"/>
  <c r="F39" i="17"/>
  <c r="M71" i="22"/>
  <c r="M70" i="22"/>
  <c r="M69" i="22"/>
  <c r="L71" i="22"/>
  <c r="L70" i="22"/>
  <c r="L69" i="22"/>
  <c r="H61" i="19"/>
  <c r="I61" i="19" s="1"/>
  <c r="H70" i="19"/>
  <c r="I70" i="19" s="1"/>
  <c r="I71" i="19"/>
  <c r="I63" i="19"/>
  <c r="I62" i="19"/>
  <c r="H59" i="19"/>
  <c r="I59" i="19" s="1"/>
  <c r="H58" i="19"/>
  <c r="I58" i="19" s="1"/>
  <c r="G57" i="19"/>
  <c r="H57" i="19" s="1"/>
  <c r="I57" i="19" s="1"/>
  <c r="F37" i="19"/>
  <c r="G37" i="19"/>
  <c r="I35" i="19"/>
  <c r="I47" i="19"/>
  <c r="I48" i="19"/>
  <c r="I49" i="19"/>
  <c r="H36" i="19"/>
  <c r="I36" i="19" s="1"/>
  <c r="H50" i="19"/>
  <c r="I50" i="19" s="1"/>
  <c r="H34" i="19"/>
  <c r="I34" i="19" s="1"/>
  <c r="H33" i="19"/>
  <c r="I33" i="19" s="1"/>
  <c r="H32" i="19"/>
  <c r="C9" i="17"/>
  <c r="F8" i="17"/>
  <c r="C8" i="17"/>
  <c r="F9" i="17"/>
  <c r="F7" i="17"/>
  <c r="C10" i="17"/>
  <c r="I46" i="25"/>
  <c r="J46" i="25"/>
  <c r="K46" i="25"/>
  <c r="L46" i="25"/>
  <c r="M46" i="25"/>
  <c r="M36" i="25"/>
  <c r="L36" i="25"/>
  <c r="K36" i="25"/>
  <c r="J36" i="25"/>
  <c r="I36" i="25"/>
  <c r="M26" i="25"/>
  <c r="L26" i="25"/>
  <c r="I26" i="25"/>
  <c r="G36" i="22"/>
  <c r="H36" i="22" s="1"/>
  <c r="I36" i="22" s="1"/>
  <c r="J36" i="22" s="1"/>
  <c r="K36" i="22" s="1"/>
  <c r="L36" i="22" s="1"/>
  <c r="M36" i="22" s="1"/>
  <c r="I72" i="19" l="1"/>
  <c r="C13" i="19" s="1"/>
  <c r="G64" i="19"/>
  <c r="G72" i="19" s="1"/>
  <c r="H64" i="19"/>
  <c r="H72" i="19" s="1"/>
  <c r="H37" i="19"/>
  <c r="I32" i="19"/>
  <c r="I37" i="19" s="1"/>
  <c r="I38" i="19" s="1"/>
  <c r="C10" i="19" s="1"/>
  <c r="D29" i="17"/>
  <c r="H29" i="17"/>
  <c r="G29" i="17"/>
  <c r="F29" i="17"/>
  <c r="E29" i="17"/>
  <c r="E34" i="22" l="1"/>
  <c r="F37" i="22"/>
  <c r="E37" i="22"/>
  <c r="G38" i="17"/>
  <c r="G36" i="17" s="1"/>
  <c r="E26" i="17"/>
  <c r="H31" i="26"/>
  <c r="G31" i="26"/>
  <c r="F31" i="26"/>
  <c r="E31" i="26"/>
  <c r="D31" i="26"/>
  <c r="G16" i="16"/>
  <c r="H16" i="16" s="1"/>
  <c r="I16" i="16" s="1"/>
  <c r="J16" i="16" s="1"/>
  <c r="K16" i="16" s="1"/>
  <c r="L16" i="16" s="1"/>
  <c r="F16" i="16"/>
  <c r="E16" i="16"/>
  <c r="J15" i="16"/>
  <c r="K15" i="16" s="1"/>
  <c r="L15" i="16" s="1"/>
  <c r="I15" i="16"/>
  <c r="H15" i="16"/>
  <c r="G15" i="16"/>
  <c r="F15" i="16"/>
  <c r="E15" i="16"/>
  <c r="E11" i="16"/>
  <c r="E10" i="16"/>
  <c r="D11" i="16"/>
  <c r="C11" i="16"/>
  <c r="D10" i="16"/>
  <c r="C10" i="16"/>
  <c r="G9" i="16"/>
  <c r="H9" i="16"/>
  <c r="I9" i="16"/>
  <c r="J9" i="16"/>
  <c r="K9" i="16"/>
  <c r="L9" i="16"/>
  <c r="I23" i="17"/>
  <c r="I17" i="17"/>
  <c r="F32" i="17" l="1"/>
  <c r="G32" i="17"/>
  <c r="H32" i="17"/>
  <c r="E32" i="17"/>
  <c r="D32" i="17"/>
  <c r="D26" i="17"/>
  <c r="H26" i="17"/>
  <c r="G26" i="17"/>
  <c r="F26" i="17"/>
  <c r="F38" i="17"/>
  <c r="F36" i="17" s="1"/>
  <c r="E38" i="17"/>
  <c r="E36" i="17" s="1"/>
  <c r="D38" i="17"/>
  <c r="D36" i="17" s="1"/>
  <c r="H38" i="17"/>
  <c r="H36" i="17" s="1"/>
  <c r="E71" i="25"/>
  <c r="F71" i="25"/>
  <c r="D71" i="25"/>
  <c r="I32" i="17" l="1"/>
  <c r="H24" i="19"/>
  <c r="H12" i="29"/>
  <c r="H10" i="29"/>
  <c r="H23" i="19" s="1"/>
  <c r="F46" i="19" s="1"/>
  <c r="I46" i="19" s="1"/>
  <c r="H9" i="29"/>
  <c r="H22" i="19" s="1"/>
  <c r="H33" i="17"/>
  <c r="H21" i="26" s="1"/>
  <c r="G33" i="17"/>
  <c r="G21" i="26" s="1"/>
  <c r="F33" i="17"/>
  <c r="F21" i="26" s="1"/>
  <c r="E33" i="17"/>
  <c r="E21" i="26" s="1"/>
  <c r="D33" i="17"/>
  <c r="D21" i="26" s="1"/>
  <c r="H53" i="17"/>
  <c r="G53" i="17"/>
  <c r="F53" i="17"/>
  <c r="E53" i="17"/>
  <c r="D53" i="17"/>
  <c r="H51" i="17"/>
  <c r="G51" i="17"/>
  <c r="F51" i="17"/>
  <c r="E51" i="17"/>
  <c r="D51" i="17"/>
  <c r="D22" i="26"/>
  <c r="F60" i="19" l="1"/>
  <c r="F45" i="19"/>
  <c r="I45" i="19" s="1"/>
  <c r="F44" i="19"/>
  <c r="E37" i="17"/>
  <c r="E22" i="26"/>
  <c r="F37" i="17"/>
  <c r="F22" i="26"/>
  <c r="H37" i="17"/>
  <c r="H22" i="26"/>
  <c r="G37" i="17"/>
  <c r="G22" i="26"/>
  <c r="I53" i="17"/>
  <c r="I51" i="17"/>
  <c r="I33" i="17"/>
  <c r="D37" i="17"/>
  <c r="I36" i="17"/>
  <c r="F46" i="17"/>
  <c r="E46" i="17"/>
  <c r="H43" i="17"/>
  <c r="H42" i="17"/>
  <c r="H46" i="17"/>
  <c r="G46" i="17"/>
  <c r="G42" i="17"/>
  <c r="E42" i="17"/>
  <c r="E48" i="17"/>
  <c r="F54" i="17"/>
  <c r="E49" i="17"/>
  <c r="G55" i="17"/>
  <c r="D46" i="17"/>
  <c r="D49" i="17"/>
  <c r="F43" i="17"/>
  <c r="E45" i="17"/>
  <c r="G48" i="17"/>
  <c r="D50" i="17"/>
  <c r="F52" i="17"/>
  <c r="H54" i="17"/>
  <c r="D44" i="17"/>
  <c r="F45" i="17"/>
  <c r="H48" i="17"/>
  <c r="E50" i="17"/>
  <c r="G52" i="17"/>
  <c r="D55" i="17"/>
  <c r="D54" i="17"/>
  <c r="G49" i="17"/>
  <c r="G43" i="17"/>
  <c r="D45" i="17"/>
  <c r="F48" i="17"/>
  <c r="H49" i="17"/>
  <c r="E52" i="17"/>
  <c r="G54" i="17"/>
  <c r="G44" i="17"/>
  <c r="G45" i="17"/>
  <c r="D47" i="17"/>
  <c r="F50" i="17"/>
  <c r="H52" i="17"/>
  <c r="E55" i="17"/>
  <c r="F44" i="17"/>
  <c r="H45" i="17"/>
  <c r="E47" i="17"/>
  <c r="G50" i="17"/>
  <c r="F55" i="17"/>
  <c r="D52" i="17"/>
  <c r="E44" i="17"/>
  <c r="F47" i="17"/>
  <c r="H50" i="17"/>
  <c r="H44" i="17"/>
  <c r="G47" i="17"/>
  <c r="H55" i="17"/>
  <c r="D42" i="17"/>
  <c r="H47" i="17"/>
  <c r="D43" i="17"/>
  <c r="E43" i="17"/>
  <c r="F42" i="17"/>
  <c r="D48" i="17"/>
  <c r="F49" i="17"/>
  <c r="E54" i="17"/>
  <c r="D33" i="26"/>
  <c r="H33" i="26"/>
  <c r="G33" i="26"/>
  <c r="F33" i="26"/>
  <c r="E33" i="26"/>
  <c r="I44" i="19" l="1"/>
  <c r="I51" i="19" s="1"/>
  <c r="C11" i="19" s="1"/>
  <c r="F51" i="19"/>
  <c r="I60" i="19"/>
  <c r="I64" i="19" s="1"/>
  <c r="C12" i="19" s="1"/>
  <c r="F64" i="19"/>
  <c r="F72" i="19" s="1"/>
  <c r="I37" i="17"/>
  <c r="D56" i="17"/>
  <c r="I54" i="17"/>
  <c r="I48" i="17"/>
  <c r="I55" i="17"/>
  <c r="I50" i="17"/>
  <c r="I52" i="17"/>
  <c r="I45" i="17"/>
  <c r="I49" i="17"/>
  <c r="I43" i="17"/>
  <c r="I42" i="17"/>
  <c r="I47" i="17"/>
  <c r="I44" i="17"/>
  <c r="I46" i="17"/>
  <c r="F56" i="17"/>
  <c r="H56" i="17"/>
  <c r="E56" i="17"/>
  <c r="G56" i="17"/>
  <c r="D23" i="26" l="1"/>
  <c r="C14" i="19"/>
  <c r="E57" i="17"/>
  <c r="E23" i="26"/>
  <c r="F57" i="17"/>
  <c r="F23" i="26"/>
  <c r="G57" i="17"/>
  <c r="G23" i="26"/>
  <c r="H57" i="17"/>
  <c r="H23" i="26"/>
  <c r="D57" i="17"/>
  <c r="I56" i="17"/>
  <c r="F16" i="23"/>
  <c r="F15" i="23"/>
  <c r="E20" i="23"/>
  <c r="F17" i="23"/>
  <c r="F19" i="23"/>
  <c r="F18" i="23"/>
  <c r="C20" i="23"/>
  <c r="D19" i="23"/>
  <c r="D16" i="23"/>
  <c r="D18" i="23"/>
  <c r="D17" i="23"/>
  <c r="D15" i="23"/>
  <c r="E31" i="22"/>
  <c r="D9" i="16"/>
  <c r="E9" i="16"/>
  <c r="E14" i="16" s="1"/>
  <c r="F14" i="16" s="1"/>
  <c r="G14" i="16" s="1"/>
  <c r="H14" i="16" s="1"/>
  <c r="F9" i="16"/>
  <c r="C9" i="16"/>
  <c r="F31" i="22" l="1"/>
  <c r="I14" i="16"/>
  <c r="D20" i="23"/>
  <c r="F20" i="23"/>
  <c r="G33" i="22"/>
  <c r="H33" i="22" s="1"/>
  <c r="I33" i="22" s="1"/>
  <c r="G30" i="22"/>
  <c r="F34" i="22"/>
  <c r="J14" i="16" l="1"/>
  <c r="J33" i="22"/>
  <c r="D25" i="17"/>
  <c r="D22" i="17" s="1"/>
  <c r="H30" i="22"/>
  <c r="K14" i="16" l="1"/>
  <c r="D30" i="17"/>
  <c r="D20" i="26" s="1"/>
  <c r="D32" i="26"/>
  <c r="K33" i="22"/>
  <c r="E25" i="17"/>
  <c r="I30" i="22"/>
  <c r="E22" i="17" l="1"/>
  <c r="E30" i="17"/>
  <c r="E20" i="26" s="1"/>
  <c r="L14" i="16"/>
  <c r="D24" i="17"/>
  <c r="E32" i="26"/>
  <c r="L33" i="22"/>
  <c r="F25" i="17"/>
  <c r="J30" i="22"/>
  <c r="D19" i="26" l="1"/>
  <c r="D24" i="26" s="1"/>
  <c r="D59" i="17"/>
  <c r="F30" i="17"/>
  <c r="F22" i="17"/>
  <c r="I21" i="26"/>
  <c r="I22" i="26"/>
  <c r="E24" i="17"/>
  <c r="E59" i="17" s="1"/>
  <c r="F32" i="26"/>
  <c r="M33" i="22"/>
  <c r="G25" i="17"/>
  <c r="G22" i="17" s="1"/>
  <c r="K30" i="22"/>
  <c r="D61" i="17" l="1"/>
  <c r="D16" i="17"/>
  <c r="F20" i="26"/>
  <c r="F24" i="17"/>
  <c r="E19" i="26"/>
  <c r="E61" i="17"/>
  <c r="G32" i="26"/>
  <c r="G30" i="17"/>
  <c r="G20" i="26" s="1"/>
  <c r="L30" i="22"/>
  <c r="F19" i="26" l="1"/>
  <c r="F59" i="17"/>
  <c r="F61" i="17" s="1"/>
  <c r="G24" i="17"/>
  <c r="G59" i="17" s="1"/>
  <c r="H25" i="17"/>
  <c r="H22" i="17" s="1"/>
  <c r="M30" i="22"/>
  <c r="G19" i="26" l="1"/>
  <c r="G61" i="17"/>
  <c r="I22" i="17"/>
  <c r="H32" i="26"/>
  <c r="I32" i="26" s="1"/>
  <c r="H24" i="17" l="1"/>
  <c r="I24" i="17" s="1"/>
  <c r="H30" i="17"/>
  <c r="I29" i="17"/>
  <c r="H20" i="26" l="1"/>
  <c r="I20" i="26" s="1"/>
  <c r="I30" i="17"/>
  <c r="H19" i="26"/>
  <c r="I19" i="26" s="1"/>
  <c r="H59" i="17"/>
  <c r="H61" i="17" s="1"/>
  <c r="I23" i="26" l="1"/>
  <c r="E7" i="2" l="1"/>
  <c r="E8" i="2"/>
  <c r="C8" i="2"/>
  <c r="C7" i="2"/>
  <c r="E9" i="2" l="1"/>
  <c r="C9" i="2"/>
  <c r="C5" i="2"/>
  <c r="E15" i="2"/>
  <c r="E14" i="2"/>
  <c r="C15" i="2"/>
  <c r="C14" i="2"/>
  <c r="C16" i="2" s="1"/>
  <c r="C3" i="2"/>
  <c r="E6" i="2"/>
  <c r="C6" i="2"/>
  <c r="E5" i="2"/>
  <c r="C24" i="1"/>
  <c r="C19" i="2" s="1"/>
  <c r="E24" i="1"/>
  <c r="E19" i="2" s="1"/>
  <c r="E3" i="2"/>
  <c r="G9" i="2"/>
  <c r="G8" i="2"/>
  <c r="E11" i="2" l="1"/>
  <c r="G6" i="2"/>
  <c r="C11" i="2"/>
  <c r="G19" i="2"/>
  <c r="G15" i="2"/>
  <c r="G5" i="2"/>
  <c r="E16" i="2"/>
  <c r="G14" i="2"/>
  <c r="G11" i="2" l="1"/>
  <c r="G16" i="2"/>
  <c r="E24" i="26"/>
  <c r="H24" i="26"/>
  <c r="H34" i="26" s="1"/>
  <c r="G24" i="26"/>
  <c r="G34" i="26" s="1"/>
  <c r="E16" i="17"/>
  <c r="G16" i="17"/>
  <c r="F24" i="26"/>
  <c r="F34" i="26" s="1"/>
  <c r="E34" i="26" l="1"/>
  <c r="I24" i="26"/>
  <c r="H16" i="17"/>
  <c r="I59" i="17"/>
  <c r="F16" i="17"/>
  <c r="D34" i="26"/>
  <c r="I34" i="26" l="1"/>
  <c r="J20" i="26"/>
  <c r="J21" i="26"/>
  <c r="J23" i="26"/>
  <c r="J22" i="26"/>
  <c r="J19" i="26"/>
  <c r="I16" i="17"/>
  <c r="D19" i="17"/>
  <c r="D17" i="26" s="1"/>
  <c r="D63" i="17" l="1"/>
  <c r="D67" i="17" s="1"/>
  <c r="D26" i="26"/>
  <c r="D29" i="26" l="1"/>
  <c r="D68" i="17"/>
  <c r="E66" i="17"/>
  <c r="E28" i="26" l="1"/>
  <c r="D35" i="26"/>
  <c r="E18" i="17"/>
  <c r="E19" i="17" l="1"/>
  <c r="E17" i="26" s="1"/>
  <c r="E63" i="17" l="1"/>
  <c r="E26" i="26" l="1"/>
  <c r="E67" i="17"/>
  <c r="E68" i="17" s="1"/>
  <c r="F66" i="17" l="1"/>
  <c r="F18" i="17" s="1"/>
  <c r="E29" i="26"/>
  <c r="F28" i="26" s="1"/>
  <c r="E35" i="26" l="1"/>
  <c r="F19" i="17"/>
  <c r="F17" i="26" s="1"/>
  <c r="F63" i="17" l="1"/>
  <c r="F26" i="26" l="1"/>
  <c r="F67" i="17"/>
  <c r="F68" i="17" s="1"/>
  <c r="G66" i="17" l="1"/>
  <c r="G18" i="17" s="1"/>
  <c r="G19" i="17" s="1"/>
  <c r="F29" i="26"/>
  <c r="F35" i="26" s="1"/>
  <c r="G63" i="17" l="1"/>
  <c r="G67" i="17" s="1"/>
  <c r="G68" i="17" s="1"/>
  <c r="G17" i="26"/>
  <c r="G26" i="26" s="1"/>
  <c r="G28" i="26"/>
  <c r="G29" i="26" l="1"/>
  <c r="H66" i="17"/>
  <c r="H18" i="17" s="1"/>
  <c r="H19" i="17" s="1"/>
  <c r="G35" i="26" l="1"/>
  <c r="H28" i="26"/>
  <c r="I18" i="17"/>
  <c r="I19" i="17" l="1"/>
  <c r="H17" i="26"/>
  <c r="H63" i="17"/>
  <c r="H26" i="26" l="1"/>
  <c r="I17" i="26"/>
  <c r="H67" i="17"/>
  <c r="H68" i="17" s="1"/>
  <c r="I63" i="17"/>
  <c r="H29" i="26" l="1"/>
  <c r="H35" i="26" s="1"/>
  <c r="I26" i="26"/>
  <c r="H51" i="19"/>
  <c r="G51" i="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tc={24685C12-0B8C-4E5E-A64F-FF9C5E1C4196}</author>
  </authors>
  <commentList>
    <comment ref="G33" authorId="0" shapeId="0" xr:uid="{24685C12-0B8C-4E5E-A64F-FF9C5E1C4196}">
      <text>
        <t xml:space="preserve">[Threaded comment]
Your version of Excel allows you to read this threaded comment; however, any edits to it will get removed if the file is opened in a newer version of Excel. Learn more: https://go.microsoft.com/fwlink/?linkid=870924
Comment:
    Increased from 0.5 in Grossmann and Brembs' model to reflect the need to check compliance with ORE's open data, software and code guidelines, which are more onerous than a typical journal
</t>
      </text>
    </comment>
  </commentList>
</comments>
</file>

<file path=xl/sharedStrings.xml><?xml version="1.0" encoding="utf-8"?>
<sst xmlns="http://schemas.openxmlformats.org/spreadsheetml/2006/main" count="705" uniqueCount="396">
  <si>
    <t>i</t>
  </si>
  <si>
    <t>ii</t>
  </si>
  <si>
    <t>iii</t>
  </si>
  <si>
    <t>iv</t>
  </si>
  <si>
    <t>3. Model parameters</t>
  </si>
  <si>
    <t>v</t>
  </si>
  <si>
    <t>vi</t>
  </si>
  <si>
    <t>vii</t>
  </si>
  <si>
    <t>4. Publication growth scenarios</t>
  </si>
  <si>
    <t>N/A</t>
  </si>
  <si>
    <t>SCENARIO MODELLING FOR OPEN RESEARCH EUROPE</t>
  </si>
  <si>
    <t>Background</t>
  </si>
  <si>
    <t>Contents</t>
  </si>
  <si>
    <t>This sheet sets out the unit costs and cost drivers used to calculate figures for each cost heading, together with the source of these figures. It also includes other parameters used in the model such as exchange and VAT rates. 
Any changes made to the values in this sheet will result in updates to worksheet 1. and 2. making it easy to see the significance of different parameters in determining the overall costs of ORE.</t>
  </si>
  <si>
    <t>A list of fixed membership and supporter costs for a publisher. The total is used in sheet 3. Model parameters.</t>
  </si>
  <si>
    <t>Staff cost assumptions for publishing service providers, taking from Grossman and Brembs (2021) and converted into Euros.</t>
  </si>
  <si>
    <t>Data on the Harmonised Index of Consumer Prices (HICP) and Labour Cost Index (LCI) taken from the European Central Bank. The two figures are combined (with a 70:30 weighting towards the Labour Cost Index) to arrive at a composite index which is used to inflate the figures shown in sheet 1. Income &amp; spend - inflated.</t>
  </si>
  <si>
    <t>Publication growth rate</t>
  </si>
  <si>
    <t>Calendar year</t>
  </si>
  <si>
    <t>Currency</t>
  </si>
  <si>
    <t>€</t>
  </si>
  <si>
    <t>Year since inception</t>
  </si>
  <si>
    <t>INCOME</t>
  </si>
  <si>
    <t>Salaries and wages</t>
  </si>
  <si>
    <t>Administrative overheads</t>
  </si>
  <si>
    <t>COSTS</t>
  </si>
  <si>
    <t>SURPLUS/DEFICIT</t>
  </si>
  <si>
    <t>Opening reserves</t>
  </si>
  <si>
    <t>Closing reserves</t>
  </si>
  <si>
    <t>Article numbers</t>
  </si>
  <si>
    <t>Full-time equivalent staff numbers</t>
  </si>
  <si>
    <t>Effective cost per article</t>
  </si>
  <si>
    <t>Reserves as % of costs</t>
  </si>
  <si>
    <t>Medium</t>
  </si>
  <si>
    <t>VAT recovery</t>
  </si>
  <si>
    <t>No</t>
  </si>
  <si>
    <t>Funder contributions</t>
  </si>
  <si>
    <t>Institutional contributions</t>
  </si>
  <si>
    <t>Interest Received</t>
  </si>
  <si>
    <t>Total income</t>
  </si>
  <si>
    <t>Content preparation, review and dissemination</t>
  </si>
  <si>
    <t>Vatable</t>
  </si>
  <si>
    <t>Membership and supporter charges</t>
  </si>
  <si>
    <t>Non-vatable</t>
  </si>
  <si>
    <t>Platform development and maintenance</t>
  </si>
  <si>
    <t>Travel &amp; subsistence</t>
  </si>
  <si>
    <t>50% Vatable</t>
  </si>
  <si>
    <t>Conference Attendance</t>
  </si>
  <si>
    <t>Rent, service charges and utilities</t>
  </si>
  <si>
    <t>Computer Software</t>
  </si>
  <si>
    <t>Computer Hardware</t>
  </si>
  <si>
    <t>Other Computer Costs</t>
  </si>
  <si>
    <t>Other office costs</t>
  </si>
  <si>
    <t>Staff Training</t>
  </si>
  <si>
    <t>Legal and Professional Fees</t>
  </si>
  <si>
    <t>Subscriptions</t>
  </si>
  <si>
    <t>Bank/Finance Charges</t>
  </si>
  <si>
    <t>Insurance</t>
  </si>
  <si>
    <t>Depreciation</t>
  </si>
  <si>
    <t>Overheads as % of salaries and wages</t>
  </si>
  <si>
    <t>TOTAL COSTS</t>
  </si>
  <si>
    <t>Reserves as % of operating costs</t>
  </si>
  <si>
    <t>Cost parameters</t>
  </si>
  <si>
    <t>Cost heading</t>
  </si>
  <si>
    <t>Cost driver</t>
  </si>
  <si>
    <t>Source</t>
  </si>
  <si>
    <t>Article</t>
  </si>
  <si>
    <t>Variable article costs</t>
  </si>
  <si>
    <t>Fixed amount</t>
  </si>
  <si>
    <t>Membership and support costs</t>
  </si>
  <si>
    <t>Average cost per FTE</t>
  </si>
  <si>
    <t>FTE</t>
  </si>
  <si>
    <t>Review of existing NFP publishers' average salaries (including social charges, pension contributions and other staff benefits). Assumes ORE is located in a high-cost country e.g. NL or BE.</t>
  </si>
  <si>
    <t>Rent, service charges and utilities cost</t>
  </si>
  <si>
    <t>https://www.tribes.world/en/community/number-of-square-meters-needed-for-office-space</t>
  </si>
  <si>
    <t xml:space="preserve">https://www.flexas.com/blog/what-office-space-cost-amsterdam </t>
  </si>
  <si>
    <t xml:space="preserve">https://www.statista.com/statistics/530076/office-real-estate-prime-rent-amsterdam-netherlands-europe/#:~:text=The%20prime%20rent%20for%20office,per%20square%20meter%20in%202022. </t>
  </si>
  <si>
    <t>Estimate from experience</t>
  </si>
  <si>
    <t>Other parameters</t>
  </si>
  <si>
    <t>USD to EUR exchange rate</t>
  </si>
  <si>
    <t>VAT rate</t>
  </si>
  <si>
    <t>Percentage</t>
  </si>
  <si>
    <t>Dutch and Belgian VAT as of June 2023</t>
  </si>
  <si>
    <t>High</t>
  </si>
  <si>
    <t>Publication Growth</t>
  </si>
  <si>
    <t>Low</t>
  </si>
  <si>
    <t>Actual</t>
  </si>
  <si>
    <t>Forecast</t>
  </si>
  <si>
    <t>2021 (Actual)</t>
  </si>
  <si>
    <t>2022 (Actual)</t>
  </si>
  <si>
    <t>Annual growth rate</t>
  </si>
  <si>
    <t>-</t>
  </si>
  <si>
    <t>Staff number scenarios</t>
  </si>
  <si>
    <t>Number of FTEs</t>
  </si>
  <si>
    <t>Role</t>
  </si>
  <si>
    <t>Low (2026)</t>
  </si>
  <si>
    <t>Medium (2028)</t>
  </si>
  <si>
    <t>High (2030)</t>
  </si>
  <si>
    <t>Executive Director</t>
  </si>
  <si>
    <t>Editorial management</t>
  </si>
  <si>
    <t>Production/supplier management</t>
  </si>
  <si>
    <t>Platform/technology management</t>
  </si>
  <si>
    <t>Funder and partner relations</t>
  </si>
  <si>
    <t>Marketing and content acquisition</t>
  </si>
  <si>
    <t>Office Management and administration</t>
  </si>
  <si>
    <t>FTEs</t>
  </si>
  <si>
    <t>Journal Article Production Expenses (adapted from Grossman and Brembs (2021) to show variable costs only)</t>
  </si>
  <si>
    <t>Source:</t>
  </si>
  <si>
    <t xml:space="preserve">https://doi.org/10.6084/m9.figshare.8118197.v2 </t>
  </si>
  <si>
    <t>I. Key Figures</t>
  </si>
  <si>
    <t>average # of pages per ORE article</t>
  </si>
  <si>
    <t>average # of figures/graphs/tables per article</t>
  </si>
  <si>
    <r>
      <t xml:space="preserve">average # of </t>
    </r>
    <r>
      <rPr>
        <b/>
        <sz val="11"/>
        <color theme="1"/>
        <rFont val="Calibri"/>
        <family val="2"/>
        <scheme val="minor"/>
      </rPr>
      <t>additional</t>
    </r>
    <r>
      <rPr>
        <sz val="11"/>
        <color theme="1"/>
        <rFont val="Calibri"/>
        <family val="2"/>
        <scheme val="minor"/>
      </rPr>
      <t xml:space="preserve"> pages for peer-reviewed articles</t>
    </r>
  </si>
  <si>
    <t>Editorial pre-publication rejections:</t>
  </si>
  <si>
    <t>Process or object</t>
  </si>
  <si>
    <t xml:space="preserve">Production system check-in  </t>
  </si>
  <si>
    <t>Plagiarism checking</t>
  </si>
  <si>
    <t>Altmetric badge</t>
  </si>
  <si>
    <t>XML and metadata preparation</t>
  </si>
  <si>
    <t>Handling author corrections</t>
  </si>
  <si>
    <t>Subtotal ORE</t>
  </si>
  <si>
    <t>min</t>
  </si>
  <si>
    <t>to</t>
  </si>
  <si>
    <t>max</t>
  </si>
  <si>
    <t>Communication with reviewers</t>
  </si>
  <si>
    <t>Communication with authors</t>
  </si>
  <si>
    <t>Copyediting of peer reviews</t>
  </si>
  <si>
    <t>long-term digital preservation</t>
  </si>
  <si>
    <t>distribution to indexing services</t>
  </si>
  <si>
    <t>Total ORE</t>
  </si>
  <si>
    <t>EUR</t>
  </si>
  <si>
    <t>Estimation of ORE page and figure numbers</t>
  </si>
  <si>
    <t>average # of pages per ORE article (excluding peer reviews)</t>
  </si>
  <si>
    <t>Based on taking all articles from the months of July 2022 and February 2022, downloading as a PDF and counting pages to derive an average as shown below</t>
  </si>
  <si>
    <t>estimated # of figures/graphs/tables per article</t>
  </si>
  <si>
    <t>As above, counting figures</t>
  </si>
  <si>
    <t>average # of peer-review pages per ORE article</t>
  </si>
  <si>
    <t>As above, for peer review pages</t>
  </si>
  <si>
    <t>average word count per page</t>
  </si>
  <si>
    <t>II. Methodology</t>
  </si>
  <si>
    <t>Total ORE articles:</t>
  </si>
  <si>
    <t xml:space="preserve">Source: </t>
  </si>
  <si>
    <t xml:space="preserve">https://open-research-europe.ec.europa.eu/ </t>
  </si>
  <si>
    <t>Name</t>
  </si>
  <si>
    <t>Date</t>
  </si>
  <si>
    <t># of pages</t>
  </si>
  <si>
    <t># of figures etc</t>
  </si>
  <si>
    <t># of peer-review pages</t>
  </si>
  <si>
    <t>As of June 2023</t>
  </si>
  <si>
    <t>Uncertainties of particular organic…</t>
  </si>
  <si>
    <t>July 2022 # of articles:</t>
  </si>
  <si>
    <t>Measuring the impact of publicly…</t>
  </si>
  <si>
    <t>February 2022 # of articles:</t>
  </si>
  <si>
    <t>Recycling of platinum group metal…</t>
  </si>
  <si>
    <t>Co-creation methodology with…</t>
  </si>
  <si>
    <t>Human papillomavirus (HPV)…</t>
  </si>
  <si>
    <t>Data assimilation and agent-based…</t>
  </si>
  <si>
    <t># of words on page 3</t>
  </si>
  <si>
    <t># of words on page 5</t>
  </si>
  <si>
    <t># of words on page 7</t>
  </si>
  <si>
    <t>Effective inter-organisational net…</t>
  </si>
  <si>
    <t>Curating and extending data…</t>
  </si>
  <si>
    <t>Engineering the thin film character…</t>
  </si>
  <si>
    <t>European small-town…</t>
  </si>
  <si>
    <t>Qudi-HiM: an open-source acquis..</t>
  </si>
  <si>
    <t>Defining discovery: is google…</t>
  </si>
  <si>
    <t>Fiber-coupled light-emitting diode…</t>
  </si>
  <si>
    <t>Inhibition of vacuum…</t>
  </si>
  <si>
    <t>Hydrothermal carbonization of…</t>
  </si>
  <si>
    <t>Can detection and prediction…</t>
  </si>
  <si>
    <t>Local brain-state dependency of…</t>
  </si>
  <si>
    <t>The challenges and consider…</t>
  </si>
  <si>
    <t>Methods based on a semi-empirical..</t>
  </si>
  <si>
    <t>Implementation of a pan-European…</t>
  </si>
  <si>
    <t>Average:</t>
  </si>
  <si>
    <t>Nanosized titanium dioxide particle..</t>
  </si>
  <si>
    <t>Demoulding process assessment of…</t>
  </si>
  <si>
    <t>Transition from monolithic to micro…</t>
  </si>
  <si>
    <t>Hydrogen and deuterium charging…</t>
  </si>
  <si>
    <t>Geniac: automatic configuration…</t>
  </si>
  <si>
    <t>Data management plans in horizon…</t>
  </si>
  <si>
    <t>Caenorhabditis elegans parkin…</t>
  </si>
  <si>
    <t>Natural language processing for…</t>
  </si>
  <si>
    <t>Protocol for ethyl methanesulpho…</t>
  </si>
  <si>
    <t>A conceptual framework for monit…</t>
  </si>
  <si>
    <t>Knowledge and skill needs and…</t>
  </si>
  <si>
    <t>A data processing approach with…</t>
  </si>
  <si>
    <t>Developing and testing the Global…</t>
  </si>
  <si>
    <t>Digital twins for land-based aqua…</t>
  </si>
  <si>
    <t>SESAME - a synchrotron light source…</t>
  </si>
  <si>
    <t>Life cycle analysis of the solar…</t>
  </si>
  <si>
    <t>Inhibitio of vacuum sublimation…</t>
  </si>
  <si>
    <t>Averages:</t>
  </si>
  <si>
    <t>USD 1-5 million</t>
  </si>
  <si>
    <t>USD 5-10 million</t>
  </si>
  <si>
    <t>$</t>
  </si>
  <si>
    <t>CrossRef membership fee, second tier (USD 1-5 million)</t>
  </si>
  <si>
    <t>CrossRef Similarity Check fee, second tier (USD 1-5 million)</t>
  </si>
  <si>
    <t>DOAJ Supporter membership</t>
  </si>
  <si>
    <t>CLOCKSS membership (USD 1-5 million)</t>
  </si>
  <si>
    <t>Provision for other memberships and infrastructure contributions</t>
  </si>
  <si>
    <t>40h/week</t>
  </si>
  <si>
    <t>Employee Expenses</t>
  </si>
  <si>
    <t>Overhead</t>
  </si>
  <si>
    <t>Monthly</t>
  </si>
  <si>
    <t>Annual</t>
  </si>
  <si>
    <t>Benefit</t>
  </si>
  <si>
    <t>Total</t>
  </si>
  <si>
    <t>per hour</t>
  </si>
  <si>
    <t>Editor</t>
  </si>
  <si>
    <t>Production Editor</t>
  </si>
  <si>
    <t>Salary (in EUR)</t>
  </si>
  <si>
    <t>Macroeconomic projections for the euro area</t>
  </si>
  <si>
    <t xml:space="preserve">https://www.ecb.europa.eu/pub/projections/html/ecb.projections202303_ecbstaff~77c0227058.en.html </t>
  </si>
  <si>
    <t>(annual percentage changes, unless otherwise indicated)</t>
  </si>
  <si>
    <t>Years since inception</t>
  </si>
  <si>
    <t>HICP annual percentage change</t>
  </si>
  <si>
    <t>Unit labour costs annual percentage change</t>
  </si>
  <si>
    <t>Indexation from 2022 actuals</t>
  </si>
  <si>
    <t>ASSUMPTIONS AND LIMITATIONS</t>
  </si>
  <si>
    <t>#</t>
  </si>
  <si>
    <t>Assumption or limitation</t>
  </si>
  <si>
    <t>Notes (see Guidance for Inputs Sheet)</t>
  </si>
  <si>
    <t>2019  
BASELINE</t>
  </si>
  <si>
    <t>PLANNING SCENARIO</t>
  </si>
  <si>
    <t>Costs</t>
  </si>
  <si>
    <t>£ Total</t>
  </si>
  <si>
    <t>Subscription expenditure (incl. any existing transformative deals)</t>
  </si>
  <si>
    <t>See cost calculation</t>
  </si>
  <si>
    <t>Article Publication Charges (APCs) - per article costs</t>
  </si>
  <si>
    <t>£ per article</t>
  </si>
  <si>
    <t>Average full OA APC</t>
  </si>
  <si>
    <t>Average hybrid APC</t>
  </si>
  <si>
    <t>Average effective APC for P&amp;R/R&amp;P</t>
  </si>
  <si>
    <t>Number of papers</t>
  </si>
  <si>
    <t># papers</t>
  </si>
  <si>
    <t>Total number of papers published</t>
  </si>
  <si>
    <t>Total number of 'corresponding author' papers</t>
  </si>
  <si>
    <t>Publish and read/Read and publish deals</t>
  </si>
  <si>
    <t>%</t>
  </si>
  <si>
    <t>% of subscriptions expenditure attributable to transformative agreements</t>
  </si>
  <si>
    <t>% of transformative agreement costs based on the publish element</t>
  </si>
  <si>
    <t>Share of corresponding author papers</t>
  </si>
  <si>
    <t xml:space="preserve">% of paid fully OA papers </t>
  </si>
  <si>
    <t xml:space="preserve">% of paid hybrid OA papers </t>
  </si>
  <si>
    <t>% of unpaid fully OA papers</t>
  </si>
  <si>
    <t>% of papers published OA under transformative agreements</t>
  </si>
  <si>
    <t>% of papers available in an OA repository (zero embargo, CC BY)</t>
  </si>
  <si>
    <r>
      <t>% of subscription only papers</t>
    </r>
    <r>
      <rPr>
        <b/>
        <sz val="11"/>
        <rFont val="Calibri"/>
        <family val="2"/>
        <scheme val="minor"/>
      </rPr>
      <t>*</t>
    </r>
  </si>
  <si>
    <r>
      <rPr>
        <b/>
        <sz val="11"/>
        <rFont val="Calibri"/>
        <family val="2"/>
        <scheme val="minor"/>
      </rPr>
      <t>*</t>
    </r>
    <r>
      <rPr>
        <sz val="11"/>
        <rFont val="Calibri"/>
        <family val="2"/>
        <scheme val="minor"/>
      </rPr>
      <t>this is a balancing figure to bring sum of %s to 100%</t>
    </r>
  </si>
  <si>
    <t xml:space="preserve">Current versus expected future spend on OA </t>
  </si>
  <si>
    <t>% change</t>
  </si>
  <si>
    <t>COST</t>
  </si>
  <si>
    <t>£</t>
  </si>
  <si>
    <t>Paid OA papers - full OA</t>
  </si>
  <si>
    <t>Paid OA papers - hybrid</t>
  </si>
  <si>
    <t>Transformative deals - Read element</t>
  </si>
  <si>
    <t>Transformative deals - Publish element</t>
  </si>
  <si>
    <t>Subscription only deals</t>
  </si>
  <si>
    <t xml:space="preserve">Total cost </t>
  </si>
  <si>
    <t>COMPLIANCE LEVEL</t>
  </si>
  <si>
    <t>Note: compliance calculation is currently based on share of corresponding author papers only</t>
  </si>
  <si>
    <t>Immediate ('Gold') OA papers</t>
  </si>
  <si>
    <t>At present this classes hybrid as compliant</t>
  </si>
  <si>
    <t>Other ('Green') OA papers</t>
  </si>
  <si>
    <t>Compliant papers</t>
  </si>
  <si>
    <t>Subscription only papers</t>
  </si>
  <si>
    <t>Variable</t>
  </si>
  <si>
    <t>Cost in €</t>
  </si>
  <si>
    <t>Travel &amp; Subsistence</t>
  </si>
  <si>
    <t>Platform development and maintenance (outsourced)</t>
  </si>
  <si>
    <t>Total 2026-2030</t>
  </si>
  <si>
    <t xml:space="preserve">Telecoms </t>
  </si>
  <si>
    <t>Flexible provision for legal advice and consultancy</t>
  </si>
  <si>
    <t>Unit cost (€ per year)</t>
  </si>
  <si>
    <t>Publication costs</t>
  </si>
  <si>
    <t>1. Income &amp; exp - inflated</t>
  </si>
  <si>
    <t>2.  Income &amp; exp - uninflated</t>
  </si>
  <si>
    <t>5b. Editorial hourly rates</t>
  </si>
  <si>
    <t>8. Staff numbers (in-house)</t>
  </si>
  <si>
    <t>7. Platform costs</t>
  </si>
  <si>
    <t>9. Inflatn &amp; labour cost index</t>
  </si>
  <si>
    <t>10. Assumptions</t>
  </si>
  <si>
    <t>Inflation rate</t>
  </si>
  <si>
    <t>Composite measure (Low scenario)</t>
  </si>
  <si>
    <t>Medium scenario</t>
  </si>
  <si>
    <t>High scenario</t>
  </si>
  <si>
    <t>Indexation</t>
  </si>
  <si>
    <t>Direct cost per article</t>
  </si>
  <si>
    <t>Scenario</t>
  </si>
  <si>
    <t>Content prep, review and dissemination cost per article</t>
  </si>
  <si>
    <t>Staff numbers</t>
  </si>
  <si>
    <t>ORE will be established as an independent not-for-profit entity, employing its own staff and registered in a high-cost EU member state such as Belgium or the Netherlands.</t>
  </si>
  <si>
    <t xml:space="preserve">ORE will make use of outsourced service providers to deliver the majority of editorial, production and technology functions in order to control costs and enable the platform to scale rapidly in response to demand. </t>
  </si>
  <si>
    <r>
      <rPr>
        <sz val="7"/>
        <color theme="1"/>
        <rFont val="Times New Roman"/>
        <family val="1"/>
      </rPr>
      <t xml:space="preserve"> </t>
    </r>
    <r>
      <rPr>
        <sz val="10"/>
        <color theme="1"/>
        <rFont val="Arial"/>
        <family val="2"/>
      </rPr>
      <t>The selection of service providers will be based on open competition to deliver the best value for public money. These service providers may be commercial or not-for-profit in nature.</t>
    </r>
  </si>
  <si>
    <t>The EC will meet the costs of establishing ORE as an independent entity, identifying premises and recruiting an intial core team in 2025 so that it is positioned to take over the operation of ORE from 2026. These start-up costs fall outside the scope of this scenario modelling exercise.</t>
  </si>
  <si>
    <t>The EC will meet the costs of developing existing open source software to serve as ORE’s platform from 2026, with ORE itself liable only for ongoing maintenance and further bespoke development after 2026.</t>
  </si>
  <si>
    <t xml:space="preserve">ORE’s core operating costs and the costs of publication up to a moderate level of output will be met by European funders. Growth beyond this level will be dependent upon securing additional support from research performing organisations. </t>
  </si>
  <si>
    <t>ORE’s objective is to be one of a number of European not-for-profit publishing platforms operating as part of a distributed infrastructure. It will co-exist with and complement national and disciplinary platforms, many of which will be multilingual and serve distinct national priorities.</t>
  </si>
  <si>
    <t>The purpose of this study has been to estimate the costs involved in operationalisating ORE on a transparent basis, without prejudging its final legal form, host entity (if any) or choice of service providers. For the purposes of modelling scenarios for ORE as an independent entity the following assumptions have been made:</t>
  </si>
  <si>
    <t>See worksheet 7.</t>
  </si>
  <si>
    <t>Marketing and community engagement</t>
  </si>
  <si>
    <t>High, Medium and Low Scenarios for Publication Growth</t>
  </si>
  <si>
    <t>The Excel name function</t>
  </si>
  <si>
    <t>Understanding the use of Excel names</t>
  </si>
  <si>
    <t>2023 (Forecast)</t>
  </si>
  <si>
    <t>F1000</t>
  </si>
  <si>
    <t>Author</t>
  </si>
  <si>
    <t>2024 (Forecast)</t>
  </si>
  <si>
    <t>2025 (Forecast)</t>
  </si>
  <si>
    <t>2026 (Forecast)</t>
  </si>
  <si>
    <t>2027 (Forecast)</t>
  </si>
  <si>
    <t>2028 (Forecast)</t>
  </si>
  <si>
    <t>2029 (Forecast)</t>
  </si>
  <si>
    <t>2030 (Forecast)</t>
  </si>
  <si>
    <t>Article volume</t>
  </si>
  <si>
    <t xml:space="preserve">Per annum </t>
  </si>
  <si>
    <t>Estimated spend for online advertising and promotion plus ad-hoc use of marketing consultants, informed by discussion with F1000 staff and independent publishing experts</t>
  </si>
  <si>
    <t>10 sqm per FTE @€500/sqm, based on web research as per links:</t>
  </si>
  <si>
    <t>See worksheet 6.</t>
  </si>
  <si>
    <t>Office management and administration</t>
  </si>
  <si>
    <t>Yes</t>
  </si>
  <si>
    <t>Marketing spend</t>
  </si>
  <si>
    <t>Detailed workings</t>
  </si>
  <si>
    <t>Selected parameters:</t>
  </si>
  <si>
    <t xml:space="preserve">This spreadsheet model has been prepared for the European Commission's Directorate-General for Research and Innovation by Rob Johnson of Research Consulting, acting in the capacity of an independent expert. The model is intended to assist DG R&amp;I and other supporting funders to determine the expenditure and funding required to develop Open Research Europe into a non-for-profit European publishing platform for all Europe.
</t>
  </si>
  <si>
    <t>Note: the chosen parameters will determine the income and costs displayed in the model. For details on the assumptions used within the different parameters see the worksheet 3. Model parameters</t>
  </si>
  <si>
    <t>Marketing and community engagement - Scenarios for outsourced costs</t>
  </si>
  <si>
    <t>+ 25%</t>
  </si>
  <si>
    <t>+ 33%</t>
  </si>
  <si>
    <t>Cost (€)</t>
  </si>
  <si>
    <t>Subtotal - per submission</t>
  </si>
  <si>
    <t>Subtotal - per accepted article</t>
  </si>
  <si>
    <t>Stage</t>
  </si>
  <si>
    <t>Copyediting of article (Generic full-service provider - India)</t>
  </si>
  <si>
    <t>Total cost (€)</t>
  </si>
  <si>
    <t>Similarity Check (Crossref, second tier (USD1-5 million)</t>
  </si>
  <si>
    <t>Accept/reject decision</t>
  </si>
  <si>
    <t>Direct cost (€)</t>
  </si>
  <si>
    <t xml:space="preserve">Typesetting (pricing varies widely, midpoint selected) </t>
  </si>
  <si>
    <t xml:space="preserve">Formatting figures/graphs/tables (pricing varies widely, midpoint selected) </t>
  </si>
  <si>
    <t>Manual work</t>
  </si>
  <si>
    <t>Hours</t>
  </si>
  <si>
    <t>per page or item (€)</t>
  </si>
  <si>
    <t>per article (€)</t>
  </si>
  <si>
    <t>DOI registration for a preprint (Crossref fee)</t>
  </si>
  <si>
    <t>DOI registration for an article (Crossref charge)</t>
  </si>
  <si>
    <t>DOI registration for 2 or more reviews (Crossref charge)</t>
  </si>
  <si>
    <t>Searching and assigning reviewers (2 at min per article, 10 attempts at 5 mins per approach)</t>
  </si>
  <si>
    <r>
      <t xml:space="preserve">III. Peer review  </t>
    </r>
    <r>
      <rPr>
        <b/>
        <i/>
        <sz val="11"/>
        <color theme="8"/>
        <rFont val="Calibri"/>
        <family val="2"/>
        <scheme val="minor"/>
      </rPr>
      <t>(Submissions accepted for publication as a preprint only)</t>
    </r>
  </si>
  <si>
    <r>
      <t xml:space="preserve">IV. Content Dissemination </t>
    </r>
    <r>
      <rPr>
        <b/>
        <i/>
        <sz val="11"/>
        <color theme="8"/>
        <rFont val="Calibri"/>
        <family val="2"/>
        <scheme val="minor"/>
      </rPr>
      <t>(Submissions accepted for publication as a preprint only)</t>
    </r>
  </si>
  <si>
    <t>Subtotal - per accepted article @50% rejection rate</t>
  </si>
  <si>
    <t>Key Figures</t>
  </si>
  <si>
    <r>
      <t xml:space="preserve">I. Pre publication checks </t>
    </r>
    <r>
      <rPr>
        <b/>
        <i/>
        <sz val="11"/>
        <color theme="8"/>
        <rFont val="Calibri"/>
        <family val="2"/>
        <scheme val="minor"/>
      </rPr>
      <t>(All submissions)</t>
    </r>
  </si>
  <si>
    <r>
      <t xml:space="preserve">II. Content Preparation </t>
    </r>
    <r>
      <rPr>
        <b/>
        <i/>
        <sz val="11"/>
        <color theme="8"/>
        <rFont val="Calibri"/>
        <family val="2"/>
        <scheme val="minor"/>
      </rPr>
      <t>(Submissions accepted for publication as a preprint only)</t>
    </r>
  </si>
  <si>
    <t>Cost per article (€)</t>
  </si>
  <si>
    <t>Technical checking of manuscript, including data availability</t>
  </si>
  <si>
    <t>Handling of re-submission process (average, will vary from 0 to 2 or 3 submissions)</t>
  </si>
  <si>
    <t>This sheet sets out three publication growth scenarios for ORE, which are used to drive article costs in sheet 2. Income &amp; spend - uninflated. Changing the growth assumptions on this sheet will therefore change the costs on sheets 1 and 2.</t>
  </si>
  <si>
    <t>5c. Membership &amp; supporter costs</t>
  </si>
  <si>
    <t>6. Marktg &amp; community (outsd)</t>
  </si>
  <si>
    <t>Low, medium and high scenarios for outsource marketing and community engagement costs.</t>
  </si>
  <si>
    <t>Low, medium and high scenarios for platform operation and maintenance costs.</t>
  </si>
  <si>
    <t>Job roles</t>
  </si>
  <si>
    <t>Open Research Europe - Scenario Modelling Summary (Inflated)</t>
  </si>
  <si>
    <t>Open Research Europe - Scenario Modelling Summary (Uninflated)</t>
  </si>
  <si>
    <t>Select parameters:</t>
  </si>
  <si>
    <t xml:space="preserve">Grossmann, Alexander; Brembs, Björn (2021). Journal publication cost tables and scenarios. figshare. Dataset. </t>
  </si>
  <si>
    <t>Breakdown of article production costs by stage</t>
  </si>
  <si>
    <t>I. Pre publication checks</t>
  </si>
  <si>
    <t>II. Content preparation</t>
  </si>
  <si>
    <t>III. Peer review</t>
  </si>
  <si>
    <t>IV. Content dissemination</t>
  </si>
  <si>
    <t>Current acception rate is 70% (i.e. 30% rejected) but this is expected to fall as the platform's eligibility restrictions are relaxed</t>
  </si>
  <si>
    <t>5. Article production costs</t>
  </si>
  <si>
    <t>5a. ORE page and figure avgs</t>
  </si>
  <si>
    <t>Editorial hourly rates (used within article production costs calculation)</t>
  </si>
  <si>
    <t>Marketing and community engagement (outsourced costs)</t>
  </si>
  <si>
    <t xml:space="preserve">This workbook uses the Excel 'Name' function to make formulas easier to understand and maintain. These named values are mainly used within formulas on worksheet 2. Income &amp; exp - uninflated, and refer to values found in worksheet 3. Model Parameters. You can see a full list of all the named values used in this worksheet, together with their value and reference within the worksbook, by going to the Formulas tab in the Excel ribbon and selecing 'Name Manager' within the 'Defined Names group'. For more information on the use of names in formulas see: </t>
  </si>
  <si>
    <t xml:space="preserve">https://support.microsoft.com/en-au/office/define-and-use-names-in-formulas-4d0f13ac-53b7-422e-afd2-abd7ff379c64  </t>
  </si>
  <si>
    <t>Article production costs</t>
  </si>
  <si>
    <t>Cost per FTE</t>
  </si>
  <si>
    <t>20% reduction vs medium scenario.</t>
  </si>
  <si>
    <t>20% increase vs medium scenario.</t>
  </si>
  <si>
    <t>Salary per FTE</t>
  </si>
  <si>
    <t>Platform development and maintenance spend</t>
  </si>
  <si>
    <t>Platform development and maintenance - Scenarios</t>
  </si>
  <si>
    <t>SURPLUS</t>
  </si>
  <si>
    <t xml:space="preserve">This sheet draws on prior work by Grossman and Brembs (2021) to model article production costs in detail, on the assumption that outsourced service providers are used. </t>
  </si>
  <si>
    <r>
      <t xml:space="preserve">This sheet provides a high-level overview of the estimated cost of operating Open Research Europe, </t>
    </r>
    <r>
      <rPr>
        <u/>
        <sz val="11"/>
        <color rgb="FF000000"/>
        <rFont val="Calibri"/>
        <family val="2"/>
        <scheme val="minor"/>
      </rPr>
      <t>including</t>
    </r>
    <r>
      <rPr>
        <sz val="11"/>
        <color rgb="FF000000"/>
        <rFont val="Calibri"/>
        <family val="2"/>
        <scheme val="minor"/>
      </rPr>
      <t xml:space="preserve"> the impact of inflation. The income expenditure figures shown in this sheet are determined by:
- The selection of one of three scenarios at the top of the worksheet (Low, Medium or High) for publication growth, technology spend, marketing spend, inflation rate, direct cost per article, staff numbers and salary per FTE. 
- The selection of one of two scenarios for VAT recovery (Yes or No). Where VAT cannot be recovered all VATable costs are increased in line with the VAT rate set in sheet 3. Model parameters.
This sheet is derived from sheet </t>
    </r>
    <r>
      <rPr>
        <b/>
        <sz val="11"/>
        <color rgb="FF000000"/>
        <rFont val="Calibri"/>
        <family val="2"/>
        <scheme val="minor"/>
      </rPr>
      <t>2. Income &amp; exp - uninflated</t>
    </r>
    <r>
      <rPr>
        <sz val="11"/>
        <color rgb="FF000000"/>
        <rFont val="Calibri"/>
        <family val="2"/>
        <scheme val="minor"/>
      </rPr>
      <t xml:space="preserve">, with the costs for each year summarised and increased in line with the inflation rates shown in sheet </t>
    </r>
    <r>
      <rPr>
        <b/>
        <sz val="11"/>
        <color rgb="FF000000"/>
        <rFont val="Calibri"/>
        <family val="2"/>
        <scheme val="minor"/>
      </rPr>
      <t>10. Inflatn &amp;labour cost index</t>
    </r>
  </si>
  <si>
    <r>
      <t xml:space="preserve">This sheet provides a more in-depth breakdown of the estimated costs of operating Open Research Europe, </t>
    </r>
    <r>
      <rPr>
        <u/>
        <sz val="11"/>
        <color theme="1"/>
        <rFont val="Calibri"/>
        <family val="2"/>
        <scheme val="minor"/>
      </rPr>
      <t>before</t>
    </r>
    <r>
      <rPr>
        <sz val="11"/>
        <color theme="1"/>
        <rFont val="Calibri"/>
        <family val="2"/>
        <scheme val="minor"/>
      </rPr>
      <t xml:space="preserve"> allowing for inflation. The expenditure figures in this sheet are determined by the parameters chosen on worksheet 1. and the underlying model parameters set out in sheet 3. Model parameters.
Income is set as 10% of the calculated costs, on the basis that funders will be asked to contribute sufficient funds to allow ORE to build up reserves sufficient to cover 3 or 4 months' operating expenditure by 2030.</t>
    </r>
  </si>
  <si>
    <t>Review of a sample of actual ORE articles to inform the page count and figure averages using in sheet 5. Article production costs</t>
  </si>
  <si>
    <t xml:space="preserve">This sheet sets out three scenarios for full-time equivalent staff numbers directly employed by ORE. These are loosely informed by the low, medium and high publication growth scenarios, with an expectation that staff costs will have to increase periodically as publication volumes grow. </t>
  </si>
  <si>
    <t>Details of the key assumptions used in the preparation of the model.</t>
  </si>
  <si>
    <t>Note: the values below are linked to those selected on Worksheet 1.</t>
  </si>
  <si>
    <t>5a ORE page and figure averages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</si>
</sst>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0.0"/>
    <numFmt numFmtId="165" formatCode="0.0%"/>
    <numFmt numFmtId="166" formatCode="[$€-2]\ #,##0;[Red]\-[$€-2]\ #,##0"/>
    <numFmt numFmtId="167" formatCode="#,##0_ ;\-#,##0\ "/>
    <numFmt numFmtId="168" formatCode="_-* #,##0.0_-;\-* #,##0.0_-;_-* &quot;-&quot;??_-;_-@_-"/>
    <numFmt numFmtId="169" formatCode="_-* #,##0_-;\-* #,##0_-;_-* &quot;-&quot;??_-;_-@_-"/>
    <numFmt numFmtId="170" formatCode="0.000%"/>
  </numFmts>
  <fonts count="39"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b/>
      <sz val="15"/>
      <color theme="8" tint="-0.249977111117893"/>
      <name val="Calibri"/>
      <family val="2"/>
      <scheme val="minor"/>
    </font>
    <font>
      <b/>
      <sz val="13"/>
      <color theme="0"/>
      <name val="Calibri"/>
      <family val="2"/>
      <scheme val="minor"/>
    </font>
    <font>
      <b/>
      <sz val="12"/>
      <color theme="0"/>
      <name val="Calibri"/>
      <family val="2"/>
      <scheme val="minor"/>
    </font>
    <font>
      <b/>
      <sz val="13"/>
      <color rgb="FF002060"/>
      <name val="Calibri"/>
      <family val="2"/>
      <scheme val="minor"/>
    </font>
    <font>
      <b/>
      <sz val="11"/>
      <color rgb="FF002060"/>
      <name val="Calibri"/>
      <family val="2"/>
      <scheme val="minor"/>
    </font>
    <font>
      <b/>
      <sz val="15"/>
      <color rgb="FF002060"/>
      <name val="Calibri"/>
      <family val="2"/>
      <scheme val="minor"/>
    </font>
    <font>
      <i/>
      <sz val="11"/>
      <color rgb="FF002060"/>
      <name val="Calibri"/>
      <family val="2"/>
      <scheme val="minor"/>
    </font>
    <font>
      <b/>
      <sz val="11"/>
      <color theme="0"/>
      <name val="Calibri"/>
      <family val="2"/>
      <scheme val="minor"/>
    </font>
    <font>
      <sz val="11"/>
      <color rgb="FFFF0000"/>
      <name val="Calibri"/>
      <family val="2"/>
      <scheme val="minor"/>
    </font>
    <font>
      <b/>
      <sz val="12"/>
      <color rgb="FF002060"/>
      <name val="Calibri"/>
      <family val="2"/>
      <scheme val="minor"/>
    </font>
    <font>
      <b/>
      <sz val="12"/>
      <color theme="1"/>
      <name val="Calibri"/>
      <family val="2"/>
      <scheme val="minor"/>
    </font>
    <font>
      <u/>
      <sz val="11"/>
      <color theme="10"/>
      <name val="Calibri"/>
      <family val="2"/>
      <scheme val="minor"/>
    </font>
    <font>
      <b/>
      <i/>
      <sz val="11"/>
      <color theme="1"/>
      <name val="Calibri"/>
      <family val="2"/>
      <scheme val="minor"/>
    </font>
    <font>
      <i/>
      <sz val="11"/>
      <color theme="1"/>
      <name val="Calibri"/>
      <family val="2"/>
      <scheme val="minor"/>
    </font>
    <font>
      <i/>
      <sz val="9"/>
      <color theme="1"/>
      <name val="Calibri"/>
      <family val="2"/>
      <scheme val="minor"/>
    </font>
    <font>
      <b/>
      <u/>
      <sz val="11"/>
      <color theme="1"/>
      <name val="Calibri"/>
      <family val="2"/>
      <scheme val="minor"/>
    </font>
    <font>
      <b/>
      <sz val="14"/>
      <color theme="1"/>
      <name val="Calibri"/>
      <family val="2"/>
      <scheme val="minor"/>
    </font>
    <font>
      <i/>
      <sz val="11"/>
      <name val="Calibri"/>
      <family val="2"/>
      <scheme val="minor"/>
    </font>
    <font>
      <strike/>
      <sz val="11"/>
      <color rgb="FFFF0000"/>
      <name val="Calibri"/>
      <family val="2"/>
      <scheme val="minor"/>
    </font>
    <font>
      <b/>
      <sz val="16"/>
      <color theme="1"/>
      <name val="Calibri"/>
      <family val="2"/>
      <scheme val="minor"/>
    </font>
    <font>
      <b/>
      <i/>
      <sz val="11"/>
      <color theme="8"/>
      <name val="Calibri"/>
      <family val="2"/>
      <scheme val="minor"/>
    </font>
    <font>
      <b/>
      <u/>
      <sz val="11"/>
      <name val="Calibri"/>
      <family val="2"/>
      <scheme val="minor"/>
    </font>
    <font>
      <b/>
      <i/>
      <sz val="9"/>
      <color theme="1"/>
      <name val="Calibri"/>
      <family val="2"/>
      <scheme val="minor"/>
    </font>
    <font>
      <b/>
      <sz val="11"/>
      <color rgb="FF000000"/>
      <name val="Calibri"/>
      <family val="2"/>
      <scheme val="minor"/>
    </font>
    <font>
      <sz val="11"/>
      <color rgb="FF000000"/>
      <name val="Calibri"/>
      <family val="2"/>
      <scheme val="minor"/>
    </font>
    <font>
      <b/>
      <sz val="11"/>
      <color rgb="FFFFFFFF"/>
      <name val="Calibri"/>
      <family val="2"/>
      <scheme val="minor"/>
    </font>
    <font>
      <sz val="9"/>
      <color rgb="FF180B4B"/>
      <name val="Segoe UI"/>
      <family val="2"/>
    </font>
    <font>
      <sz val="10"/>
      <color theme="1"/>
      <name val="Symbol"/>
      <family val="1"/>
      <charset val="2"/>
    </font>
    <font>
      <sz val="7"/>
      <color theme="1"/>
      <name val="Times New Roman"/>
      <family val="1"/>
    </font>
    <font>
      <sz val="10"/>
      <color theme="1"/>
      <name val="Arial"/>
      <family val="2"/>
    </font>
    <font>
      <u/>
      <sz val="11"/>
      <color rgb="FF000000"/>
      <name val="Calibri"/>
      <family val="2"/>
      <scheme val="minor"/>
    </font>
    <font>
      <u/>
      <sz val="11"/>
      <color theme="1"/>
      <name val="Calibri"/>
      <family val="2"/>
      <scheme val="minor"/>
    </font>
    <font>
      <sz val="9"/>
      <name val="Open Sans"/>
      <family val="2"/>
    </font>
  </fonts>
  <fills count="24">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8"/>
        <bgColor indexed="64"/>
      </patternFill>
    </fill>
    <fill>
      <patternFill patternType="solid">
        <fgColor theme="0"/>
        <bgColor indexed="64"/>
      </patternFill>
    </fill>
    <fill>
      <patternFill patternType="solid">
        <fgColor rgb="FFFFFF00"/>
        <bgColor indexed="64"/>
      </patternFill>
    </fill>
    <fill>
      <patternFill patternType="solid">
        <fgColor rgb="FFF9FBFD"/>
        <bgColor indexed="64"/>
      </patternFill>
    </fill>
    <fill>
      <patternFill patternType="solid">
        <fgColor rgb="FFFFFFFF"/>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B2095A"/>
        <bgColor rgb="FFB2095A"/>
      </patternFill>
    </fill>
    <fill>
      <patternFill patternType="solid">
        <fgColor rgb="FF547686"/>
        <bgColor rgb="FF547686"/>
      </patternFill>
    </fill>
    <fill>
      <patternFill patternType="solid">
        <fgColor rgb="FFF984BB"/>
        <bgColor rgb="FF000000"/>
      </patternFill>
    </fill>
    <fill>
      <patternFill patternType="solid">
        <fgColor theme="0"/>
        <bgColor rgb="FF000000"/>
      </patternFill>
    </fill>
    <fill>
      <patternFill patternType="solid">
        <fgColor theme="7"/>
        <bgColor indexed="64"/>
      </patternFill>
    </fill>
    <fill>
      <patternFill patternType="solid">
        <fgColor theme="6" tint="0.79998168889431442"/>
        <bgColor indexed="64"/>
      </patternFill>
    </fill>
    <fill>
      <patternFill patternType="solid">
        <fgColor theme="8" tint="0.79998168889431442"/>
        <bgColor rgb="FF000000"/>
      </patternFill>
    </fill>
    <fill>
      <patternFill patternType="solid">
        <fgColor theme="9"/>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0.249977111117893"/>
        <bgColor indexed="64"/>
      </patternFill>
    </fill>
  </fills>
  <borders count="27">
    <border>
      <left/>
      <right/>
      <top/>
      <bottom/>
      <diagonal/>
    </border>
    <border>
      <left/>
      <right/>
      <top/>
      <bottom style="thin">
        <color rgb="FF002060"/>
      </bottom>
      <diagonal/>
    </border>
    <border>
      <left/>
      <right style="thin">
        <color rgb="FF002060"/>
      </right>
      <top style="thin">
        <color rgb="FF002060"/>
      </top>
      <bottom/>
      <diagonal/>
    </border>
    <border>
      <left style="thin">
        <color rgb="FF002060"/>
      </left>
      <right style="thin">
        <color rgb="FF002060"/>
      </right>
      <top style="thin">
        <color rgb="FF002060"/>
      </top>
      <bottom style="thin">
        <color rgb="FF002060"/>
      </bottom>
      <diagonal/>
    </border>
    <border>
      <left style="thin">
        <color rgb="FF002060"/>
      </left>
      <right/>
      <top style="thin">
        <color rgb="FF002060"/>
      </top>
      <bottom/>
      <diagonal/>
    </border>
    <border>
      <left/>
      <right/>
      <top style="thin">
        <color rgb="FF002060"/>
      </top>
      <bottom/>
      <diagonal/>
    </border>
    <border>
      <left style="thin">
        <color rgb="FF002060"/>
      </left>
      <right/>
      <top/>
      <bottom/>
      <diagonal/>
    </border>
    <border>
      <left/>
      <right style="thin">
        <color rgb="FF002060"/>
      </right>
      <top/>
      <bottom/>
      <diagonal/>
    </border>
    <border>
      <left style="thin">
        <color rgb="FF002060"/>
      </left>
      <right/>
      <top/>
      <bottom style="thin">
        <color rgb="FF002060"/>
      </bottom>
      <diagonal/>
    </border>
    <border>
      <left/>
      <right style="thin">
        <color rgb="FF002060"/>
      </right>
      <top/>
      <bottom style="thin">
        <color rgb="FF002060"/>
      </bottom>
      <diagonal/>
    </border>
    <border>
      <left style="thin">
        <color rgb="FF002060"/>
      </left>
      <right style="thin">
        <color rgb="FF002060"/>
      </right>
      <top style="thin">
        <color rgb="FF002060"/>
      </top>
      <bottom/>
      <diagonal/>
    </border>
    <border>
      <left/>
      <right/>
      <top style="thin">
        <color rgb="FF002060"/>
      </top>
      <bottom style="double">
        <color rgb="FF002060"/>
      </bottom>
      <diagonal/>
    </border>
    <border>
      <left/>
      <right/>
      <top/>
      <bottom style="double">
        <color rgb="FF00206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rgb="FFEEF3FA"/>
      </top>
      <bottom style="medium">
        <color rgb="FFEEF3FA"/>
      </bottom>
      <diagonal/>
    </border>
    <border>
      <left/>
      <right/>
      <top style="thin">
        <color indexed="64"/>
      </top>
      <bottom style="double">
        <color indexed="64"/>
      </bottom>
      <diagonal/>
    </border>
    <border>
      <left/>
      <right/>
      <top/>
      <bottom style="double">
        <color indexed="64"/>
      </bottom>
      <diagonal/>
    </border>
    <border>
      <left/>
      <right/>
      <top style="medium">
        <color rgb="FFEEF3FA"/>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9" fontId="1" fillId="0" borderId="0" applyFont="0" applyFill="0" applyBorder="0" applyAlignment="0" applyProtection="0"/>
    <xf numFmtId="0" fontId="17" fillId="0" borderId="0" applyNumberFormat="0" applyFill="0" applyBorder="0" applyAlignment="0" applyProtection="0"/>
    <xf numFmtId="43" fontId="1" fillId="0" borderId="0" applyFont="0" applyFill="0" applyBorder="0" applyAlignment="0" applyProtection="0"/>
  </cellStyleXfs>
  <cellXfs count="291">
    <xf numFmtId="0" fontId="0" fillId="0" borderId="0" xfId="0"/>
    <xf numFmtId="0" fontId="0" fillId="0" borderId="0" xfId="0" applyAlignment="1">
      <alignment horizontal="center"/>
    </xf>
    <xf numFmtId="0" fontId="0" fillId="6" borderId="0" xfId="0" applyFill="1"/>
    <xf numFmtId="3" fontId="0" fillId="6" borderId="0" xfId="0" applyNumberFormat="1" applyFill="1" applyAlignment="1">
      <alignment horizontal="center"/>
    </xf>
    <xf numFmtId="3" fontId="0" fillId="4" borderId="3" xfId="0" applyNumberFormat="1" applyFill="1" applyBorder="1" applyAlignment="1">
      <alignment horizontal="center"/>
    </xf>
    <xf numFmtId="3" fontId="0" fillId="3" borderId="3" xfId="0" applyNumberFormat="1" applyFill="1" applyBorder="1" applyAlignment="1">
      <alignment horizontal="center"/>
    </xf>
    <xf numFmtId="9" fontId="0" fillId="5" borderId="3" xfId="1" applyFont="1" applyFill="1" applyBorder="1" applyAlignment="1">
      <alignment horizontal="center"/>
    </xf>
    <xf numFmtId="0" fontId="7" fillId="0" borderId="0" xfId="0" applyFont="1" applyAlignment="1">
      <alignment horizontal="center" wrapText="1"/>
    </xf>
    <xf numFmtId="0" fontId="7" fillId="2" borderId="0" xfId="0" applyFont="1" applyFill="1" applyAlignment="1">
      <alignment horizontal="center" wrapText="1"/>
    </xf>
    <xf numFmtId="0" fontId="6" fillId="6" borderId="0" xfId="0" applyFont="1" applyFill="1" applyAlignment="1">
      <alignment horizontal="left"/>
    </xf>
    <xf numFmtId="9" fontId="0" fillId="5" borderId="10" xfId="1" applyFont="1" applyFill="1" applyBorder="1" applyAlignment="1">
      <alignment horizontal="center"/>
    </xf>
    <xf numFmtId="9" fontId="0" fillId="0" borderId="3" xfId="1" applyFont="1" applyFill="1" applyBorder="1" applyAlignment="1">
      <alignment horizontal="center"/>
    </xf>
    <xf numFmtId="0" fontId="11" fillId="6" borderId="0" xfId="0" applyFont="1" applyFill="1" applyAlignment="1">
      <alignment horizontal="left"/>
    </xf>
    <xf numFmtId="0" fontId="3" fillId="6" borderId="0" xfId="0" applyFont="1" applyFill="1"/>
    <xf numFmtId="0" fontId="10" fillId="6" borderId="0" xfId="0" applyFont="1" applyFill="1" applyAlignment="1">
      <alignment horizontal="left"/>
    </xf>
    <xf numFmtId="0" fontId="12" fillId="6" borderId="0" xfId="0" applyFont="1" applyFill="1" applyAlignment="1">
      <alignment horizontal="left"/>
    </xf>
    <xf numFmtId="0" fontId="0" fillId="6" borderId="0" xfId="0" applyFill="1" applyAlignment="1">
      <alignment horizontal="center"/>
    </xf>
    <xf numFmtId="0" fontId="2" fillId="6" borderId="0" xfId="0" applyFont="1" applyFill="1" applyAlignment="1">
      <alignment horizontal="center"/>
    </xf>
    <xf numFmtId="0" fontId="10" fillId="6" borderId="0" xfId="0" applyFont="1" applyFill="1" applyAlignment="1">
      <alignment horizontal="center"/>
    </xf>
    <xf numFmtId="0" fontId="7" fillId="6" borderId="0" xfId="0" applyFont="1" applyFill="1"/>
    <xf numFmtId="0" fontId="7" fillId="6" borderId="0" xfId="0" applyFont="1" applyFill="1" applyAlignment="1">
      <alignment horizontal="center" wrapText="1"/>
    </xf>
    <xf numFmtId="0" fontId="9" fillId="6" borderId="0" xfId="0" applyFont="1" applyFill="1"/>
    <xf numFmtId="0" fontId="7" fillId="2" borderId="3" xfId="0" applyFont="1" applyFill="1" applyBorder="1" applyAlignment="1">
      <alignment horizontal="center"/>
    </xf>
    <xf numFmtId="0" fontId="14" fillId="6" borderId="0" xfId="0" applyFont="1" applyFill="1"/>
    <xf numFmtId="0" fontId="8" fillId="6" borderId="0" xfId="0" applyFont="1" applyFill="1" applyAlignment="1">
      <alignment horizontal="center" wrapText="1"/>
    </xf>
    <xf numFmtId="0" fontId="15" fillId="6" borderId="0" xfId="0" applyFont="1" applyFill="1" applyAlignment="1">
      <alignment horizontal="center" wrapText="1"/>
    </xf>
    <xf numFmtId="0" fontId="5" fillId="6" borderId="0" xfId="0" applyFont="1" applyFill="1"/>
    <xf numFmtId="3" fontId="5" fillId="6" borderId="0" xfId="0" applyNumberFormat="1" applyFont="1" applyFill="1" applyAlignment="1">
      <alignment horizontal="center"/>
    </xf>
    <xf numFmtId="9" fontId="5" fillId="6" borderId="0" xfId="1" applyFont="1" applyFill="1" applyAlignment="1">
      <alignment horizontal="center"/>
    </xf>
    <xf numFmtId="0" fontId="5" fillId="6" borderId="1" xfId="0" applyFont="1" applyFill="1" applyBorder="1"/>
    <xf numFmtId="0" fontId="15" fillId="6" borderId="0" xfId="0" applyFont="1" applyFill="1"/>
    <xf numFmtId="3" fontId="16" fillId="6" borderId="0" xfId="0" applyNumberFormat="1" applyFont="1" applyFill="1" applyAlignment="1">
      <alignment horizontal="center"/>
    </xf>
    <xf numFmtId="3" fontId="15" fillId="6" borderId="11" xfId="0" applyNumberFormat="1" applyFont="1" applyFill="1" applyBorder="1" applyAlignment="1">
      <alignment horizontal="center"/>
    </xf>
    <xf numFmtId="9" fontId="15" fillId="6" borderId="0" xfId="1" applyFont="1" applyFill="1" applyAlignment="1">
      <alignment horizontal="center"/>
    </xf>
    <xf numFmtId="9" fontId="5" fillId="6" borderId="0" xfId="0" applyNumberFormat="1" applyFont="1" applyFill="1" applyAlignment="1">
      <alignment horizontal="center"/>
    </xf>
    <xf numFmtId="9" fontId="15" fillId="6" borderId="11" xfId="1" applyFont="1" applyFill="1" applyBorder="1" applyAlignment="1">
      <alignment horizontal="center"/>
    </xf>
    <xf numFmtId="9" fontId="5" fillId="6" borderId="12" xfId="0" applyNumberFormat="1" applyFont="1" applyFill="1" applyBorder="1" applyAlignment="1">
      <alignment horizontal="center"/>
    </xf>
    <xf numFmtId="0" fontId="13" fillId="6" borderId="0" xfId="0" applyFont="1" applyFill="1" applyAlignment="1">
      <alignment horizontal="center" wrapText="1"/>
    </xf>
    <xf numFmtId="0" fontId="9" fillId="6" borderId="0" xfId="0" applyFont="1" applyFill="1" applyAlignment="1">
      <alignment horizontal="left"/>
    </xf>
    <xf numFmtId="0" fontId="9" fillId="6" borderId="0" xfId="0" applyFont="1" applyFill="1" applyAlignment="1">
      <alignment wrapText="1"/>
    </xf>
    <xf numFmtId="3" fontId="0" fillId="6" borderId="3" xfId="0" applyNumberFormat="1" applyFill="1" applyBorder="1" applyAlignment="1">
      <alignment horizontal="center"/>
    </xf>
    <xf numFmtId="9" fontId="0" fillId="5" borderId="13" xfId="1" applyFont="1" applyFill="1" applyBorder="1" applyAlignment="1">
      <alignment horizontal="center"/>
    </xf>
    <xf numFmtId="9" fontId="0" fillId="6" borderId="0" xfId="0" applyNumberFormat="1" applyFill="1"/>
    <xf numFmtId="0" fontId="0" fillId="6" borderId="0" xfId="0" applyFill="1" applyAlignment="1">
      <alignment horizontal="center" wrapText="1"/>
    </xf>
    <xf numFmtId="0" fontId="12" fillId="6" borderId="0" xfId="0" applyFont="1" applyFill="1" applyAlignment="1">
      <alignment horizontal="center"/>
    </xf>
    <xf numFmtId="0" fontId="3" fillId="6" borderId="0" xfId="0" applyFont="1" applyFill="1" applyAlignment="1">
      <alignment horizontal="center"/>
    </xf>
    <xf numFmtId="0" fontId="0" fillId="0" borderId="13" xfId="0" applyBorder="1" applyAlignment="1">
      <alignment horizontal="right"/>
    </xf>
    <xf numFmtId="0" fontId="3" fillId="6" borderId="0" xfId="0" applyFont="1" applyFill="1" applyAlignment="1">
      <alignment horizontal="left" vertical="center" wrapText="1"/>
    </xf>
    <xf numFmtId="0" fontId="0" fillId="6" borderId="0" xfId="0" applyFill="1" applyAlignment="1">
      <alignment wrapText="1"/>
    </xf>
    <xf numFmtId="3" fontId="0" fillId="0" borderId="0" xfId="0" applyNumberFormat="1" applyAlignment="1">
      <alignment horizontal="center"/>
    </xf>
    <xf numFmtId="9" fontId="0" fillId="0" borderId="0" xfId="1" applyFont="1"/>
    <xf numFmtId="0" fontId="0" fillId="0" borderId="0" xfId="0" applyAlignment="1">
      <alignment wrapText="1"/>
    </xf>
    <xf numFmtId="0" fontId="2" fillId="0" borderId="0" xfId="0" applyFont="1"/>
    <xf numFmtId="0" fontId="0" fillId="7" borderId="0" xfId="0" applyFill="1"/>
    <xf numFmtId="0" fontId="2" fillId="8" borderId="19" xfId="0" applyFont="1" applyFill="1" applyBorder="1" applyAlignment="1">
      <alignment horizontal="left" vertical="center" indent="3"/>
    </xf>
    <xf numFmtId="0" fontId="0" fillId="8" borderId="19" xfId="0" applyFill="1" applyBorder="1" applyAlignment="1">
      <alignment horizontal="right" vertical="top" indent="1"/>
    </xf>
    <xf numFmtId="0" fontId="2" fillId="9" borderId="19" xfId="0" applyFont="1" applyFill="1" applyBorder="1" applyAlignment="1">
      <alignment horizontal="left" vertical="center" indent="3"/>
    </xf>
    <xf numFmtId="0" fontId="18" fillId="8" borderId="0" xfId="0" applyFont="1" applyFill="1" applyAlignment="1">
      <alignment horizontal="left" vertical="center" indent="3"/>
    </xf>
    <xf numFmtId="0" fontId="2" fillId="0" borderId="0" xfId="0" applyFont="1" applyAlignment="1">
      <alignment horizontal="center" wrapText="1"/>
    </xf>
    <xf numFmtId="164" fontId="0" fillId="8" borderId="19" xfId="0" applyNumberFormat="1" applyFill="1" applyBorder="1" applyAlignment="1">
      <alignment horizontal="right" vertical="top" indent="1"/>
    </xf>
    <xf numFmtId="0" fontId="17" fillId="0" borderId="0" xfId="2"/>
    <xf numFmtId="0" fontId="3" fillId="0" borderId="0" xfId="0" applyFont="1"/>
    <xf numFmtId="0" fontId="3" fillId="0" borderId="0" xfId="0" applyFont="1" applyAlignment="1">
      <alignment vertical="center"/>
    </xf>
    <xf numFmtId="0" fontId="20" fillId="0" borderId="0" xfId="0" applyFont="1"/>
    <xf numFmtId="0" fontId="21" fillId="0" borderId="0" xfId="0" applyFont="1"/>
    <xf numFmtId="0" fontId="0" fillId="0" borderId="0" xfId="0" applyAlignment="1">
      <alignment vertical="center"/>
    </xf>
    <xf numFmtId="1" fontId="2" fillId="0" borderId="0" xfId="0" applyNumberFormat="1" applyFont="1" applyAlignment="1">
      <alignment horizontal="center"/>
    </xf>
    <xf numFmtId="166" fontId="2" fillId="0" borderId="0" xfId="0" quotePrefix="1" applyNumberFormat="1" applyFont="1" applyAlignment="1">
      <alignment horizontal="center"/>
    </xf>
    <xf numFmtId="0" fontId="22" fillId="0" borderId="0" xfId="0" applyFont="1"/>
    <xf numFmtId="9" fontId="3" fillId="0" borderId="0" xfId="0" applyNumberFormat="1" applyFont="1" applyAlignment="1">
      <alignment horizontal="center"/>
    </xf>
    <xf numFmtId="0" fontId="0" fillId="0" borderId="15" xfId="0" applyBorder="1"/>
    <xf numFmtId="0" fontId="0" fillId="0" borderId="15" xfId="0" applyBorder="1" applyAlignment="1">
      <alignment horizontal="center"/>
    </xf>
    <xf numFmtId="2" fontId="0" fillId="0" borderId="0" xfId="0" applyNumberFormat="1" applyAlignment="1">
      <alignment horizontal="center"/>
    </xf>
    <xf numFmtId="0" fontId="0" fillId="10" borderId="0" xfId="0" applyFill="1"/>
    <xf numFmtId="0" fontId="2" fillId="10" borderId="0" xfId="0" applyFont="1" applyFill="1"/>
    <xf numFmtId="0" fontId="2" fillId="11" borderId="0" xfId="0" applyFont="1" applyFill="1"/>
    <xf numFmtId="2" fontId="2" fillId="0" borderId="0" xfId="0" applyNumberFormat="1" applyFont="1" applyAlignment="1">
      <alignment horizontal="center"/>
    </xf>
    <xf numFmtId="0" fontId="23" fillId="0" borderId="0" xfId="0" applyFont="1"/>
    <xf numFmtId="3" fontId="0" fillId="0" borderId="0" xfId="0" applyNumberFormat="1"/>
    <xf numFmtId="3" fontId="0" fillId="0" borderId="15" xfId="0" applyNumberFormat="1" applyBorder="1"/>
    <xf numFmtId="0" fontId="0" fillId="0" borderId="21" xfId="0" applyBorder="1"/>
    <xf numFmtId="3" fontId="0" fillId="0" borderId="21" xfId="0" applyNumberFormat="1" applyBorder="1"/>
    <xf numFmtId="0" fontId="2" fillId="0" borderId="0" xfId="0" applyFont="1" applyAlignment="1">
      <alignment horizontal="center"/>
    </xf>
    <xf numFmtId="0" fontId="24" fillId="0" borderId="0" xfId="0" applyFont="1"/>
    <xf numFmtId="0" fontId="25" fillId="0" borderId="0" xfId="0" applyFont="1"/>
    <xf numFmtId="9" fontId="2" fillId="0" borderId="0" xfId="0" applyNumberFormat="1" applyFont="1" applyAlignment="1">
      <alignment horizontal="center"/>
    </xf>
    <xf numFmtId="167" fontId="0" fillId="0" borderId="0" xfId="0" applyNumberFormat="1"/>
    <xf numFmtId="2" fontId="0" fillId="0" borderId="0" xfId="0" applyNumberFormat="1"/>
    <xf numFmtId="0" fontId="26" fillId="0" borderId="0" xfId="0" applyFont="1"/>
    <xf numFmtId="2" fontId="2" fillId="6" borderId="0" xfId="0" applyNumberFormat="1" applyFont="1" applyFill="1" applyAlignment="1">
      <alignment horizontal="center"/>
    </xf>
    <xf numFmtId="3" fontId="0" fillId="6" borderId="0" xfId="0" applyNumberFormat="1" applyFill="1"/>
    <xf numFmtId="0" fontId="0" fillId="8" borderId="22" xfId="0" applyFill="1" applyBorder="1" applyAlignment="1">
      <alignment horizontal="right" vertical="top" indent="1"/>
    </xf>
    <xf numFmtId="164" fontId="0" fillId="8" borderId="22" xfId="0" applyNumberFormat="1" applyFill="1" applyBorder="1" applyAlignment="1">
      <alignment horizontal="right" vertical="top" indent="1"/>
    </xf>
    <xf numFmtId="164" fontId="2" fillId="8" borderId="20" xfId="0" applyNumberFormat="1" applyFont="1" applyFill="1" applyBorder="1" applyAlignment="1">
      <alignment horizontal="right" vertical="top" indent="1"/>
    </xf>
    <xf numFmtId="169" fontId="0" fillId="0" borderId="0" xfId="3" applyNumberFormat="1" applyFont="1"/>
    <xf numFmtId="0" fontId="2" fillId="12" borderId="0" xfId="0" applyFont="1" applyFill="1"/>
    <xf numFmtId="0" fontId="18" fillId="12" borderId="0" xfId="0" applyFont="1" applyFill="1"/>
    <xf numFmtId="168" fontId="19" fillId="12" borderId="0" xfId="3" quotePrefix="1" applyNumberFormat="1" applyFont="1" applyFill="1"/>
    <xf numFmtId="169" fontId="0" fillId="12" borderId="0" xfId="3" applyNumberFormat="1" applyFont="1" applyFill="1"/>
    <xf numFmtId="0" fontId="18" fillId="11" borderId="0" xfId="0" applyFont="1" applyFill="1"/>
    <xf numFmtId="0" fontId="18" fillId="10" borderId="0" xfId="0" applyFont="1" applyFill="1"/>
    <xf numFmtId="0" fontId="19" fillId="10" borderId="0" xfId="0" quotePrefix="1" applyFont="1" applyFill="1"/>
    <xf numFmtId="9" fontId="19" fillId="10" borderId="0" xfId="1" applyFont="1" applyFill="1"/>
    <xf numFmtId="9" fontId="19" fillId="10" borderId="0" xfId="0" applyNumberFormat="1" applyFont="1" applyFill="1"/>
    <xf numFmtId="169" fontId="0" fillId="10" borderId="0" xfId="3" applyNumberFormat="1" applyFont="1" applyFill="1"/>
    <xf numFmtId="0" fontId="19" fillId="0" borderId="0" xfId="0" applyFont="1"/>
    <xf numFmtId="0" fontId="0" fillId="0" borderId="13" xfId="0" applyBorder="1"/>
    <xf numFmtId="1" fontId="20" fillId="0" borderId="0" xfId="0" applyNumberFormat="1" applyFont="1"/>
    <xf numFmtId="169" fontId="0" fillId="0" borderId="20" xfId="0" applyNumberFormat="1" applyBorder="1"/>
    <xf numFmtId="169" fontId="2" fillId="0" borderId="20" xfId="0" applyNumberFormat="1" applyFont="1" applyBorder="1"/>
    <xf numFmtId="169" fontId="0" fillId="0" borderId="0" xfId="3" applyNumberFormat="1" applyFont="1" applyFill="1"/>
    <xf numFmtId="0" fontId="20" fillId="0" borderId="0" xfId="0" applyFont="1" applyAlignment="1">
      <alignment wrapText="1"/>
    </xf>
    <xf numFmtId="169" fontId="0" fillId="0" borderId="13" xfId="3" applyNumberFormat="1" applyFont="1" applyBorder="1"/>
    <xf numFmtId="169" fontId="19" fillId="12" borderId="0" xfId="3" applyNumberFormat="1" applyFont="1" applyFill="1"/>
    <xf numFmtId="169" fontId="19" fillId="10" borderId="0" xfId="3" applyNumberFormat="1" applyFont="1" applyFill="1"/>
    <xf numFmtId="169" fontId="19" fillId="11" borderId="0" xfId="3" applyNumberFormat="1" applyFont="1" applyFill="1"/>
    <xf numFmtId="0" fontId="19" fillId="8" borderId="0" xfId="0" applyFont="1" applyFill="1" applyAlignment="1">
      <alignment horizontal="center" vertical="center"/>
    </xf>
    <xf numFmtId="0" fontId="2" fillId="8" borderId="19" xfId="0" applyFont="1" applyFill="1" applyBorder="1" applyAlignment="1">
      <alignment horizontal="center" vertical="center"/>
    </xf>
    <xf numFmtId="0" fontId="2" fillId="9" borderId="19" xfId="0" applyFont="1" applyFill="1" applyBorder="1" applyAlignment="1">
      <alignment horizontal="center" vertical="center"/>
    </xf>
    <xf numFmtId="0" fontId="2" fillId="8" borderId="0" xfId="0" applyFont="1" applyFill="1" applyAlignment="1">
      <alignment horizontal="center" vertical="center"/>
    </xf>
    <xf numFmtId="0" fontId="27" fillId="0" borderId="0" xfId="0" applyFont="1" applyAlignment="1">
      <alignment vertical="center"/>
    </xf>
    <xf numFmtId="3" fontId="19" fillId="0" borderId="0" xfId="0" applyNumberFormat="1" applyFont="1" applyAlignment="1">
      <alignment horizontal="center"/>
    </xf>
    <xf numFmtId="169" fontId="20" fillId="0" borderId="0" xfId="3" applyNumberFormat="1" applyFont="1"/>
    <xf numFmtId="9" fontId="20" fillId="0" borderId="0" xfId="1" applyFont="1"/>
    <xf numFmtId="0" fontId="0" fillId="0" borderId="14" xfId="0" applyBorder="1"/>
    <xf numFmtId="3" fontId="0" fillId="0" borderId="14" xfId="0" applyNumberFormat="1" applyBorder="1"/>
    <xf numFmtId="3" fontId="0" fillId="0" borderId="17" xfId="0" applyNumberFormat="1" applyBorder="1"/>
    <xf numFmtId="169" fontId="0" fillId="0" borderId="17" xfId="3" applyNumberFormat="1" applyFont="1" applyBorder="1"/>
    <xf numFmtId="169" fontId="0" fillId="0" borderId="0" xfId="0" applyNumberFormat="1"/>
    <xf numFmtId="9" fontId="19" fillId="12" borderId="0" xfId="1" applyFont="1" applyFill="1"/>
    <xf numFmtId="0" fontId="28" fillId="0" borderId="0" xfId="0" applyFont="1"/>
    <xf numFmtId="169" fontId="0" fillId="0" borderId="0" xfId="3" applyNumberFormat="1" applyFont="1" applyBorder="1"/>
    <xf numFmtId="169" fontId="0" fillId="0" borderId="13" xfId="3" applyNumberFormat="1" applyFont="1" applyBorder="1" applyAlignment="1">
      <alignment horizontal="left" indent="2"/>
    </xf>
    <xf numFmtId="0" fontId="29" fillId="0" borderId="0" xfId="0" applyFont="1"/>
    <xf numFmtId="0" fontId="30" fillId="0" borderId="0" xfId="0" applyFont="1"/>
    <xf numFmtId="0" fontId="31" fillId="13" borderId="0" xfId="0" applyFont="1" applyFill="1"/>
    <xf numFmtId="17" fontId="30" fillId="0" borderId="0" xfId="0" applyNumberFormat="1" applyFont="1"/>
    <xf numFmtId="0" fontId="31" fillId="14" borderId="0" xfId="0" applyFont="1" applyFill="1"/>
    <xf numFmtId="0" fontId="30" fillId="15" borderId="0" xfId="0" applyFont="1" applyFill="1"/>
    <xf numFmtId="0" fontId="30" fillId="16" borderId="0" xfId="0" applyFont="1" applyFill="1"/>
    <xf numFmtId="9" fontId="3" fillId="6" borderId="0" xfId="0" applyNumberFormat="1" applyFont="1" applyFill="1" applyAlignment="1">
      <alignment horizontal="center"/>
    </xf>
    <xf numFmtId="0" fontId="17" fillId="6" borderId="0" xfId="2" applyFill="1"/>
    <xf numFmtId="43" fontId="0" fillId="0" borderId="13" xfId="3" applyFont="1" applyBorder="1"/>
    <xf numFmtId="0" fontId="30" fillId="6" borderId="0" xfId="0" applyFont="1" applyFill="1"/>
    <xf numFmtId="0" fontId="2" fillId="0" borderId="20" xfId="0" applyFont="1" applyBorder="1"/>
    <xf numFmtId="0" fontId="18" fillId="12" borderId="0" xfId="0" applyFont="1" applyFill="1" applyAlignment="1">
      <alignment horizontal="center" wrapText="1"/>
    </xf>
    <xf numFmtId="0" fontId="18" fillId="11" borderId="0" xfId="0" applyFont="1" applyFill="1" applyAlignment="1">
      <alignment horizontal="center" wrapText="1"/>
    </xf>
    <xf numFmtId="0" fontId="18" fillId="10" borderId="0" xfId="0" applyFont="1" applyFill="1" applyAlignment="1">
      <alignment horizontal="center" wrapText="1"/>
    </xf>
    <xf numFmtId="0" fontId="30" fillId="19" borderId="0" xfId="0" applyFont="1" applyFill="1" applyAlignment="1">
      <alignment horizontal="center"/>
    </xf>
    <xf numFmtId="0" fontId="3" fillId="19" borderId="0" xfId="0" applyFont="1" applyFill="1" applyAlignment="1">
      <alignment horizontal="center"/>
    </xf>
    <xf numFmtId="0" fontId="32" fillId="0" borderId="0" xfId="0" applyFont="1" applyAlignment="1">
      <alignment vertical="center"/>
    </xf>
    <xf numFmtId="1" fontId="2" fillId="18" borderId="0" xfId="0" applyNumberFormat="1" applyFont="1" applyFill="1" applyAlignment="1">
      <alignment horizontal="center"/>
    </xf>
    <xf numFmtId="166" fontId="2" fillId="18" borderId="0" xfId="0" quotePrefix="1" applyNumberFormat="1" applyFont="1" applyFill="1" applyAlignment="1">
      <alignment horizontal="center"/>
    </xf>
    <xf numFmtId="0" fontId="0" fillId="18" borderId="0" xfId="0" applyFill="1"/>
    <xf numFmtId="169" fontId="0" fillId="18" borderId="0" xfId="3" applyNumberFormat="1" applyFont="1" applyFill="1"/>
    <xf numFmtId="169" fontId="0" fillId="18" borderId="17" xfId="3" applyNumberFormat="1" applyFont="1" applyFill="1" applyBorder="1"/>
    <xf numFmtId="3" fontId="0" fillId="18" borderId="0" xfId="0" applyNumberFormat="1" applyFill="1"/>
    <xf numFmtId="3" fontId="0" fillId="18" borderId="17" xfId="0" applyNumberFormat="1" applyFill="1" applyBorder="1"/>
    <xf numFmtId="169" fontId="0" fillId="18" borderId="20" xfId="0" applyNumberFormat="1" applyFill="1" applyBorder="1"/>
    <xf numFmtId="2" fontId="20" fillId="0" borderId="0" xfId="0" applyNumberFormat="1" applyFont="1"/>
    <xf numFmtId="0" fontId="8" fillId="5" borderId="13" xfId="0" applyFont="1" applyFill="1" applyBorder="1" applyAlignment="1">
      <alignment vertical="center" wrapText="1"/>
    </xf>
    <xf numFmtId="0" fontId="0" fillId="21" borderId="13" xfId="0" applyFill="1" applyBorder="1" applyAlignment="1">
      <alignment wrapText="1"/>
    </xf>
    <xf numFmtId="0" fontId="0" fillId="17" borderId="13" xfId="0" applyFill="1" applyBorder="1" applyAlignment="1">
      <alignment wrapText="1"/>
    </xf>
    <xf numFmtId="0" fontId="7" fillId="2" borderId="10" xfId="0" applyFont="1" applyFill="1" applyBorder="1" applyAlignment="1">
      <alignment horizontal="left"/>
    </xf>
    <xf numFmtId="0" fontId="35" fillId="0" borderId="13" xfId="0" applyFont="1" applyBorder="1" applyAlignment="1">
      <alignment horizontal="justify" vertical="center"/>
    </xf>
    <xf numFmtId="0" fontId="33" fillId="0" borderId="13" xfId="0" applyFont="1" applyBorder="1" applyAlignment="1">
      <alignment horizontal="justify" vertical="center"/>
    </xf>
    <xf numFmtId="169" fontId="0" fillId="0" borderId="13" xfId="3" applyNumberFormat="1" applyFont="1" applyFill="1" applyBorder="1"/>
    <xf numFmtId="169" fontId="0" fillId="0" borderId="0" xfId="3" applyNumberFormat="1" applyFont="1" applyBorder="1" applyAlignment="1">
      <alignment horizontal="left" indent="2"/>
    </xf>
    <xf numFmtId="0" fontId="18" fillId="8" borderId="19" xfId="0" applyFont="1" applyFill="1" applyBorder="1" applyAlignment="1">
      <alignment horizontal="center" vertical="center"/>
    </xf>
    <xf numFmtId="0" fontId="2" fillId="18" borderId="0" xfId="0" applyFont="1" applyFill="1"/>
    <xf numFmtId="0" fontId="18" fillId="18" borderId="0" xfId="0" applyFont="1" applyFill="1"/>
    <xf numFmtId="0" fontId="19" fillId="18" borderId="0" xfId="0" quotePrefix="1" applyFont="1" applyFill="1"/>
    <xf numFmtId="9" fontId="19" fillId="18" borderId="0" xfId="1" applyFont="1" applyFill="1"/>
    <xf numFmtId="9" fontId="19" fillId="18" borderId="0" xfId="0" applyNumberFormat="1" applyFont="1" applyFill="1"/>
    <xf numFmtId="0" fontId="2" fillId="0" borderId="0" xfId="0" applyFont="1" applyAlignment="1">
      <alignment wrapText="1"/>
    </xf>
    <xf numFmtId="0" fontId="17" fillId="0" borderId="0" xfId="2" applyAlignment="1">
      <alignment wrapText="1"/>
    </xf>
    <xf numFmtId="169" fontId="0" fillId="0" borderId="0" xfId="3" applyNumberFormat="1" applyFont="1" applyAlignment="1">
      <alignment wrapText="1"/>
    </xf>
    <xf numFmtId="169" fontId="0" fillId="0" borderId="0" xfId="3" applyNumberFormat="1" applyFont="1" applyFill="1" applyAlignment="1">
      <alignment wrapText="1"/>
    </xf>
    <xf numFmtId="0" fontId="17" fillId="0" borderId="0" xfId="2" applyFill="1" applyAlignment="1">
      <alignment wrapText="1"/>
    </xf>
    <xf numFmtId="3" fontId="0" fillId="0" borderId="0" xfId="0" applyNumberFormat="1" applyAlignment="1">
      <alignment horizontal="center" wrapText="1"/>
    </xf>
    <xf numFmtId="0" fontId="0" fillId="22" borderId="0" xfId="0" applyFill="1"/>
    <xf numFmtId="0" fontId="0" fillId="22" borderId="13" xfId="0" applyFill="1" applyBorder="1"/>
    <xf numFmtId="0" fontId="0" fillId="22" borderId="0" xfId="0" applyFill="1" applyAlignment="1">
      <alignment wrapText="1"/>
    </xf>
    <xf numFmtId="0" fontId="21" fillId="0" borderId="0" xfId="0" applyFont="1" applyProtection="1">
      <protection locked="0"/>
    </xf>
    <xf numFmtId="0" fontId="0" fillId="0" borderId="0" xfId="0" applyProtection="1">
      <protection locked="0"/>
    </xf>
    <xf numFmtId="0" fontId="2" fillId="22" borderId="0" xfId="0" applyFont="1" applyFill="1" applyProtection="1">
      <protection locked="0"/>
    </xf>
    <xf numFmtId="0" fontId="0" fillId="22" borderId="0" xfId="0" applyFill="1" applyProtection="1">
      <protection locked="0"/>
    </xf>
    <xf numFmtId="0" fontId="0" fillId="22" borderId="0" xfId="0" applyFill="1" applyAlignment="1" applyProtection="1">
      <alignment wrapText="1"/>
      <protection locked="0"/>
    </xf>
    <xf numFmtId="0" fontId="2" fillId="0" borderId="0" xfId="0" applyFont="1" applyProtection="1">
      <protection locked="0"/>
    </xf>
    <xf numFmtId="1" fontId="2" fillId="0" borderId="0" xfId="0" applyNumberFormat="1" applyFont="1" applyAlignment="1" applyProtection="1">
      <alignment horizontal="center"/>
      <protection locked="0"/>
    </xf>
    <xf numFmtId="1" fontId="2" fillId="18" borderId="0" xfId="0" applyNumberFormat="1" applyFont="1" applyFill="1" applyAlignment="1" applyProtection="1">
      <alignment horizontal="center"/>
      <protection locked="0"/>
    </xf>
    <xf numFmtId="166" fontId="2" fillId="0" borderId="0" xfId="0" quotePrefix="1" applyNumberFormat="1" applyFont="1" applyAlignment="1" applyProtection="1">
      <alignment horizontal="center"/>
      <protection locked="0"/>
    </xf>
    <xf numFmtId="166" fontId="2" fillId="18" borderId="0" xfId="0" quotePrefix="1" applyNumberFormat="1" applyFont="1" applyFill="1" applyAlignment="1" applyProtection="1">
      <alignment horizontal="center"/>
      <protection locked="0"/>
    </xf>
    <xf numFmtId="3" fontId="19" fillId="0" borderId="0" xfId="0" applyNumberFormat="1" applyFont="1" applyAlignment="1" applyProtection="1">
      <alignment horizontal="center"/>
      <protection locked="0"/>
    </xf>
    <xf numFmtId="0" fontId="0" fillId="18" borderId="0" xfId="0" applyFill="1" applyProtection="1">
      <protection locked="0"/>
    </xf>
    <xf numFmtId="0" fontId="18" fillId="0" borderId="0" xfId="0" applyFont="1" applyProtection="1">
      <protection locked="0"/>
    </xf>
    <xf numFmtId="3" fontId="0" fillId="0" borderId="0" xfId="0" applyNumberFormat="1" applyAlignment="1" applyProtection="1">
      <alignment horizontal="center"/>
      <protection locked="0"/>
    </xf>
    <xf numFmtId="3" fontId="0" fillId="18" borderId="0" xfId="0" applyNumberFormat="1" applyFill="1" applyAlignment="1" applyProtection="1">
      <alignment horizontal="center"/>
      <protection locked="0"/>
    </xf>
    <xf numFmtId="3" fontId="2" fillId="0" borderId="17" xfId="0" applyNumberFormat="1" applyFont="1" applyBorder="1" applyAlignment="1" applyProtection="1">
      <alignment horizontal="center"/>
      <protection locked="0"/>
    </xf>
    <xf numFmtId="3" fontId="2" fillId="18" borderId="17" xfId="0" applyNumberFormat="1" applyFont="1" applyFill="1" applyBorder="1" applyAlignment="1" applyProtection="1">
      <alignment horizontal="center"/>
      <protection locked="0"/>
    </xf>
    <xf numFmtId="0" fontId="0" fillId="0" borderId="0" xfId="0" applyAlignment="1" applyProtection="1">
      <alignment horizontal="center"/>
      <protection locked="0"/>
    </xf>
    <xf numFmtId="0" fontId="0" fillId="18" borderId="0" xfId="0" applyFill="1" applyAlignment="1" applyProtection="1">
      <alignment horizontal="center"/>
      <protection locked="0"/>
    </xf>
    <xf numFmtId="0" fontId="20" fillId="0" borderId="0" xfId="0" applyFont="1" applyProtection="1">
      <protection locked="0"/>
    </xf>
    <xf numFmtId="0" fontId="28" fillId="0" borderId="0" xfId="0" applyFont="1" applyProtection="1">
      <protection locked="0"/>
    </xf>
    <xf numFmtId="1" fontId="20" fillId="0" borderId="0" xfId="0" applyNumberFormat="1" applyFont="1" applyProtection="1">
      <protection locked="0"/>
    </xf>
    <xf numFmtId="1" fontId="20" fillId="18" borderId="0" xfId="0" applyNumberFormat="1" applyFont="1" applyFill="1" applyProtection="1">
      <protection locked="0"/>
    </xf>
    <xf numFmtId="0" fontId="28" fillId="0" borderId="0" xfId="0" applyFont="1" applyAlignment="1" applyProtection="1">
      <alignment wrapText="1"/>
      <protection locked="0"/>
    </xf>
    <xf numFmtId="169" fontId="20" fillId="0" borderId="0" xfId="3" applyNumberFormat="1" applyFont="1" applyAlignment="1" applyProtection="1">
      <alignment wrapText="1"/>
      <protection locked="0"/>
    </xf>
    <xf numFmtId="3" fontId="2" fillId="18" borderId="0" xfId="0" applyNumberFormat="1" applyFont="1" applyFill="1" applyAlignment="1" applyProtection="1">
      <alignment horizontal="center"/>
      <protection locked="0"/>
    </xf>
    <xf numFmtId="0" fontId="27" fillId="0" borderId="0" xfId="0" applyFont="1" applyAlignment="1" applyProtection="1">
      <alignment vertical="center"/>
      <protection locked="0"/>
    </xf>
    <xf numFmtId="169" fontId="0" fillId="0" borderId="0" xfId="3" applyNumberFormat="1" applyFont="1" applyProtection="1">
      <protection locked="0"/>
    </xf>
    <xf numFmtId="169" fontId="0" fillId="18" borderId="0" xfId="3" applyNumberFormat="1" applyFont="1" applyFill="1" applyProtection="1">
      <protection locked="0"/>
    </xf>
    <xf numFmtId="0" fontId="3" fillId="0" borderId="0" xfId="0" applyFont="1" applyAlignment="1" applyProtection="1">
      <alignment vertical="center"/>
      <protection locked="0"/>
    </xf>
    <xf numFmtId="0" fontId="20" fillId="0" borderId="0" xfId="0" applyFont="1" applyAlignment="1" applyProtection="1">
      <alignment wrapText="1"/>
      <protection locked="0"/>
    </xf>
    <xf numFmtId="0" fontId="0" fillId="0" borderId="0" xfId="0" applyAlignment="1" applyProtection="1">
      <alignment vertical="center"/>
      <protection locked="0"/>
    </xf>
    <xf numFmtId="9" fontId="20" fillId="0" borderId="0" xfId="1" applyFont="1" applyBorder="1" applyProtection="1">
      <protection locked="0"/>
    </xf>
    <xf numFmtId="9" fontId="20" fillId="18" borderId="0" xfId="1" applyFont="1" applyFill="1" applyBorder="1" applyProtection="1">
      <protection locked="0"/>
    </xf>
    <xf numFmtId="3" fontId="2" fillId="0" borderId="15" xfId="0" applyNumberFormat="1" applyFont="1" applyBorder="1" applyAlignment="1" applyProtection="1">
      <alignment horizontal="center"/>
      <protection locked="0"/>
    </xf>
    <xf numFmtId="3" fontId="2" fillId="18" borderId="15" xfId="0" applyNumberFormat="1" applyFont="1" applyFill="1" applyBorder="1" applyAlignment="1" applyProtection="1">
      <alignment horizontal="center"/>
      <protection locked="0"/>
    </xf>
    <xf numFmtId="169" fontId="20" fillId="18" borderId="0" xfId="3" applyNumberFormat="1" applyFont="1" applyFill="1" applyAlignment="1" applyProtection="1">
      <alignment wrapText="1"/>
      <protection locked="0"/>
    </xf>
    <xf numFmtId="3" fontId="2" fillId="0" borderId="20" xfId="0" applyNumberFormat="1" applyFont="1" applyBorder="1" applyAlignment="1" applyProtection="1">
      <alignment horizontal="center"/>
      <protection locked="0"/>
    </xf>
    <xf numFmtId="3" fontId="2" fillId="18" borderId="20" xfId="0" applyNumberFormat="1" applyFont="1" applyFill="1" applyBorder="1" applyAlignment="1" applyProtection="1">
      <alignment horizontal="center"/>
      <protection locked="0"/>
    </xf>
    <xf numFmtId="0" fontId="20" fillId="0" borderId="0" xfId="0" applyFont="1" applyAlignment="1" applyProtection="1">
      <alignment vertical="center"/>
      <protection locked="0"/>
    </xf>
    <xf numFmtId="165" fontId="0" fillId="0" borderId="0" xfId="1" applyNumberFormat="1" applyFont="1" applyAlignment="1" applyProtection="1">
      <alignment horizontal="center"/>
      <protection locked="0"/>
    </xf>
    <xf numFmtId="0" fontId="0" fillId="0" borderId="14" xfId="0" applyBorder="1" applyProtection="1">
      <protection locked="0"/>
    </xf>
    <xf numFmtId="3" fontId="0" fillId="0" borderId="14" xfId="0" applyNumberFormat="1" applyBorder="1" applyProtection="1">
      <protection locked="0"/>
    </xf>
    <xf numFmtId="3" fontId="0" fillId="0" borderId="15" xfId="0" applyNumberFormat="1" applyBorder="1" applyProtection="1">
      <protection locked="0"/>
    </xf>
    <xf numFmtId="0" fontId="0" fillId="22" borderId="13" xfId="0" applyFill="1" applyBorder="1" applyAlignment="1">
      <alignment wrapText="1"/>
    </xf>
    <xf numFmtId="0" fontId="19" fillId="0" borderId="0" xfId="0" applyFont="1" applyAlignment="1">
      <alignment horizontal="center"/>
    </xf>
    <xf numFmtId="2" fontId="18" fillId="6" borderId="0" xfId="0" applyNumberFormat="1" applyFont="1" applyFill="1" applyAlignment="1">
      <alignment horizontal="center"/>
    </xf>
    <xf numFmtId="0" fontId="19" fillId="0" borderId="0" xfId="0" applyFont="1" applyAlignment="1">
      <alignment horizontal="center" vertical="center"/>
    </xf>
    <xf numFmtId="2" fontId="0" fillId="0" borderId="0" xfId="0" applyNumberFormat="1" applyAlignment="1">
      <alignment horizontal="center" vertical="center"/>
    </xf>
    <xf numFmtId="2" fontId="18" fillId="6" borderId="0" xfId="0" applyNumberFormat="1" applyFont="1" applyFill="1" applyAlignment="1">
      <alignment horizontal="center" vertical="center"/>
    </xf>
    <xf numFmtId="2" fontId="2" fillId="6" borderId="0" xfId="0" applyNumberFormat="1" applyFont="1" applyFill="1" applyAlignment="1">
      <alignment horizontal="center" vertical="center"/>
    </xf>
    <xf numFmtId="0" fontId="0" fillId="0" borderId="0" xfId="0" applyAlignment="1">
      <alignment horizontal="center" vertical="center"/>
    </xf>
    <xf numFmtId="0" fontId="2" fillId="23" borderId="13" xfId="0" applyFont="1" applyFill="1" applyBorder="1" applyAlignment="1">
      <alignment horizontal="center"/>
    </xf>
    <xf numFmtId="0" fontId="2" fillId="23" borderId="13" xfId="0" applyFont="1" applyFill="1" applyBorder="1" applyAlignment="1">
      <alignment horizontal="center" wrapText="1"/>
    </xf>
    <xf numFmtId="2" fontId="23" fillId="0" borderId="0" xfId="0" applyNumberFormat="1" applyFont="1" applyAlignment="1">
      <alignment horizontal="center" vertical="center"/>
    </xf>
    <xf numFmtId="0" fontId="0" fillId="0" borderId="15" xfId="0" applyBorder="1" applyAlignment="1">
      <alignment horizontal="center" vertical="center"/>
    </xf>
    <xf numFmtId="0" fontId="19" fillId="0" borderId="15" xfId="0" applyFont="1" applyBorder="1" applyAlignment="1">
      <alignment horizontal="center" vertical="center"/>
    </xf>
    <xf numFmtId="2" fontId="0" fillId="0" borderId="15" xfId="0" applyNumberFormat="1" applyBorder="1" applyAlignment="1">
      <alignment horizontal="center" vertical="center"/>
    </xf>
    <xf numFmtId="43" fontId="0" fillId="0" borderId="0" xfId="3" applyFont="1" applyFill="1"/>
    <xf numFmtId="43" fontId="0" fillId="0" borderId="15" xfId="3" applyFont="1" applyFill="1" applyBorder="1"/>
    <xf numFmtId="2" fontId="2" fillId="0" borderId="0" xfId="0" applyNumberFormat="1" applyFont="1"/>
    <xf numFmtId="43" fontId="2" fillId="0" borderId="0" xfId="3" applyFont="1"/>
    <xf numFmtId="43" fontId="0" fillId="0" borderId="0" xfId="3" applyFont="1" applyFill="1" applyAlignment="1">
      <alignment horizontal="center" vertical="center"/>
    </xf>
    <xf numFmtId="43" fontId="0" fillId="0" borderId="15" xfId="3" applyFont="1" applyFill="1" applyBorder="1" applyAlignment="1">
      <alignment horizontal="center" vertical="center"/>
    </xf>
    <xf numFmtId="0" fontId="0" fillId="0" borderId="23" xfId="0" applyBorder="1"/>
    <xf numFmtId="0" fontId="0" fillId="21" borderId="13" xfId="0" applyFill="1" applyBorder="1" applyAlignment="1">
      <alignment vertical="center" wrapText="1"/>
    </xf>
    <xf numFmtId="0" fontId="8" fillId="20" borderId="13" xfId="0" applyFont="1" applyFill="1" applyBorder="1" applyAlignment="1">
      <alignment horizontal="left" wrapText="1"/>
    </xf>
    <xf numFmtId="0" fontId="38" fillId="0" borderId="0" xfId="0" applyFont="1"/>
    <xf numFmtId="0" fontId="17" fillId="6" borderId="26" xfId="2" applyFill="1" applyBorder="1"/>
    <xf numFmtId="0" fontId="0" fillId="6" borderId="15" xfId="0" applyFill="1" applyBorder="1"/>
    <xf numFmtId="0" fontId="0" fillId="6" borderId="23" xfId="0" applyFill="1" applyBorder="1"/>
    <xf numFmtId="0" fontId="18" fillId="8" borderId="19" xfId="0" applyFont="1" applyFill="1" applyBorder="1" applyAlignment="1">
      <alignment horizontal="center" vertical="center" wrapText="1"/>
    </xf>
    <xf numFmtId="0" fontId="18" fillId="9" borderId="19" xfId="0" applyFont="1" applyFill="1" applyBorder="1" applyAlignment="1">
      <alignment horizontal="center" vertical="center" wrapText="1"/>
    </xf>
    <xf numFmtId="0" fontId="18" fillId="8" borderId="0" xfId="0" applyFont="1" applyFill="1" applyAlignment="1">
      <alignment horizontal="center" vertical="center" wrapText="1"/>
    </xf>
    <xf numFmtId="10" fontId="0" fillId="0" borderId="0" xfId="1" applyNumberFormat="1" applyFont="1"/>
    <xf numFmtId="170" fontId="0" fillId="0" borderId="0" xfId="1" applyNumberFormat="1" applyFont="1"/>
    <xf numFmtId="0" fontId="0" fillId="6" borderId="24" xfId="0" applyFill="1" applyBorder="1" applyAlignment="1">
      <alignment vertical="center" wrapText="1"/>
    </xf>
    <xf numFmtId="0" fontId="0" fillId="0" borderId="14" xfId="0" applyBorder="1" applyAlignment="1">
      <alignment vertical="center" wrapText="1"/>
    </xf>
    <xf numFmtId="0" fontId="0" fillId="0" borderId="25" xfId="0" applyBorder="1" applyAlignment="1">
      <alignment vertical="center" wrapText="1"/>
    </xf>
    <xf numFmtId="0" fontId="0" fillId="6" borderId="16" xfId="0" applyFill="1" applyBorder="1"/>
    <xf numFmtId="0" fontId="0" fillId="0" borderId="17" xfId="0" applyBorder="1"/>
    <xf numFmtId="0" fontId="0" fillId="0" borderId="18" xfId="0" applyBorder="1"/>
    <xf numFmtId="0" fontId="0" fillId="6" borderId="13" xfId="0" applyFill="1" applyBorder="1" applyAlignment="1">
      <alignment vertical="center" wrapText="1"/>
    </xf>
    <xf numFmtId="0" fontId="0" fillId="0" borderId="13" xfId="0" applyBorder="1" applyAlignment="1">
      <alignment vertical="center" wrapText="1"/>
    </xf>
    <xf numFmtId="0" fontId="5" fillId="6" borderId="4" xfId="0" applyFont="1" applyFill="1" applyBorder="1" applyAlignment="1">
      <alignment wrapText="1"/>
    </xf>
    <xf numFmtId="0" fontId="0" fillId="0" borderId="5" xfId="0" applyBorder="1" applyAlignment="1">
      <alignment wrapText="1"/>
    </xf>
    <xf numFmtId="0" fontId="0" fillId="0" borderId="2" xfId="0" applyBorder="1" applyAlignment="1">
      <alignment wrapText="1"/>
    </xf>
    <xf numFmtId="0" fontId="0" fillId="0" borderId="6" xfId="0" applyBorder="1" applyAlignment="1">
      <alignment wrapText="1"/>
    </xf>
    <xf numFmtId="0" fontId="0" fillId="0" borderId="0" xfId="0" applyAlignment="1">
      <alignment wrapText="1"/>
    </xf>
    <xf numFmtId="0" fontId="0" fillId="0" borderId="7" xfId="0" applyBorder="1" applyAlignment="1">
      <alignment wrapText="1"/>
    </xf>
    <xf numFmtId="0" fontId="0" fillId="0" borderId="8" xfId="0" applyBorder="1" applyAlignment="1">
      <alignment wrapText="1"/>
    </xf>
    <xf numFmtId="0" fontId="0" fillId="0" borderId="1" xfId="0" applyBorder="1" applyAlignment="1">
      <alignment wrapText="1"/>
    </xf>
    <xf numFmtId="0" fontId="0" fillId="0" borderId="9" xfId="0" applyBorder="1" applyAlignment="1">
      <alignment wrapText="1"/>
    </xf>
    <xf numFmtId="0" fontId="0" fillId="6" borderId="13" xfId="0" applyFill="1" applyBorder="1" applyAlignment="1">
      <alignment horizontal="left" vertical="center" wrapText="1"/>
    </xf>
    <xf numFmtId="0" fontId="0" fillId="0" borderId="13" xfId="0" applyBorder="1" applyAlignment="1">
      <alignment horizontal="left" vertical="center" wrapText="1"/>
    </xf>
    <xf numFmtId="0" fontId="30" fillId="6" borderId="13" xfId="0" applyFont="1" applyFill="1" applyBorder="1" applyAlignment="1">
      <alignment horizontal="left" vertical="center" wrapText="1"/>
    </xf>
    <xf numFmtId="0" fontId="0" fillId="0" borderId="13" xfId="0" applyBorder="1"/>
    <xf numFmtId="0" fontId="0" fillId="18" borderId="13" xfId="0" applyFill="1" applyBorder="1" applyAlignment="1">
      <alignment wrapText="1"/>
    </xf>
    <xf numFmtId="0" fontId="0" fillId="0" borderId="13" xfId="0" applyBorder="1" applyAlignment="1">
      <alignment wrapText="1"/>
    </xf>
    <xf numFmtId="0" fontId="19" fillId="22" borderId="0" xfId="0" applyFont="1" applyFill="1" applyAlignment="1" applyProtection="1">
      <alignment wrapText="1"/>
      <protection locked="0"/>
    </xf>
    <xf numFmtId="0" fontId="0" fillId="0" borderId="0" xfId="0" applyAlignment="1">
      <alignment vertical="center"/>
    </xf>
    <xf numFmtId="0" fontId="17" fillId="0" borderId="0" xfId="2" applyAlignment="1">
      <alignment wrapText="1"/>
    </xf>
    <xf numFmtId="0" fontId="2" fillId="23" borderId="13" xfId="0" applyFont="1" applyFill="1" applyBorder="1" applyAlignment="1">
      <alignment horizontal="center"/>
    </xf>
    <xf numFmtId="0" fontId="2" fillId="23" borderId="13" xfId="0" applyFont="1" applyFill="1" applyBorder="1" applyAlignment="1">
      <alignment horizontal="center" wrapText="1"/>
    </xf>
    <xf numFmtId="0" fontId="0" fillId="0" borderId="13" xfId="0" applyBorder="1" applyAlignment="1">
      <alignment horizontal="center" wrapText="1"/>
    </xf>
    <xf numFmtId="0" fontId="2" fillId="0" borderId="0" xfId="0" applyFont="1" applyAlignment="1">
      <alignment horizontal="center"/>
    </xf>
    <xf numFmtId="0" fontId="35" fillId="0" borderId="0" xfId="0" applyFont="1" applyAlignment="1">
      <alignment horizontal="justify" vertical="center"/>
    </xf>
    <xf numFmtId="0" fontId="0" fillId="0" borderId="0" xfId="0"/>
  </cellXfs>
  <cellStyles count="4">
    <cellStyle name="Comma" xfId="3" builtinId="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'1.  Income &amp; exp - inflated'!$B$19</c:f>
              <c:strCache>
                <c:ptCount val="1"/>
                <c:pt idx="0">
                  <c:v>Article production costs</c:v>
                </c:pt>
              </c:strCache>
            </c:strRef>
          </c:tx>
          <c:spPr>
            <a:solidFill>
              <a:schemeClr val="accent1"/>
            </a:solidFill>
            <a:ln>
              <a:noFill/>
            </a:ln>
            <a:effectLst/>
          </c:spPr>
          <c:invertIfNegative val="0"/>
          <c:cat>
            <c:strRef>
              <c:extLst>
                <c:ext xmlns:c15="http://schemas.microsoft.com/office/drawing/2012/chart" uri="{02D57815-91ED-43cb-92C2-25804820EDAC}">
                  <c15:fullRef>
                    <c15:sqref>'1.  Income &amp; exp - inflated'!$C$13:$H$13</c15:sqref>
                  </c15:fullRef>
                </c:ext>
              </c:extLst>
              <c:f>'1.  Income &amp; exp - inflated'!$D$13:$H$13</c:f>
              <c:strCache>
                <c:ptCount val="5"/>
                <c:pt idx="0">
                  <c:v>2026</c:v>
                </c:pt>
                <c:pt idx="1">
                  <c:v>2027</c:v>
                </c:pt>
                <c:pt idx="2">
                  <c:v>2028</c:v>
                </c:pt>
                <c:pt idx="3">
                  <c:v>2029</c:v>
                </c:pt>
                <c:pt idx="4">
                  <c:v>2030</c:v>
                </c:pt>
              </c:strCache>
            </c:strRef>
          </c:cat>
          <c:val>
            <c:numRef>
              <c:extLst>
                <c:ext xmlns:c15="http://schemas.microsoft.com/office/drawing/2012/chart" uri="{02D57815-91ED-43cb-92C2-25804820EDAC}">
                  <c15:fullRef>
                    <c15:sqref>'1.  Income &amp; exp - inflated'!$C$19:$H$19</c15:sqref>
                  </c15:fullRef>
                </c:ext>
              </c:extLst>
              <c:f>'1.  Income &amp; exp - inflated'!$D$19:$H$19</c:f>
              <c:numCache>
                <c:formatCode>#,##0</c:formatCode>
                <c:ptCount val="5"/>
                <c:pt idx="0">
                  <c:v>516562.76359100011</c:v>
                </c:pt>
                <c:pt idx="1">
                  <c:v>840946.19214560033</c:v>
                </c:pt>
                <c:pt idx="2">
                  <c:v>1366747.7746329606</c:v>
                </c:pt>
                <c:pt idx="3">
                  <c:v>1740759.1522912006</c:v>
                </c:pt>
                <c:pt idx="4">
                  <c:v>1952453.1799203204</c:v>
                </c:pt>
              </c:numCache>
            </c:numRef>
          </c:val>
          <c:extLst>
            <c:ext xmlns:c16="http://schemas.microsoft.com/office/drawing/2014/chart" uri="{C3380CC4-5D6E-409C-BE32-E72D297353CC}">
              <c16:uniqueId val="{00000000-F71C-4F02-98DD-108130088BE8}"/>
            </c:ext>
          </c:extLst>
        </c:ser>
        <c:ser>
          <c:idx val="1"/>
          <c:order val="1"/>
          <c:tx>
            <c:strRef>
              <c:f>'1.  Income &amp; exp - inflated'!$B$20</c:f>
              <c:strCache>
                <c:ptCount val="1"/>
                <c:pt idx="0">
                  <c:v>Marketing and community engagement</c:v>
                </c:pt>
              </c:strCache>
            </c:strRef>
          </c:tx>
          <c:spPr>
            <a:solidFill>
              <a:schemeClr val="accent3"/>
            </a:solidFill>
            <a:ln>
              <a:noFill/>
            </a:ln>
            <a:effectLst/>
          </c:spPr>
          <c:invertIfNegative val="0"/>
          <c:cat>
            <c:strRef>
              <c:extLst>
                <c:ext xmlns:c15="http://schemas.microsoft.com/office/drawing/2012/chart" uri="{02D57815-91ED-43cb-92C2-25804820EDAC}">
                  <c15:fullRef>
                    <c15:sqref>'1.  Income &amp; exp - inflated'!$C$13:$H$13</c15:sqref>
                  </c15:fullRef>
                </c:ext>
              </c:extLst>
              <c:f>'1.  Income &amp; exp - inflated'!$D$13:$H$13</c:f>
              <c:strCache>
                <c:ptCount val="5"/>
                <c:pt idx="0">
                  <c:v>2026</c:v>
                </c:pt>
                <c:pt idx="1">
                  <c:v>2027</c:v>
                </c:pt>
                <c:pt idx="2">
                  <c:v>2028</c:v>
                </c:pt>
                <c:pt idx="3">
                  <c:v>2029</c:v>
                </c:pt>
                <c:pt idx="4">
                  <c:v>2030</c:v>
                </c:pt>
              </c:strCache>
            </c:strRef>
          </c:cat>
          <c:val>
            <c:numRef>
              <c:extLst>
                <c:ext xmlns:c15="http://schemas.microsoft.com/office/drawing/2012/chart" uri="{02D57815-91ED-43cb-92C2-25804820EDAC}">
                  <c15:fullRef>
                    <c15:sqref>'1.  Income &amp; exp - inflated'!$C$20:$H$20</c15:sqref>
                  </c15:fullRef>
                </c:ext>
              </c:extLst>
              <c:f>'1.  Income &amp; exp - inflated'!$D$20:$H$20</c:f>
              <c:numCache>
                <c:formatCode>#,##0</c:formatCode>
                <c:ptCount val="5"/>
                <c:pt idx="0">
                  <c:v>208982.73</c:v>
                </c:pt>
                <c:pt idx="1">
                  <c:v>214427.73</c:v>
                </c:pt>
                <c:pt idx="2">
                  <c:v>218965.23</c:v>
                </c:pt>
                <c:pt idx="3">
                  <c:v>223502.72999999998</c:v>
                </c:pt>
                <c:pt idx="4">
                  <c:v>228040.22999999998</c:v>
                </c:pt>
              </c:numCache>
            </c:numRef>
          </c:val>
          <c:extLst>
            <c:ext xmlns:c16="http://schemas.microsoft.com/office/drawing/2014/chart" uri="{C3380CC4-5D6E-409C-BE32-E72D297353CC}">
              <c16:uniqueId val="{00000001-F71C-4F02-98DD-108130088BE8}"/>
            </c:ext>
          </c:extLst>
        </c:ser>
        <c:ser>
          <c:idx val="2"/>
          <c:order val="2"/>
          <c:tx>
            <c:strRef>
              <c:f>'1.  Income &amp; exp - inflated'!$B$21</c:f>
              <c:strCache>
                <c:ptCount val="1"/>
                <c:pt idx="0">
                  <c:v>Platform development and maintenance</c:v>
                </c:pt>
              </c:strCache>
            </c:strRef>
          </c:tx>
          <c:spPr>
            <a:solidFill>
              <a:schemeClr val="accent5"/>
            </a:solidFill>
            <a:ln>
              <a:noFill/>
            </a:ln>
            <a:effectLst/>
          </c:spPr>
          <c:invertIfNegative val="0"/>
          <c:cat>
            <c:strRef>
              <c:extLst>
                <c:ext xmlns:c15="http://schemas.microsoft.com/office/drawing/2012/chart" uri="{02D57815-91ED-43cb-92C2-25804820EDAC}">
                  <c15:fullRef>
                    <c15:sqref>'1.  Income &amp; exp - inflated'!$C$13:$H$13</c15:sqref>
                  </c15:fullRef>
                </c:ext>
              </c:extLst>
              <c:f>'1.  Income &amp; exp - inflated'!$D$13:$H$13</c:f>
              <c:strCache>
                <c:ptCount val="5"/>
                <c:pt idx="0">
                  <c:v>2026</c:v>
                </c:pt>
                <c:pt idx="1">
                  <c:v>2027</c:v>
                </c:pt>
                <c:pt idx="2">
                  <c:v>2028</c:v>
                </c:pt>
                <c:pt idx="3">
                  <c:v>2029</c:v>
                </c:pt>
                <c:pt idx="4">
                  <c:v>2030</c:v>
                </c:pt>
              </c:strCache>
            </c:strRef>
          </c:cat>
          <c:val>
            <c:numRef>
              <c:extLst>
                <c:ext xmlns:c15="http://schemas.microsoft.com/office/drawing/2012/chart" uri="{02D57815-91ED-43cb-92C2-25804820EDAC}">
                  <c15:fullRef>
                    <c15:sqref>'1.  Income &amp; exp - inflated'!$C$21:$H$21</c15:sqref>
                  </c15:fullRef>
                </c:ext>
              </c:extLst>
              <c:f>'1.  Income &amp; exp - inflated'!$D$21:$H$21</c:f>
              <c:numCache>
                <c:formatCode>#,##0</c:formatCode>
                <c:ptCount val="5"/>
                <c:pt idx="0">
                  <c:v>139321.82</c:v>
                </c:pt>
                <c:pt idx="1">
                  <c:v>285903.64</c:v>
                </c:pt>
                <c:pt idx="2">
                  <c:v>291953.64</c:v>
                </c:pt>
                <c:pt idx="3">
                  <c:v>372504.55</c:v>
                </c:pt>
                <c:pt idx="4">
                  <c:v>380067.05</c:v>
                </c:pt>
              </c:numCache>
            </c:numRef>
          </c:val>
          <c:extLst>
            <c:ext xmlns:c16="http://schemas.microsoft.com/office/drawing/2014/chart" uri="{C3380CC4-5D6E-409C-BE32-E72D297353CC}">
              <c16:uniqueId val="{00000002-F71C-4F02-98DD-108130088BE8}"/>
            </c:ext>
          </c:extLst>
        </c:ser>
        <c:ser>
          <c:idx val="3"/>
          <c:order val="3"/>
          <c:tx>
            <c:strRef>
              <c:f>'1.  Income &amp; exp - inflated'!$B$22</c:f>
              <c:strCache>
                <c:ptCount val="1"/>
                <c:pt idx="0">
                  <c:v>Salaries and wages</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'1.  Income &amp; exp - inflated'!$C$13:$H$13</c15:sqref>
                  </c15:fullRef>
                </c:ext>
              </c:extLst>
              <c:f>'1.  Income &amp; exp - inflated'!$D$13:$H$13</c:f>
              <c:strCache>
                <c:ptCount val="5"/>
                <c:pt idx="0">
                  <c:v>2026</c:v>
                </c:pt>
                <c:pt idx="1">
                  <c:v>2027</c:v>
                </c:pt>
                <c:pt idx="2">
                  <c:v>2028</c:v>
                </c:pt>
                <c:pt idx="3">
                  <c:v>2029</c:v>
                </c:pt>
                <c:pt idx="4">
                  <c:v>2030</c:v>
                </c:pt>
              </c:strCache>
            </c:strRef>
          </c:cat>
          <c:val>
            <c:numRef>
              <c:extLst>
                <c:ext xmlns:c15="http://schemas.microsoft.com/office/drawing/2012/chart" uri="{02D57815-91ED-43cb-92C2-25804820EDAC}">
                  <c15:fullRef>
                    <c15:sqref>'1.  Income &amp; exp - inflated'!$C$22:$H$22</c15:sqref>
                  </c15:fullRef>
                </c:ext>
              </c:extLst>
              <c:f>'1.  Income &amp; exp - inflated'!$D$22:$H$22</c:f>
              <c:numCache>
                <c:formatCode>#,##0</c:formatCode>
                <c:ptCount val="5"/>
                <c:pt idx="0">
                  <c:v>805994.00000000012</c:v>
                </c:pt>
                <c:pt idx="1">
                  <c:v>945136.00000000012</c:v>
                </c:pt>
                <c:pt idx="2">
                  <c:v>1206420</c:v>
                </c:pt>
                <c:pt idx="3">
                  <c:v>1231420</c:v>
                </c:pt>
                <c:pt idx="4">
                  <c:v>1256419.9999999998</c:v>
                </c:pt>
              </c:numCache>
            </c:numRef>
          </c:val>
          <c:extLst>
            <c:ext xmlns:c16="http://schemas.microsoft.com/office/drawing/2014/chart" uri="{C3380CC4-5D6E-409C-BE32-E72D297353CC}">
              <c16:uniqueId val="{00000003-F71C-4F02-98DD-108130088BE8}"/>
            </c:ext>
          </c:extLst>
        </c:ser>
        <c:ser>
          <c:idx val="4"/>
          <c:order val="4"/>
          <c:tx>
            <c:strRef>
              <c:f>'1.  Income &amp; exp - inflated'!$B$23</c:f>
              <c:strCache>
                <c:ptCount val="1"/>
                <c:pt idx="0">
                  <c:v>Administrative overheads</c:v>
                </c:pt>
              </c:strCache>
            </c:strRef>
          </c:tx>
          <c:spPr>
            <a:solidFill>
              <a:schemeClr val="accent3">
                <a:lumMod val="60000"/>
              </a:schemeClr>
            </a:solidFill>
            <a:ln>
              <a:noFill/>
            </a:ln>
            <a:effectLst/>
          </c:spPr>
          <c:invertIfNegative val="0"/>
          <c:cat>
            <c:strRef>
              <c:extLst>
                <c:ext xmlns:c15="http://schemas.microsoft.com/office/drawing/2012/chart" uri="{02D57815-91ED-43cb-92C2-25804820EDAC}">
                  <c15:fullRef>
                    <c15:sqref>'1.  Income &amp; exp - inflated'!$C$13:$H$13</c15:sqref>
                  </c15:fullRef>
                </c:ext>
              </c:extLst>
              <c:f>'1.  Income &amp; exp - inflated'!$D$13:$H$13</c:f>
              <c:strCache>
                <c:ptCount val="5"/>
                <c:pt idx="0">
                  <c:v>2026</c:v>
                </c:pt>
                <c:pt idx="1">
                  <c:v>2027</c:v>
                </c:pt>
                <c:pt idx="2">
                  <c:v>2028</c:v>
                </c:pt>
                <c:pt idx="3">
                  <c:v>2029</c:v>
                </c:pt>
                <c:pt idx="4">
                  <c:v>2030</c:v>
                </c:pt>
              </c:strCache>
            </c:strRef>
          </c:cat>
          <c:val>
            <c:numRef>
              <c:extLst>
                <c:ext xmlns:c15="http://schemas.microsoft.com/office/drawing/2012/chart" uri="{02D57815-91ED-43cb-92C2-25804820EDAC}">
                  <c15:fullRef>
                    <c15:sqref>'1.  Income &amp; exp - inflated'!$C$23:$H$23</c15:sqref>
                  </c15:fullRef>
                </c:ext>
              </c:extLst>
              <c:f>'1.  Income &amp; exp - inflated'!$D$23:$H$23</c:f>
              <c:numCache>
                <c:formatCode>#,##0</c:formatCode>
                <c:ptCount val="5"/>
                <c:pt idx="0">
                  <c:v>237343.35602000004</c:v>
                </c:pt>
                <c:pt idx="1">
                  <c:v>268021.66688000003</c:v>
                </c:pt>
                <c:pt idx="2">
                  <c:v>323718.67859999998</c:v>
                </c:pt>
                <c:pt idx="3">
                  <c:v>330426.92859999998</c:v>
                </c:pt>
                <c:pt idx="4">
                  <c:v>337135.17859999998</c:v>
                </c:pt>
              </c:numCache>
            </c:numRef>
          </c:val>
          <c:extLst>
            <c:ext xmlns:c16="http://schemas.microsoft.com/office/drawing/2014/chart" uri="{C3380CC4-5D6E-409C-BE32-E72D297353CC}">
              <c16:uniqueId val="{00000000-6CD9-4651-BF35-FFBC175884DA}"/>
            </c:ext>
          </c:extLst>
        </c:ser>
        <c:dLbls>
          <c:showLegendKey val="0"/>
          <c:showVal val="0"/>
          <c:showCatName val="0"/>
          <c:showSerName val="0"/>
          <c:showPercent val="0"/>
          <c:showBubbleSize val="0"/>
        </c:dLbls>
        <c:gapWidth val="150"/>
        <c:overlap val="100"/>
        <c:axId val="1766879680"/>
        <c:axId val="1766883040"/>
      </c:barChart>
      <c:catAx>
        <c:axId val="17668796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66883040"/>
        <c:crosses val="autoZero"/>
        <c:auto val="1"/>
        <c:lblAlgn val="ctr"/>
        <c:lblOffset val="100"/>
        <c:noMultiLvlLbl val="0"/>
      </c:catAx>
      <c:valAx>
        <c:axId val="1766883040"/>
        <c:scaling>
          <c:orientation val="minMax"/>
          <c:max val="5000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Annaul  expenditure (€000s)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66879680"/>
        <c:crosses val="autoZero"/>
        <c:crossBetween val="between"/>
        <c:dispUnits>
          <c:builtInUnit val="thousands"/>
        </c:dispUnits>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'4. Publication growth scenarios'!$B$30</c:f>
              <c:strCache>
                <c:ptCount val="1"/>
                <c:pt idx="0">
                  <c:v>Low</c:v>
                </c:pt>
              </c:strCache>
            </c:strRef>
          </c:tx>
          <c:spPr>
            <a:ln w="28575" cap="rnd">
              <a:solidFill>
                <a:schemeClr val="accent2"/>
              </a:solidFill>
              <a:round/>
            </a:ln>
            <a:effectLst/>
          </c:spPr>
          <c:marker>
            <c:symbol val="none"/>
          </c:marker>
          <c:cat>
            <c:strRef>
              <c:f>'4. Publication growth scenarios'!$D$27:$M$27</c:f>
              <c:strCache>
                <c:ptCount val="10"/>
                <c:pt idx="0">
                  <c:v>2021 (Actual)</c:v>
                </c:pt>
                <c:pt idx="1">
                  <c:v>2022 (Actual)</c:v>
                </c:pt>
                <c:pt idx="2">
                  <c:v>2023 (Forecast)</c:v>
                </c:pt>
                <c:pt idx="3">
                  <c:v>2024 (Forecast)</c:v>
                </c:pt>
                <c:pt idx="4">
                  <c:v>2025 (Forecast)</c:v>
                </c:pt>
                <c:pt idx="5">
                  <c:v>2026 (Forecast)</c:v>
                </c:pt>
                <c:pt idx="6">
                  <c:v>2027 (Forecast)</c:v>
                </c:pt>
                <c:pt idx="7">
                  <c:v>2028 (Forecast)</c:v>
                </c:pt>
                <c:pt idx="8">
                  <c:v>2029 (Forecast)</c:v>
                </c:pt>
                <c:pt idx="9">
                  <c:v>2030 (Forecast)</c:v>
                </c:pt>
              </c:strCache>
            </c:strRef>
          </c:cat>
          <c:val>
            <c:numRef>
              <c:f>'4. Publication growth scenarios'!$D$30:$M$30</c:f>
              <c:numCache>
                <c:formatCode>_-* #,##0_-;\-* #,##0_-;_-* "-"??_-;_-@_-</c:formatCode>
                <c:ptCount val="10"/>
                <c:pt idx="0">
                  <c:v>156</c:v>
                </c:pt>
                <c:pt idx="1">
                  <c:v>147</c:v>
                </c:pt>
                <c:pt idx="2">
                  <c:v>220</c:v>
                </c:pt>
                <c:pt idx="3">
                  <c:v>275</c:v>
                </c:pt>
                <c:pt idx="4">
                  <c:v>343.75</c:v>
                </c:pt>
                <c:pt idx="5">
                  <c:v>446.875</c:v>
                </c:pt>
                <c:pt idx="6">
                  <c:v>580.9375</c:v>
                </c:pt>
                <c:pt idx="7">
                  <c:v>813.3125</c:v>
                </c:pt>
                <c:pt idx="8">
                  <c:v>975.97499999999991</c:v>
                </c:pt>
                <c:pt idx="9">
                  <c:v>1024.7737499999998</c:v>
                </c:pt>
              </c:numCache>
            </c:numRef>
          </c:val>
          <c:smooth val="0"/>
          <c:extLst>
            <c:ext xmlns:c16="http://schemas.microsoft.com/office/drawing/2014/chart" uri="{C3380CC4-5D6E-409C-BE32-E72D297353CC}">
              <c16:uniqueId val="{00000001-4A99-4CDA-B10A-8B059F39E49F}"/>
            </c:ext>
          </c:extLst>
        </c:ser>
        <c:ser>
          <c:idx val="0"/>
          <c:order val="1"/>
          <c:tx>
            <c:strRef>
              <c:f>'4. Publication growth scenarios'!$B$33</c:f>
              <c:strCache>
                <c:ptCount val="1"/>
                <c:pt idx="0">
                  <c:v>Medium</c:v>
                </c:pt>
              </c:strCache>
            </c:strRef>
          </c:tx>
          <c:spPr>
            <a:ln w="28575" cap="rnd">
              <a:solidFill>
                <a:srgbClr val="FFC000"/>
              </a:solidFill>
              <a:round/>
            </a:ln>
            <a:effectLst/>
          </c:spPr>
          <c:marker>
            <c:symbol val="none"/>
          </c:marker>
          <c:cat>
            <c:strRef>
              <c:f>'4. Publication growth scenarios'!$D$27:$M$27</c:f>
              <c:strCache>
                <c:ptCount val="10"/>
                <c:pt idx="0">
                  <c:v>2021 (Actual)</c:v>
                </c:pt>
                <c:pt idx="1">
                  <c:v>2022 (Actual)</c:v>
                </c:pt>
                <c:pt idx="2">
                  <c:v>2023 (Forecast)</c:v>
                </c:pt>
                <c:pt idx="3">
                  <c:v>2024 (Forecast)</c:v>
                </c:pt>
                <c:pt idx="4">
                  <c:v>2025 (Forecast)</c:v>
                </c:pt>
                <c:pt idx="5">
                  <c:v>2026 (Forecast)</c:v>
                </c:pt>
                <c:pt idx="6">
                  <c:v>2027 (Forecast)</c:v>
                </c:pt>
                <c:pt idx="7">
                  <c:v>2028 (Forecast)</c:v>
                </c:pt>
                <c:pt idx="8">
                  <c:v>2029 (Forecast)</c:v>
                </c:pt>
                <c:pt idx="9">
                  <c:v>2030 (Forecast)</c:v>
                </c:pt>
              </c:strCache>
            </c:strRef>
          </c:cat>
          <c:val>
            <c:numRef>
              <c:f>'4. Publication growth scenarios'!$D$33:$M$33</c:f>
              <c:numCache>
                <c:formatCode>_-* #,##0_-;\-* #,##0_-;_-* "-"??_-;_-@_-</c:formatCode>
                <c:ptCount val="10"/>
                <c:pt idx="0">
                  <c:v>156</c:v>
                </c:pt>
                <c:pt idx="1">
                  <c:v>147</c:v>
                </c:pt>
                <c:pt idx="2">
                  <c:v>220</c:v>
                </c:pt>
                <c:pt idx="3">
                  <c:v>286</c:v>
                </c:pt>
                <c:pt idx="4">
                  <c:v>371.8</c:v>
                </c:pt>
                <c:pt idx="5">
                  <c:v>557.70000000000005</c:v>
                </c:pt>
                <c:pt idx="6">
                  <c:v>892.32000000000016</c:v>
                </c:pt>
                <c:pt idx="7">
                  <c:v>1427.7120000000004</c:v>
                </c:pt>
                <c:pt idx="8">
                  <c:v>1784.6400000000006</c:v>
                </c:pt>
                <c:pt idx="9">
                  <c:v>1963.1040000000007</c:v>
                </c:pt>
              </c:numCache>
            </c:numRef>
          </c:val>
          <c:smooth val="0"/>
          <c:extLst>
            <c:ext xmlns:c16="http://schemas.microsoft.com/office/drawing/2014/chart" uri="{C3380CC4-5D6E-409C-BE32-E72D297353CC}">
              <c16:uniqueId val="{00000002-4A99-4CDA-B10A-8B059F39E49F}"/>
            </c:ext>
          </c:extLst>
        </c:ser>
        <c:ser>
          <c:idx val="2"/>
          <c:order val="2"/>
          <c:tx>
            <c:strRef>
              <c:f>'4. Publication growth scenarios'!$B$36</c:f>
              <c:strCache>
                <c:ptCount val="1"/>
                <c:pt idx="0">
                  <c:v>High</c:v>
                </c:pt>
              </c:strCache>
            </c:strRef>
          </c:tx>
          <c:spPr>
            <a:ln w="28575" cap="rnd">
              <a:solidFill>
                <a:srgbClr val="92D050"/>
              </a:solidFill>
              <a:round/>
            </a:ln>
            <a:effectLst/>
          </c:spPr>
          <c:marker>
            <c:symbol val="none"/>
          </c:marker>
          <c:cat>
            <c:strRef>
              <c:f>'4. Publication growth scenarios'!$D$27:$M$27</c:f>
              <c:strCache>
                <c:ptCount val="10"/>
                <c:pt idx="0">
                  <c:v>2021 (Actual)</c:v>
                </c:pt>
                <c:pt idx="1">
                  <c:v>2022 (Actual)</c:v>
                </c:pt>
                <c:pt idx="2">
                  <c:v>2023 (Forecast)</c:v>
                </c:pt>
                <c:pt idx="3">
                  <c:v>2024 (Forecast)</c:v>
                </c:pt>
                <c:pt idx="4">
                  <c:v>2025 (Forecast)</c:v>
                </c:pt>
                <c:pt idx="5">
                  <c:v>2026 (Forecast)</c:v>
                </c:pt>
                <c:pt idx="6">
                  <c:v>2027 (Forecast)</c:v>
                </c:pt>
                <c:pt idx="7">
                  <c:v>2028 (Forecast)</c:v>
                </c:pt>
                <c:pt idx="8">
                  <c:v>2029 (Forecast)</c:v>
                </c:pt>
                <c:pt idx="9">
                  <c:v>2030 (Forecast)</c:v>
                </c:pt>
              </c:strCache>
            </c:strRef>
          </c:cat>
          <c:val>
            <c:numRef>
              <c:f>'4. Publication growth scenarios'!$D$36:$M$36</c:f>
              <c:numCache>
                <c:formatCode>_-* #,##0_-;\-* #,##0_-;_-* "-"??_-;_-@_-</c:formatCode>
                <c:ptCount val="10"/>
                <c:pt idx="0">
                  <c:v>156</c:v>
                </c:pt>
                <c:pt idx="1">
                  <c:v>147</c:v>
                </c:pt>
                <c:pt idx="2">
                  <c:v>220</c:v>
                </c:pt>
                <c:pt idx="3">
                  <c:v>330</c:v>
                </c:pt>
                <c:pt idx="4">
                  <c:v>495</c:v>
                </c:pt>
                <c:pt idx="5">
                  <c:v>891</c:v>
                </c:pt>
                <c:pt idx="6">
                  <c:v>1603.8</c:v>
                </c:pt>
                <c:pt idx="7">
                  <c:v>2806.65</c:v>
                </c:pt>
                <c:pt idx="8">
                  <c:v>3929.31</c:v>
                </c:pt>
                <c:pt idx="9">
                  <c:v>4911.6374999999998</c:v>
                </c:pt>
              </c:numCache>
            </c:numRef>
          </c:val>
          <c:smooth val="0"/>
          <c:extLst>
            <c:ext xmlns:c16="http://schemas.microsoft.com/office/drawing/2014/chart" uri="{C3380CC4-5D6E-409C-BE32-E72D297353CC}">
              <c16:uniqueId val="{00000003-4A99-4CDA-B10A-8B059F39E49F}"/>
            </c:ext>
          </c:extLst>
        </c:ser>
        <c:dLbls>
          <c:showLegendKey val="0"/>
          <c:showVal val="0"/>
          <c:showCatName val="0"/>
          <c:showSerName val="0"/>
          <c:showPercent val="0"/>
          <c:showBubbleSize val="0"/>
        </c:dLbls>
        <c:smooth val="0"/>
        <c:axId val="1914612240"/>
        <c:axId val="152774768"/>
      </c:lineChart>
      <c:catAx>
        <c:axId val="1914612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774768"/>
        <c:crosses val="autoZero"/>
        <c:auto val="1"/>
        <c:lblAlgn val="ctr"/>
        <c:lblOffset val="100"/>
        <c:noMultiLvlLbl val="0"/>
      </c:catAx>
      <c:valAx>
        <c:axId val="152774768"/>
        <c:scaling>
          <c:orientation val="minMax"/>
          <c:max val="5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GB" sz="1050"/>
                  <a:t>Published articles per year </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91461224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10</xdr:col>
      <xdr:colOff>123825</xdr:colOff>
      <xdr:row>0</xdr:row>
      <xdr:rowOff>171450</xdr:rowOff>
    </xdr:from>
    <xdr:to>
      <xdr:col>11</xdr:col>
      <xdr:colOff>651231</xdr:colOff>
      <xdr:row>4</xdr:row>
      <xdr:rowOff>149225</xdr:rowOff>
    </xdr:to>
    <xdr:pic>
      <xdr:nvPicPr>
        <xdr:cNvPr id="8" name="Picture 7">
          <a:extLst>
            <a:ext uri="{FF2B5EF4-FFF2-40B4-BE49-F238E27FC236}">
              <a16:creationId xmlns:a16="http://schemas.microsoft.com/office/drawing/2014/main" id="{8D8FA9E5-F63E-E227-4575-3DEFC22320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67425" y="171450"/>
          <a:ext cx="1137006" cy="790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8283</xdr:colOff>
      <xdr:row>2</xdr:row>
      <xdr:rowOff>57978</xdr:rowOff>
    </xdr:from>
    <xdr:to>
      <xdr:col>12</xdr:col>
      <xdr:colOff>646044</xdr:colOff>
      <xdr:row>13</xdr:row>
      <xdr:rowOff>107674</xdr:rowOff>
    </xdr:to>
    <xdr:sp macro="" textlink="">
      <xdr:nvSpPr>
        <xdr:cNvPr id="3" name="TextBox 2">
          <a:extLst>
            <a:ext uri="{FF2B5EF4-FFF2-40B4-BE49-F238E27FC236}">
              <a16:creationId xmlns:a16="http://schemas.microsoft.com/office/drawing/2014/main" id="{C2B9CE7E-689E-459B-92B2-1E4F6FE5DF8C}"/>
            </a:ext>
          </a:extLst>
        </xdr:cNvPr>
        <xdr:cNvSpPr txBox="1"/>
      </xdr:nvSpPr>
      <xdr:spPr>
        <a:xfrm>
          <a:off x="621196" y="438978"/>
          <a:ext cx="10502348" cy="214519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A core ORE team will need</a:t>
          </a:r>
          <a:r>
            <a:rPr lang="en-GB" sz="1100" baseline="0"/>
            <a:t> to undertake the job roles outlined in the table below as a minimum. The table provides an initial estimate of how staffing effort (expressed in full-time equivalents) might be distributed between these functions for three different scenarios, and at different stages of ORE's development over the period 2026-2030. The level of staffing required will be determined to a significant degree by the publication growth rate scenario as shown on sheet 4. Publication growth scenarios.</a:t>
          </a:r>
        </a:p>
        <a:p>
          <a:endParaRPr lang="en-GB" sz="1100" baseline="0">
            <a:effectLst/>
          </a:endParaRPr>
        </a:p>
        <a:p>
          <a:r>
            <a:rPr lang="en-GB" sz="1100" baseline="0">
              <a:effectLst/>
            </a:rPr>
            <a:t>In the early stages of ORE's development it is assumed that some job roles could be combined in a single individual, and therefore these are assumed to require only 0.5 FTE. For example, the Executive Director might also handle funder and partner relations in ORE's early years, and oversight of production and platform/technology functions could also be undertaken by a single member of staff.</a:t>
          </a:r>
        </a:p>
        <a:p>
          <a:endParaRPr lang="en-GB" sz="1100" baseline="0">
            <a:effectLst/>
          </a:endParaRPr>
        </a:p>
        <a:p>
          <a:r>
            <a:rPr lang="en-GB" sz="1100" baseline="0">
              <a:effectLst/>
            </a:rPr>
            <a:t>In practice it is also possible that some activities that are treated as outsourced in this model (and therefore included in the calculation of 'variable article costs' on sheet 5 or 'marketing &amp; community (outsourced)' on sheet 6) could be brought in-house, or that some activities attributed to in-house staff could be outsourced. In general an outsourcing model is likely to be cheaper, particular where work can be undertaken in lower cost regions, but this must be weighed against the need for a joined-up model which allows for strategic direction and ownership of the whole undertaking.</a:t>
          </a:r>
          <a:endParaRPr lang="en-GB">
            <a:effectLst/>
          </a:endParaRPr>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457199</xdr:colOff>
      <xdr:row>14</xdr:row>
      <xdr:rowOff>52385</xdr:rowOff>
    </xdr:from>
    <xdr:to>
      <xdr:col>19</xdr:col>
      <xdr:colOff>209550</xdr:colOff>
      <xdr:row>33</xdr:row>
      <xdr:rowOff>114299</xdr:rowOff>
    </xdr:to>
    <xdr:graphicFrame macro="">
      <xdr:nvGraphicFramePr>
        <xdr:cNvPr id="2" name="Chart 1">
          <a:extLst>
            <a:ext uri="{FF2B5EF4-FFF2-40B4-BE49-F238E27FC236}">
              <a16:creationId xmlns:a16="http://schemas.microsoft.com/office/drawing/2014/main" id="{10E3E31C-B034-708A-96C3-52A1AC40FCA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708163</xdr:colOff>
      <xdr:row>39</xdr:row>
      <xdr:rowOff>34787</xdr:rowOff>
    </xdr:from>
    <xdr:to>
      <xdr:col>11</xdr:col>
      <xdr:colOff>412888</xdr:colOff>
      <xdr:row>63</xdr:row>
      <xdr:rowOff>168137</xdr:rowOff>
    </xdr:to>
    <xdr:graphicFrame macro="">
      <xdr:nvGraphicFramePr>
        <xdr:cNvPr id="3" name="Chart 2">
          <a:extLst>
            <a:ext uri="{FF2B5EF4-FFF2-40B4-BE49-F238E27FC236}">
              <a16:creationId xmlns:a16="http://schemas.microsoft.com/office/drawing/2014/main" id="{B356B0D3-8C15-6F6F-C661-A0CF315DF9E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8282</xdr:colOff>
      <xdr:row>1</xdr:row>
      <xdr:rowOff>66261</xdr:rowOff>
    </xdr:from>
    <xdr:to>
      <xdr:col>12</xdr:col>
      <xdr:colOff>695739</xdr:colOff>
      <xdr:row>22</xdr:row>
      <xdr:rowOff>8283</xdr:rowOff>
    </xdr:to>
    <xdr:sp macro="" textlink="">
      <xdr:nvSpPr>
        <xdr:cNvPr id="5" name="TextBox 4">
          <a:extLst>
            <a:ext uri="{FF2B5EF4-FFF2-40B4-BE49-F238E27FC236}">
              <a16:creationId xmlns:a16="http://schemas.microsoft.com/office/drawing/2014/main" id="{81B16CF1-33EF-770B-7234-A162E8D53D41}"/>
            </a:ext>
          </a:extLst>
        </xdr:cNvPr>
        <xdr:cNvSpPr txBox="1"/>
      </xdr:nvSpPr>
      <xdr:spPr>
        <a:xfrm>
          <a:off x="438978" y="256761"/>
          <a:ext cx="9930848" cy="39425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u="sng"/>
            <a:t>Developing publication growth scenarios</a:t>
          </a:r>
        </a:p>
        <a:p>
          <a:endParaRPr lang="en-GB" sz="1100" b="1" u="sng"/>
        </a:p>
        <a:p>
          <a:r>
            <a:rPr lang="en-GB" sz="1100" u="sng"/>
            <a:t>Actual</a:t>
          </a:r>
          <a:r>
            <a:rPr lang="en-GB" sz="1100" u="sng" baseline="0"/>
            <a:t> article volumes to date</a:t>
          </a:r>
          <a:endParaRPr lang="en-GB" sz="1100" u="sng"/>
        </a:p>
        <a:p>
          <a:endParaRPr lang="en-GB" sz="1100"/>
        </a:p>
        <a:p>
          <a:r>
            <a:rPr lang="en-GB" sz="1100"/>
            <a:t>Actual article volumes</a:t>
          </a:r>
          <a:r>
            <a:rPr lang="en-GB" sz="1100" baseline="0"/>
            <a:t> for 2011 and 2022 and estimated volumes for 2023 were supplied by F1000</a:t>
          </a:r>
          <a:r>
            <a:rPr lang="en-GB" sz="1100" baseline="0">
              <a:solidFill>
                <a:schemeClr val="dk1"/>
              </a:solidFill>
              <a:effectLst/>
              <a:latin typeface="+mn-lt"/>
              <a:ea typeface="+mn-ea"/>
              <a:cs typeface="+mn-cs"/>
            </a:rPr>
            <a:t>, which currently operates ORE on behalf of the European Commission</a:t>
          </a:r>
          <a:r>
            <a:rPr lang="en-GB" sz="1100" baseline="0"/>
            <a:t>. These figures represent articles accepted for publication as a preprint in the year in question, and will be higher than the numbers which are classified as having passed peer review. These figures will also differ from those available from the ORE platform itself, as the platform Browse function reports articles by calendar year according to the date of the most recent version, not the date of initial acceptance.</a:t>
          </a:r>
        </a:p>
        <a:p>
          <a:endParaRPr lang="en-GB" sz="1100" baseline="0"/>
        </a:p>
        <a:p>
          <a:r>
            <a:rPr lang="en-GB" sz="1100" b="1" u="sng">
              <a:solidFill>
                <a:schemeClr val="dk1"/>
              </a:solidFill>
              <a:effectLst/>
              <a:latin typeface="+mn-lt"/>
              <a:ea typeface="+mn-ea"/>
              <a:cs typeface="+mn-cs"/>
            </a:rPr>
            <a:t>Estimating annual</a:t>
          </a:r>
          <a:r>
            <a:rPr lang="en-GB" sz="1100" b="1" u="sng" baseline="0">
              <a:solidFill>
                <a:schemeClr val="dk1"/>
              </a:solidFill>
              <a:effectLst/>
              <a:latin typeface="+mn-lt"/>
              <a:ea typeface="+mn-ea"/>
              <a:cs typeface="+mn-cs"/>
            </a:rPr>
            <a:t> growth rates</a:t>
          </a:r>
          <a:endParaRPr lang="en-GB">
            <a:effectLst/>
          </a:endParaRPr>
        </a:p>
        <a:p>
          <a:r>
            <a:rPr lang="en-GB" sz="1100">
              <a:solidFill>
                <a:schemeClr val="dk1"/>
              </a:solidFill>
              <a:effectLst/>
              <a:latin typeface="+mn-lt"/>
              <a:ea typeface="+mn-ea"/>
              <a:cs typeface="+mn-cs"/>
            </a:rPr>
            <a:t>The predicted</a:t>
          </a:r>
          <a:r>
            <a:rPr lang="en-GB" sz="1100" baseline="0">
              <a:solidFill>
                <a:schemeClr val="dk1"/>
              </a:solidFill>
              <a:effectLst/>
              <a:latin typeface="+mn-lt"/>
              <a:ea typeface="+mn-ea"/>
              <a:cs typeface="+mn-cs"/>
            </a:rPr>
            <a:t> annual growth rates for ORE from 2024 onwards are informed estimates made by the author based on analyses conducted on a number of existing OA journals and platforms (a list of these journals can be found in Appendix B of the main report accompanying this Annex).</a:t>
          </a:r>
        </a:p>
        <a:p>
          <a:endParaRPr lang="en-GB">
            <a:effectLst/>
          </a:endParaRPr>
        </a:p>
        <a:p>
          <a:r>
            <a:rPr lang="en-GB" sz="1100" baseline="0">
              <a:solidFill>
                <a:schemeClr val="dk1"/>
              </a:solidFill>
              <a:effectLst/>
              <a:latin typeface="+mn-lt"/>
              <a:ea typeface="+mn-ea"/>
              <a:cs typeface="+mn-cs"/>
            </a:rPr>
            <a:t>Data was extracted from Lens.org in June 2023 detailing the number of outputs per year for each of the journals selected. Data was selected to view the first 10 years growth for each journal. Based on the number of outputs published by the 10th year (or the most recent available for those not in existence for a full decade), the journals were catagorised as either a mega-journal, high, medium or low performing journal. Megajournals were discounted at this stage. For the rest of the journals, annual growth rates for the first 10 years were calculated and used to develop informed estimates for ORE in low, medium and high growth scenarios.</a:t>
          </a:r>
          <a:r>
            <a:rPr lang="en-GB">
              <a:effectLst/>
            </a:rPr>
            <a:t> </a:t>
          </a:r>
        </a:p>
        <a:p>
          <a:endParaRPr lang="en-GB">
            <a:effectLst/>
          </a:endParaRPr>
        </a:p>
        <a:p>
          <a:r>
            <a:rPr lang="en-GB">
              <a:effectLst/>
            </a:rPr>
            <a:t>The growth rates were then adjusted based on the author's judgement to allow for the</a:t>
          </a:r>
          <a:r>
            <a:rPr lang="en-GB" baseline="0">
              <a:effectLst/>
            </a:rPr>
            <a:t> fact the ORE is open to EC beneficiaries only in the period 2021-2025, before being opened up to any author from 2026. In the medium and high scenarios this is assumed to lead to more rapid growth from 2026 onwards. Annual growth rates are assumed to begin levelling off later in the forecast period as this is the typical trajectory followed by existing OA journals and platforms.</a:t>
          </a:r>
          <a:endParaRPr lang="en-GB">
            <a:effectLst/>
          </a:endParaRPr>
        </a:p>
        <a:p>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209550</xdr:colOff>
      <xdr:row>1</xdr:row>
      <xdr:rowOff>200025</xdr:rowOff>
    </xdr:from>
    <xdr:to>
      <xdr:col>9</xdr:col>
      <xdr:colOff>438150</xdr:colOff>
      <xdr:row>5</xdr:row>
      <xdr:rowOff>219075</xdr:rowOff>
    </xdr:to>
    <xdr:sp macro="" textlink="">
      <xdr:nvSpPr>
        <xdr:cNvPr id="3" name="TextBox 2">
          <a:extLst>
            <a:ext uri="{FF2B5EF4-FFF2-40B4-BE49-F238E27FC236}">
              <a16:creationId xmlns:a16="http://schemas.microsoft.com/office/drawing/2014/main" id="{D3B81A65-BA67-D2CA-AF8D-5A3BEC6BC1B1}"/>
            </a:ext>
          </a:extLst>
        </xdr:cNvPr>
        <xdr:cNvSpPr txBox="1"/>
      </xdr:nvSpPr>
      <xdr:spPr>
        <a:xfrm>
          <a:off x="438150" y="438150"/>
          <a:ext cx="8963025" cy="876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The direct costs of article publication are estimated at between €550 and €750 per paper, with €650 used as the</a:t>
          </a:r>
          <a:r>
            <a:rPr lang="en-GB" sz="1100" baseline="0"/>
            <a:t> medium scenario. A bottom-up costing per article has been prepared on the assumption that article production is almost entirely outsourced. A costing model developed by Grossmann and Brembs (2021) was used as the basis for the exercise, with their assumptions converted from US dollars into Euros, adapted to ORE's post-publication peer review model, and validated through discussion with a sample of publishers and service providers.</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304800</xdr:colOff>
      <xdr:row>2</xdr:row>
      <xdr:rowOff>133350</xdr:rowOff>
    </xdr:from>
    <xdr:to>
      <xdr:col>11</xdr:col>
      <xdr:colOff>1485900</xdr:colOff>
      <xdr:row>4</xdr:row>
      <xdr:rowOff>28575</xdr:rowOff>
    </xdr:to>
    <xdr:sp macro="" textlink="">
      <xdr:nvSpPr>
        <xdr:cNvPr id="2" name="TextBox 1">
          <a:extLst>
            <a:ext uri="{FF2B5EF4-FFF2-40B4-BE49-F238E27FC236}">
              <a16:creationId xmlns:a16="http://schemas.microsoft.com/office/drawing/2014/main" id="{CE201D1C-FDED-0E58-D4E7-2CF760229047}"/>
            </a:ext>
          </a:extLst>
        </xdr:cNvPr>
        <xdr:cNvSpPr txBox="1"/>
      </xdr:nvSpPr>
      <xdr:spPr>
        <a:xfrm>
          <a:off x="304800" y="561975"/>
          <a:ext cx="8991600"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This worksheet explains</a:t>
          </a:r>
          <a:r>
            <a:rPr lang="en-GB" sz="1100" baseline="0"/>
            <a:t> how the Key Figures shown on worksheet 5. Article production costs were determined for Open Research Europe. </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161924</xdr:colOff>
      <xdr:row>1</xdr:row>
      <xdr:rowOff>133350</xdr:rowOff>
    </xdr:from>
    <xdr:to>
      <xdr:col>8</xdr:col>
      <xdr:colOff>428624</xdr:colOff>
      <xdr:row>8</xdr:row>
      <xdr:rowOff>104775</xdr:rowOff>
    </xdr:to>
    <xdr:sp macro="" textlink="">
      <xdr:nvSpPr>
        <xdr:cNvPr id="2" name="TextBox 1">
          <a:extLst>
            <a:ext uri="{FF2B5EF4-FFF2-40B4-BE49-F238E27FC236}">
              <a16:creationId xmlns:a16="http://schemas.microsoft.com/office/drawing/2014/main" id="{46B8ABC1-2710-51E7-62F1-A118F059C94E}"/>
            </a:ext>
          </a:extLst>
        </xdr:cNvPr>
        <xdr:cNvSpPr txBox="1"/>
      </xdr:nvSpPr>
      <xdr:spPr>
        <a:xfrm>
          <a:off x="161924" y="371475"/>
          <a:ext cx="6600825" cy="1381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This sheet is used to estimate</a:t>
          </a:r>
          <a:r>
            <a:rPr lang="en-GB" sz="1100" baseline="0"/>
            <a:t> the costs of work undertaken by outsourced staff, with the EUR hourly rates fo Editor and Production Editor used as an input to the variable article cost calculations on sheet 6.</a:t>
          </a:r>
        </a:p>
        <a:p>
          <a:endParaRPr lang="en-GB" sz="1100" baseline="0"/>
        </a:p>
        <a:p>
          <a:r>
            <a:rPr lang="en-GB" sz="1100" baseline="0"/>
            <a:t>The have been converted into Euros from USD estimates provided by Grossman and Brembs in 2021, in their costing model here: https://doi.org/10.6084/m9.figshare.8118197.v2 and validated by discussion with a sample of publishers and publishing service providers. The  hourly rates here are presented at their 2022 values and subsequently adjusted for inflation on sheet 1.</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4</xdr:row>
      <xdr:rowOff>1</xdr:rowOff>
    </xdr:from>
    <xdr:to>
      <xdr:col>6</xdr:col>
      <xdr:colOff>28576</xdr:colOff>
      <xdr:row>11</xdr:row>
      <xdr:rowOff>57151</xdr:rowOff>
    </xdr:to>
    <xdr:sp macro="" textlink="">
      <xdr:nvSpPr>
        <xdr:cNvPr id="2" name="TextBox 1">
          <a:extLst>
            <a:ext uri="{FF2B5EF4-FFF2-40B4-BE49-F238E27FC236}">
              <a16:creationId xmlns:a16="http://schemas.microsoft.com/office/drawing/2014/main" id="{756743D7-E5F7-4196-9673-0E417CEB6427}"/>
            </a:ext>
          </a:extLst>
        </xdr:cNvPr>
        <xdr:cNvSpPr txBox="1"/>
      </xdr:nvSpPr>
      <xdr:spPr>
        <a:xfrm>
          <a:off x="609601" y="2114551"/>
          <a:ext cx="6972300" cy="1390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This sheet comprises membership and supporter charges associated</a:t>
          </a:r>
          <a:r>
            <a:rPr lang="en-GB" sz="1100" baseline="0"/>
            <a:t> with publication. These are classed as article costs but as they do not vary in line with article volumes they are treated separately from the variable costs on sheet 5. </a:t>
          </a:r>
        </a:p>
        <a:p>
          <a:endParaRPr lang="en-GB" sz="1100" baseline="0">
            <a:effectLst/>
          </a:endParaRPr>
        </a:p>
        <a:p>
          <a:r>
            <a:rPr lang="en-GB" sz="1100" baseline="0">
              <a:effectLst/>
            </a:rPr>
            <a:t>A number of these charges will increase if and when ORE surpasses USD 5 million  (€4.6 million) in publishing revenue or expenses, but the impact of this increase on ORE's operatinn costs is negligible, at approximately €6,500 per annum, so is not included in the modelling at present.</a:t>
          </a:r>
          <a:endParaRPr lang="en-GB">
            <a:effectLst/>
          </a:endParaRPr>
        </a:p>
        <a:p>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2</xdr:row>
      <xdr:rowOff>190499</xdr:rowOff>
    </xdr:from>
    <xdr:to>
      <xdr:col>13</xdr:col>
      <xdr:colOff>314325</xdr:colOff>
      <xdr:row>9</xdr:row>
      <xdr:rowOff>104775</xdr:rowOff>
    </xdr:to>
    <xdr:sp macro="" textlink="">
      <xdr:nvSpPr>
        <xdr:cNvPr id="2" name="TextBox 1">
          <a:extLst>
            <a:ext uri="{FF2B5EF4-FFF2-40B4-BE49-F238E27FC236}">
              <a16:creationId xmlns:a16="http://schemas.microsoft.com/office/drawing/2014/main" id="{6535B0D9-4676-467E-BE8C-2AA514201E5E}"/>
            </a:ext>
          </a:extLst>
        </xdr:cNvPr>
        <xdr:cNvSpPr txBox="1"/>
      </xdr:nvSpPr>
      <xdr:spPr>
        <a:xfrm>
          <a:off x="609600" y="380999"/>
          <a:ext cx="7686675" cy="1247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GB" sz="1100" b="1" u="sng"/>
        </a:p>
        <a:p>
          <a:r>
            <a:rPr lang="en-GB" sz="1100" baseline="0">
              <a:solidFill>
                <a:schemeClr val="dk1"/>
              </a:solidFill>
              <a:effectLst/>
              <a:latin typeface="+mn-lt"/>
              <a:ea typeface="+mn-ea"/>
              <a:cs typeface="+mn-cs"/>
            </a:rPr>
            <a:t>Estimated spend for online advertising and promotion plus use of outsourced service providers to support contant acquisition, and funds to support individual funders in their marketing efforts. The amounts are estimates informed by discussion with F1000 staff and independent publishing experts and should be considered alongside the estimates made for in-house marketing and community engagement staff on sheet 8. Staff numbers (in-house).</a:t>
          </a:r>
        </a:p>
        <a:p>
          <a:endParaRPr lang="en-GB" sz="1100" baseline="0">
            <a:solidFill>
              <a:schemeClr val="dk1"/>
            </a:solidFill>
            <a:effectLst/>
            <a:latin typeface="+mn-lt"/>
            <a:ea typeface="+mn-ea"/>
            <a:cs typeface="+mn-cs"/>
          </a:endParaRPr>
        </a:p>
        <a:p>
          <a:endParaRPr lang="en-GB" sz="1100" b="1" u="sng" baseline="0">
            <a:effectLst/>
          </a:endParaRPr>
        </a:p>
        <a:p>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47624</xdr:colOff>
      <xdr:row>2</xdr:row>
      <xdr:rowOff>180974</xdr:rowOff>
    </xdr:from>
    <xdr:to>
      <xdr:col>13</xdr:col>
      <xdr:colOff>38099</xdr:colOff>
      <xdr:row>14</xdr:row>
      <xdr:rowOff>171450</xdr:rowOff>
    </xdr:to>
    <xdr:sp macro="" textlink="">
      <xdr:nvSpPr>
        <xdr:cNvPr id="2" name="TextBox 1">
          <a:extLst>
            <a:ext uri="{FF2B5EF4-FFF2-40B4-BE49-F238E27FC236}">
              <a16:creationId xmlns:a16="http://schemas.microsoft.com/office/drawing/2014/main" id="{DEBF19DD-9015-4BAD-8C8A-B17907B9515B}"/>
            </a:ext>
          </a:extLst>
        </xdr:cNvPr>
        <xdr:cNvSpPr txBox="1"/>
      </xdr:nvSpPr>
      <xdr:spPr>
        <a:xfrm>
          <a:off x="657224" y="561974"/>
          <a:ext cx="7877175" cy="22764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The level of expenditure on ORE's</a:t>
          </a:r>
          <a:r>
            <a:rPr lang="en-GB" sz="1100" baseline="0"/>
            <a:t> platform is an area of significant uncertainty. For the purposes of this model it has been assumed that the initial development costs for an open source platform will be funded by the EC, with ORE assuming responsibility for updates and maintenance which would be outsourced to a specialist technical provider. In view of the gradual transition from separate EC funding for the platform to ORE funding its maintenance, technology spend is assumed to be lower in 2026 and 2027 than in later years.</a:t>
          </a:r>
        </a:p>
        <a:p>
          <a:endParaRPr lang="en-GB" sz="1100"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effectLst/>
            </a:rPr>
            <a:t>In the medium and high scenarios provision is made for further limited investment in the platform towards the end of the forecast period but the sums involved remain relatively small, on the assumption that ORE is able to use an existing open source platform and benefits from wider community efforts to develop and maintain the source code. It should be noted that the typical </a:t>
          </a:r>
          <a:r>
            <a:rPr lang="en-US" sz="1100">
              <a:solidFill>
                <a:schemeClr val="dk1"/>
              </a:solidFill>
              <a:effectLst/>
              <a:latin typeface="+mn-lt"/>
              <a:ea typeface="+mn-ea"/>
              <a:cs typeface="+mn-cs"/>
            </a:rPr>
            <a:t>lifespan of an open</a:t>
          </a:r>
          <a:r>
            <a:rPr lang="en-US" sz="1100" baseline="0">
              <a:solidFill>
                <a:schemeClr val="dk1"/>
              </a:solidFill>
              <a:effectLst/>
              <a:latin typeface="+mn-lt"/>
              <a:ea typeface="+mn-ea"/>
              <a:cs typeface="+mn-cs"/>
            </a:rPr>
            <a:t> source</a:t>
          </a:r>
          <a:r>
            <a:rPr lang="en-US" sz="1100">
              <a:solidFill>
                <a:schemeClr val="dk1"/>
              </a:solidFill>
              <a:effectLst/>
              <a:latin typeface="+mn-lt"/>
              <a:ea typeface="+mn-ea"/>
              <a:cs typeface="+mn-cs"/>
            </a:rPr>
            <a:t> platform ranges between 5 to 7 years before there</a:t>
          </a:r>
          <a:r>
            <a:rPr lang="en-US" sz="1100" baseline="0">
              <a:solidFill>
                <a:schemeClr val="dk1"/>
              </a:solidFill>
              <a:effectLst/>
              <a:latin typeface="+mn-lt"/>
              <a:ea typeface="+mn-ea"/>
              <a:cs typeface="+mn-cs"/>
            </a:rPr>
            <a:t> i</a:t>
          </a:r>
          <a:r>
            <a:rPr lang="en-US" sz="1100">
              <a:solidFill>
                <a:schemeClr val="dk1"/>
              </a:solidFill>
              <a:effectLst/>
              <a:latin typeface="+mn-lt"/>
              <a:ea typeface="+mn-ea"/>
              <a:cs typeface="+mn-cs"/>
            </a:rPr>
            <a:t>s a need either to transition to a new technical solution or to implement a major upgrade of the existing infrastructure. Therefore, around or beyond 2030, the ORE service will likely need to spend a relatively large amount on upgrading or replacing its IT infrastructures based on the technological developments at that time.</a:t>
          </a:r>
          <a:endParaRPr lang="en-GB" sz="1100">
            <a:solidFill>
              <a:schemeClr val="dk1"/>
            </a:solidFill>
            <a:effectLst/>
            <a:latin typeface="+mn-lt"/>
            <a:ea typeface="+mn-ea"/>
            <a:cs typeface="+mn-cs"/>
          </a:endParaRPr>
        </a:p>
        <a:p>
          <a:endParaRPr lang="en-GB" sz="1100"/>
        </a:p>
        <a:p>
          <a:endParaRPr lang="en-GB" sz="1100"/>
        </a:p>
      </xdr:txBody>
    </xdr:sp>
    <xdr:clientData/>
  </xdr:twoCellAnchor>
</xdr:wsDr>
</file>

<file path=xl/persons/person.xml><?xml version="1.0" encoding="utf-8"?>
<personList xmlns="http://schemas.microsoft.com/office/spreadsheetml/2018/threadedcomments" xmlns:x="http://schemas.openxmlformats.org/spreadsheetml/2006/main">
  <person displayName="Rob Johnson" id="{5D5C406C-6722-447A-9A99-38489DE082CE}" userId="S::rob.johnson@research-consulting.com::6d2415e7-0b2e-46d0-a5c3-5dc164aefcd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33" dT="2023-06-10T17:09:45.62" personId="{5D5C406C-6722-447A-9A99-38489DE082CE}" id="{24685C12-0B8C-4E5E-A64F-FF9C5E1C4196}">
    <text xml:space="preserve">Increased from 0.5 in Grossmann and Brembs' model to reflect the need to check compliance with ORE's open data, software and code guidelines, which are more onerous than a typical journal
</text>
  </threadedComment>
</ThreadedComment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upport.microsoft.com/en-au/office/define-and-use-names-in-formulas-4d0f13ac-53b7-422e-afd2-abd7ff379c64"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ecb.europa.eu/pub/projections/html/ecb.projections202303_ecbstaff~77c0227058.en.html"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eceuropaeu.sharepoint.com/:x:/s/Projects/Ee_lnGmv1cJLsNXPfqmXcSQBDkv5spxsSaJuzhAkkM8Klg?e=8TZZVt&amp;nav=MTVfe0IyOEQyODZCLTRFQUQtNDQ0My04NDhCLUQ2RDVEQzRENENENH0" TargetMode="External"/><Relationship Id="rId3" Type="http://schemas.openxmlformats.org/officeDocument/2006/relationships/hyperlink" Target="https://eceuropaeu.sharepoint.com/:x:/s/Projects/Ee_lnGmv1cJLsNXPfqmXcSQBDkv5spxsSaJuzhAkkM8Klg?e=5Vt5MG&amp;nav=MTVfe0YxNzk1RDFDLTkyNTgtNEU0Mi04MjlFLTk2MkY5OUE1RTczNX0" TargetMode="External"/><Relationship Id="rId7" Type="http://schemas.openxmlformats.org/officeDocument/2006/relationships/hyperlink" Target="https://eceuropaeu.sharepoint.com/:x:/s/Projects/Ee_lnGmv1cJLsNXPfqmXcSQBDkv5spxsSaJuzhAkkM8Klg?e=lGLqGC&amp;nav=MTVfezU1MzQ3QzMwLUY0MjEtNDMzQy05NjE2LUY4MjZFNzhFOTFEN30" TargetMode="External"/><Relationship Id="rId2" Type="http://schemas.openxmlformats.org/officeDocument/2006/relationships/hyperlink" Target="https://eceuropaeu.sharepoint.com/:x:/s/Projects/Ee_lnGmv1cJLsNXPfqmXcSQBDkv5spxsSaJuzhAkkM8Klg?e=5Vt5MG&amp;nav=MTVfe0YxNzk1RDFDLTkyNTgtNEU0Mi04MjlFLTk2MkY5OUE1RTczNX0" TargetMode="External"/><Relationship Id="rId1" Type="http://schemas.openxmlformats.org/officeDocument/2006/relationships/hyperlink" Target="https://www.tribes.world/en/community/number-of-square-meters-needed-for-office-space" TargetMode="External"/><Relationship Id="rId6" Type="http://schemas.openxmlformats.org/officeDocument/2006/relationships/hyperlink" Target="https://www.statista.com/statistics/530076/office-real-estate-prime-rent-amsterdam-netherlands-europe/" TargetMode="External"/><Relationship Id="rId5" Type="http://schemas.openxmlformats.org/officeDocument/2006/relationships/hyperlink" Target="https://www.flexas.com/blog/what-office-space-cost-amsterdam" TargetMode="External"/><Relationship Id="rId4" Type="http://schemas.openxmlformats.org/officeDocument/2006/relationships/hyperlink" Target="https://eceuropaeu.sharepoint.com/:x:/s/Projects/Ee_lnGmv1cJLsNXPfqmXcSQBDkv5spxsSaJuzhAkkM8Klg?e=5Vt5MG&amp;nav=MTVfe0YxNzk1RDFDLTkyNTgtNEU0Mi04MjlFLTk2MkY5OUE1RTczNX0" TargetMode="External"/><Relationship Id="rId9" Type="http://schemas.openxmlformats.org/officeDocument/2006/relationships/hyperlink" Target="https://eceuropaeu.sharepoint.com/:x:/s/Projects/EZ6rbxMWHP9JkcmaR5aO420BtkHYWvBMAAKXHK1k1EfEng?e=LhhLY4&amp;nav=MTVfe0RBNzk1QjNBLTVGRjUtNDM4Ri05MjI4LTlGRTIzRDNBOUUyRH0"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eceuropaeu.sharepoint.com/:x:/s/Projects/Ee_lnGmv1cJLsNXPfqmXcSQBDkv5spxsSaJuzhAkkM8Klg?e=o9Up3j&amp;nav=MTVfezUzNzgxODcwLThCMDctNDdBMy04QUY2LTc1QzgwOTQ1N0EzQ30" TargetMode="External"/><Relationship Id="rId7" Type="http://schemas.openxmlformats.org/officeDocument/2006/relationships/vmlDrawing" Target="../drawings/vmlDrawing1.vml"/><Relationship Id="rId2" Type="http://schemas.openxmlformats.org/officeDocument/2006/relationships/hyperlink" Target="https://doi.org/10.6084/m9.figshare.8118197.v2" TargetMode="External"/><Relationship Id="rId1" Type="http://schemas.openxmlformats.org/officeDocument/2006/relationships/hyperlink" Target="https://eceuropaeu.sharepoint.com/:x:/s/Projects/Ee_lnGmv1cJLsNXPfqmXcSQBDkv5spxsSaJuzhAkkM8Klg?e=o9Up3j&amp;nav=MTVfezUzNzgxODcwLThCMDctNDdBMy04QUY2LTc1QzgwOTQ1N0EzQ30"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eceuropaeu.sharepoint.com/:x:/s/Projects/Ee_lnGmv1cJLsNXPfqmXcSQBDkv5spxsSaJuzhAkkM8Klg?e=o9Up3j&amp;nav=MTVfezUzNzgxODcwLThCMDctNDdBMy04QUY2LTc1QzgwOTQ1N0EzQ30" TargetMode="External"/><Relationship Id="rId9"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https://open-research-europe.ec.europa.eu/"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9B442-9F26-4A5F-8D95-B0440E5FA4E4}">
  <sheetPr>
    <tabColor theme="8" tint="0.39997558519241921"/>
  </sheetPr>
  <dimension ref="B2:L33"/>
  <sheetViews>
    <sheetView showGridLines="0" tabSelected="1" zoomScaleNormal="100" workbookViewId="0">
      <selection activeCell="G36" sqref="G36"/>
    </sheetView>
  </sheetViews>
  <sheetFormatPr defaultColWidth="9.140625" defaultRowHeight="15" x14ac:dyDescent="0.25"/>
  <cols>
    <col min="1" max="1" width="2.5703125" style="2" customWidth="1"/>
    <col min="2" max="2" width="18.140625" style="2" customWidth="1"/>
    <col min="3" max="3" width="15.42578125" style="2" customWidth="1"/>
    <col min="4" max="5" width="2.85546875" style="2" customWidth="1"/>
    <col min="6" max="6" width="2.7109375" style="2" customWidth="1"/>
    <col min="7" max="7" width="9.140625" style="2" customWidth="1"/>
    <col min="8" max="9" width="9.140625" style="2"/>
    <col min="10" max="10" width="24.28515625" style="2" customWidth="1"/>
    <col min="11" max="11" width="9.140625" style="2"/>
    <col min="12" max="12" width="23.42578125" style="2" customWidth="1"/>
    <col min="13" max="13" width="4.42578125" style="2" customWidth="1"/>
    <col min="14" max="16384" width="9.140625" style="2"/>
  </cols>
  <sheetData>
    <row r="2" spans="2:12" ht="19.5" x14ac:dyDescent="0.3">
      <c r="B2" s="12" t="s">
        <v>10</v>
      </c>
    </row>
    <row r="5" spans="2:12" ht="19.5" x14ac:dyDescent="0.3">
      <c r="B5" s="12" t="s">
        <v>11</v>
      </c>
    </row>
    <row r="6" spans="2:12" ht="19.5" x14ac:dyDescent="0.3">
      <c r="B6" s="9"/>
    </row>
    <row r="7" spans="2:12" ht="15" customHeight="1" x14ac:dyDescent="0.25">
      <c r="B7" s="267" t="s">
        <v>325</v>
      </c>
      <c r="C7" s="268"/>
      <c r="D7" s="268"/>
      <c r="E7" s="268"/>
      <c r="F7" s="268"/>
      <c r="G7" s="268"/>
      <c r="H7" s="268"/>
      <c r="I7" s="268"/>
      <c r="J7" s="268"/>
      <c r="K7" s="268"/>
      <c r="L7" s="269"/>
    </row>
    <row r="8" spans="2:12" x14ac:dyDescent="0.25">
      <c r="B8" s="270"/>
      <c r="C8" s="271"/>
      <c r="D8" s="271"/>
      <c r="E8" s="271"/>
      <c r="F8" s="271"/>
      <c r="G8" s="271"/>
      <c r="H8" s="271"/>
      <c r="I8" s="271"/>
      <c r="J8" s="271"/>
      <c r="K8" s="271"/>
      <c r="L8" s="272"/>
    </row>
    <row r="9" spans="2:12" x14ac:dyDescent="0.25">
      <c r="B9" s="270"/>
      <c r="C9" s="271"/>
      <c r="D9" s="271"/>
      <c r="E9" s="271"/>
      <c r="F9" s="271"/>
      <c r="G9" s="271"/>
      <c r="H9" s="271"/>
      <c r="I9" s="271"/>
      <c r="J9" s="271"/>
      <c r="K9" s="271"/>
      <c r="L9" s="272"/>
    </row>
    <row r="10" spans="2:12" x14ac:dyDescent="0.25">
      <c r="B10" s="270"/>
      <c r="C10" s="271"/>
      <c r="D10" s="271"/>
      <c r="E10" s="271"/>
      <c r="F10" s="271"/>
      <c r="G10" s="271"/>
      <c r="H10" s="271"/>
      <c r="I10" s="271"/>
      <c r="J10" s="271"/>
      <c r="K10" s="271"/>
      <c r="L10" s="272"/>
    </row>
    <row r="11" spans="2:12" x14ac:dyDescent="0.25">
      <c r="B11" s="270"/>
      <c r="C11" s="271"/>
      <c r="D11" s="271"/>
      <c r="E11" s="271"/>
      <c r="F11" s="271"/>
      <c r="G11" s="271"/>
      <c r="H11" s="271"/>
      <c r="I11" s="271"/>
      <c r="J11" s="271"/>
      <c r="K11" s="271"/>
      <c r="L11" s="272"/>
    </row>
    <row r="12" spans="2:12" ht="21.75" customHeight="1" x14ac:dyDescent="0.25">
      <c r="B12" s="273"/>
      <c r="C12" s="274"/>
      <c r="D12" s="274"/>
      <c r="E12" s="274"/>
      <c r="F12" s="274"/>
      <c r="G12" s="274"/>
      <c r="H12" s="274"/>
      <c r="I12" s="274"/>
      <c r="J12" s="274"/>
      <c r="K12" s="274"/>
      <c r="L12" s="275"/>
    </row>
    <row r="14" spans="2:12" ht="19.5" x14ac:dyDescent="0.3">
      <c r="B14" s="12" t="s">
        <v>12</v>
      </c>
    </row>
    <row r="15" spans="2:12" ht="19.5" x14ac:dyDescent="0.3">
      <c r="B15" s="12"/>
    </row>
    <row r="16" spans="2:12" ht="153.75" customHeight="1" x14ac:dyDescent="0.25">
      <c r="B16" s="249" t="s">
        <v>276</v>
      </c>
      <c r="C16" s="278" t="s">
        <v>389</v>
      </c>
      <c r="D16" s="277"/>
      <c r="E16" s="277"/>
      <c r="F16" s="277"/>
      <c r="G16" s="277"/>
      <c r="H16" s="277"/>
      <c r="I16" s="277"/>
      <c r="J16" s="277"/>
      <c r="K16" s="277"/>
      <c r="L16" s="277"/>
    </row>
    <row r="17" spans="2:12" ht="119.25" customHeight="1" x14ac:dyDescent="0.25">
      <c r="B17" s="249" t="s">
        <v>277</v>
      </c>
      <c r="C17" s="276" t="s">
        <v>390</v>
      </c>
      <c r="D17" s="277"/>
      <c r="E17" s="277"/>
      <c r="F17" s="277"/>
      <c r="G17" s="277"/>
      <c r="H17" s="277"/>
      <c r="I17" s="277"/>
      <c r="J17" s="277"/>
      <c r="K17" s="277"/>
      <c r="L17" s="277"/>
    </row>
    <row r="18" spans="2:12" ht="87" customHeight="1" x14ac:dyDescent="0.25">
      <c r="B18" s="160" t="s">
        <v>4</v>
      </c>
      <c r="C18" s="265" t="s">
        <v>13</v>
      </c>
      <c r="D18" s="266"/>
      <c r="E18" s="266"/>
      <c r="F18" s="266"/>
      <c r="G18" s="266"/>
      <c r="H18" s="266"/>
      <c r="I18" s="266"/>
      <c r="J18" s="266"/>
      <c r="K18" s="266"/>
      <c r="L18" s="266"/>
    </row>
    <row r="19" spans="2:12" ht="57.75" customHeight="1" x14ac:dyDescent="0.25">
      <c r="B19" s="248" t="s">
        <v>8</v>
      </c>
      <c r="C19" s="265" t="s">
        <v>358</v>
      </c>
      <c r="D19" s="266"/>
      <c r="E19" s="266"/>
      <c r="F19" s="266"/>
      <c r="G19" s="266"/>
      <c r="H19" s="266"/>
      <c r="I19" s="266"/>
      <c r="J19" s="266"/>
      <c r="K19" s="266"/>
      <c r="L19" s="266"/>
    </row>
    <row r="20" spans="2:12" ht="32.25" customHeight="1" x14ac:dyDescent="0.25">
      <c r="B20" s="248" t="s">
        <v>374</v>
      </c>
      <c r="C20" s="265" t="s">
        <v>388</v>
      </c>
      <c r="D20" s="266"/>
      <c r="E20" s="266"/>
      <c r="F20" s="266"/>
      <c r="G20" s="266"/>
      <c r="H20" s="266"/>
      <c r="I20" s="266"/>
      <c r="J20" s="266"/>
      <c r="K20" s="266"/>
      <c r="L20" s="266"/>
    </row>
    <row r="21" spans="2:12" ht="33" customHeight="1" x14ac:dyDescent="0.25">
      <c r="B21" s="248" t="s">
        <v>375</v>
      </c>
      <c r="C21" s="265" t="s">
        <v>391</v>
      </c>
      <c r="D21" s="266"/>
      <c r="E21" s="266"/>
      <c r="F21" s="266"/>
      <c r="G21" s="266"/>
      <c r="H21" s="266"/>
      <c r="I21" s="266"/>
      <c r="J21" s="266"/>
      <c r="K21" s="266"/>
      <c r="L21" s="266"/>
    </row>
    <row r="22" spans="2:12" ht="33" customHeight="1" x14ac:dyDescent="0.25">
      <c r="B22" s="248" t="s">
        <v>278</v>
      </c>
      <c r="C22" s="265" t="s">
        <v>15</v>
      </c>
      <c r="D22" s="266"/>
      <c r="E22" s="266"/>
      <c r="F22" s="266"/>
      <c r="G22" s="266"/>
      <c r="H22" s="266"/>
      <c r="I22" s="266"/>
      <c r="J22" s="266"/>
      <c r="K22" s="266"/>
      <c r="L22" s="266"/>
    </row>
    <row r="23" spans="2:12" ht="42" customHeight="1" x14ac:dyDescent="0.25">
      <c r="B23" s="248" t="s">
        <v>359</v>
      </c>
      <c r="C23" s="262" t="s">
        <v>14</v>
      </c>
      <c r="D23" s="263"/>
      <c r="E23" s="263"/>
      <c r="F23" s="263"/>
      <c r="G23" s="263"/>
      <c r="H23" s="263"/>
      <c r="I23" s="263"/>
      <c r="J23" s="263"/>
      <c r="K23" s="263"/>
      <c r="L23" s="264"/>
    </row>
    <row r="24" spans="2:12" ht="42" customHeight="1" x14ac:dyDescent="0.25">
      <c r="B24" s="248" t="s">
        <v>360</v>
      </c>
      <c r="C24" s="262" t="s">
        <v>361</v>
      </c>
      <c r="D24" s="263"/>
      <c r="E24" s="263"/>
      <c r="F24" s="263"/>
      <c r="G24" s="263"/>
      <c r="H24" s="263"/>
      <c r="I24" s="263"/>
      <c r="J24" s="263"/>
      <c r="K24" s="263"/>
      <c r="L24" s="264"/>
    </row>
    <row r="25" spans="2:12" x14ac:dyDescent="0.25">
      <c r="B25" s="248" t="s">
        <v>280</v>
      </c>
      <c r="C25" s="262" t="s">
        <v>362</v>
      </c>
      <c r="D25" s="263"/>
      <c r="E25" s="263"/>
      <c r="F25" s="263"/>
      <c r="G25" s="263"/>
      <c r="H25" s="263"/>
      <c r="I25" s="263"/>
      <c r="J25" s="263"/>
      <c r="K25" s="263"/>
      <c r="L25" s="263"/>
    </row>
    <row r="26" spans="2:12" ht="51" customHeight="1" x14ac:dyDescent="0.25">
      <c r="B26" s="248" t="s">
        <v>279</v>
      </c>
      <c r="C26" s="265" t="s">
        <v>392</v>
      </c>
      <c r="D26" s="266"/>
      <c r="E26" s="266"/>
      <c r="F26" s="266"/>
      <c r="G26" s="266"/>
      <c r="H26" s="266"/>
      <c r="I26" s="266"/>
      <c r="J26" s="266"/>
      <c r="K26" s="266"/>
      <c r="L26" s="266"/>
    </row>
    <row r="27" spans="2:12" ht="48.75" customHeight="1" x14ac:dyDescent="0.25">
      <c r="B27" s="161" t="s">
        <v>281</v>
      </c>
      <c r="C27" s="265" t="s">
        <v>16</v>
      </c>
      <c r="D27" s="279"/>
      <c r="E27" s="279"/>
      <c r="F27" s="279"/>
      <c r="G27" s="279"/>
      <c r="H27" s="279"/>
      <c r="I27" s="279"/>
      <c r="J27" s="279"/>
      <c r="K27" s="279"/>
      <c r="L27" s="279"/>
    </row>
    <row r="28" spans="2:12" ht="27.75" customHeight="1" x14ac:dyDescent="0.25">
      <c r="B28" s="162" t="s">
        <v>282</v>
      </c>
      <c r="C28" s="265" t="s">
        <v>393</v>
      </c>
      <c r="D28" s="279"/>
      <c r="E28" s="279"/>
      <c r="F28" s="279"/>
      <c r="G28" s="279"/>
      <c r="H28" s="279"/>
      <c r="I28" s="279"/>
      <c r="J28" s="279"/>
      <c r="K28" s="279"/>
      <c r="L28" s="279"/>
    </row>
    <row r="30" spans="2:12" ht="19.5" x14ac:dyDescent="0.3">
      <c r="B30" s="12" t="s">
        <v>303</v>
      </c>
    </row>
    <row r="31" spans="2:12" ht="19.5" x14ac:dyDescent="0.3">
      <c r="B31" s="12"/>
    </row>
    <row r="32" spans="2:12" ht="107.25" customHeight="1" x14ac:dyDescent="0.25">
      <c r="B32" s="280" t="s">
        <v>304</v>
      </c>
      <c r="C32" s="259" t="s">
        <v>378</v>
      </c>
      <c r="D32" s="260"/>
      <c r="E32" s="260"/>
      <c r="F32" s="260"/>
      <c r="G32" s="260"/>
      <c r="H32" s="260"/>
      <c r="I32" s="260"/>
      <c r="J32" s="260"/>
      <c r="K32" s="260"/>
      <c r="L32" s="261"/>
    </row>
    <row r="33" spans="2:12" x14ac:dyDescent="0.25">
      <c r="B33" s="281"/>
      <c r="C33" s="251" t="s">
        <v>379</v>
      </c>
      <c r="D33" s="252"/>
      <c r="E33" s="252"/>
      <c r="F33" s="252"/>
      <c r="G33" s="252"/>
      <c r="H33" s="252"/>
      <c r="I33" s="252"/>
      <c r="J33" s="252"/>
      <c r="K33" s="252"/>
      <c r="L33" s="253"/>
    </row>
  </sheetData>
  <mergeCells count="16">
    <mergeCell ref="C32:L32"/>
    <mergeCell ref="C24:L24"/>
    <mergeCell ref="C25:L25"/>
    <mergeCell ref="C18:L18"/>
    <mergeCell ref="B7:L12"/>
    <mergeCell ref="C17:L17"/>
    <mergeCell ref="C16:L16"/>
    <mergeCell ref="C23:L23"/>
    <mergeCell ref="C22:L22"/>
    <mergeCell ref="C27:L27"/>
    <mergeCell ref="C28:L28"/>
    <mergeCell ref="C19:L19"/>
    <mergeCell ref="C26:L26"/>
    <mergeCell ref="C20:L20"/>
    <mergeCell ref="C21:L21"/>
    <mergeCell ref="B32:B33"/>
  </mergeCells>
  <hyperlinks>
    <hyperlink ref="C33" r:id="rId1" xr:uid="{47113478-5A82-4E3F-B3BF-C857CF08AC36}"/>
  </hyperlinks>
  <pageMargins left="0.7" right="0.7" top="0.75" bottom="0.75" header="0.3" footer="0.3"/>
  <pageSetup orientation="landscape"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AC652-21B8-4738-BC79-37CE500F757F}">
  <sheetPr>
    <tabColor theme="2"/>
  </sheetPr>
  <dimension ref="B2:M20"/>
  <sheetViews>
    <sheetView workbookViewId="0">
      <selection activeCell="C32" sqref="C32"/>
    </sheetView>
  </sheetViews>
  <sheetFormatPr defaultRowHeight="15" x14ac:dyDescent="0.25"/>
  <cols>
    <col min="9" max="9" width="9.5703125" bestFit="1" customWidth="1"/>
    <col min="11" max="11" width="9.5703125" bestFit="1" customWidth="1"/>
  </cols>
  <sheetData>
    <row r="2" spans="2:13" ht="18.75" x14ac:dyDescent="0.3">
      <c r="B2" s="68" t="s">
        <v>377</v>
      </c>
    </row>
    <row r="11" spans="2:13" x14ac:dyDescent="0.25">
      <c r="B11" s="64" t="s">
        <v>327</v>
      </c>
    </row>
    <row r="13" spans="2:13" ht="15.75" thickBot="1" x14ac:dyDescent="0.3">
      <c r="D13" s="52" t="s">
        <v>86</v>
      </c>
      <c r="E13" s="52" t="s">
        <v>86</v>
      </c>
      <c r="F13" s="52" t="s">
        <v>87</v>
      </c>
      <c r="G13" s="52" t="s">
        <v>87</v>
      </c>
      <c r="H13" s="52" t="s">
        <v>87</v>
      </c>
      <c r="I13" s="52" t="s">
        <v>87</v>
      </c>
      <c r="J13" s="52" t="s">
        <v>87</v>
      </c>
      <c r="K13" s="52" t="s">
        <v>87</v>
      </c>
      <c r="L13" s="52" t="s">
        <v>87</v>
      </c>
      <c r="M13" s="52" t="s">
        <v>87</v>
      </c>
    </row>
    <row r="14" spans="2:13" ht="15.75" thickBot="1" x14ac:dyDescent="0.3">
      <c r="D14" s="117">
        <v>2021</v>
      </c>
      <c r="E14" s="118">
        <v>2022</v>
      </c>
      <c r="F14" s="119">
        <v>2023</v>
      </c>
      <c r="G14" s="119">
        <v>2024</v>
      </c>
      <c r="H14" s="119">
        <v>2025</v>
      </c>
      <c r="I14" s="119">
        <v>2026</v>
      </c>
      <c r="J14" s="119">
        <v>2027</v>
      </c>
      <c r="K14" s="119">
        <v>2028</v>
      </c>
      <c r="L14" s="119">
        <v>2029</v>
      </c>
      <c r="M14" s="119">
        <v>2030</v>
      </c>
    </row>
    <row r="15" spans="2:13" x14ac:dyDescent="0.25">
      <c r="D15" s="1">
        <v>1</v>
      </c>
      <c r="E15" s="1">
        <v>2</v>
      </c>
      <c r="F15" s="1">
        <v>3</v>
      </c>
      <c r="G15" s="1">
        <v>4</v>
      </c>
      <c r="H15" s="1">
        <v>5</v>
      </c>
      <c r="I15" s="116">
        <v>6</v>
      </c>
      <c r="J15" s="116">
        <v>7</v>
      </c>
      <c r="K15" s="116">
        <v>8</v>
      </c>
      <c r="L15" s="116">
        <v>9</v>
      </c>
      <c r="M15" s="116">
        <v>10</v>
      </c>
    </row>
    <row r="16" spans="2:13" x14ac:dyDescent="0.25">
      <c r="B16" s="95" t="s">
        <v>85</v>
      </c>
      <c r="C16" s="96" t="s">
        <v>268</v>
      </c>
      <c r="D16" s="113" t="s">
        <v>91</v>
      </c>
      <c r="E16" s="113" t="s">
        <v>91</v>
      </c>
      <c r="F16" s="113" t="s">
        <v>91</v>
      </c>
      <c r="G16" s="113" t="s">
        <v>91</v>
      </c>
      <c r="H16" s="113" t="s">
        <v>91</v>
      </c>
      <c r="I16" s="113">
        <v>100000</v>
      </c>
      <c r="J16" s="113">
        <v>100000</v>
      </c>
      <c r="K16" s="113">
        <v>100000</v>
      </c>
      <c r="L16" s="113">
        <v>100000</v>
      </c>
      <c r="M16" s="113">
        <v>100000</v>
      </c>
    </row>
    <row r="17" spans="2:13" x14ac:dyDescent="0.25">
      <c r="B17" s="52"/>
    </row>
    <row r="18" spans="2:13" x14ac:dyDescent="0.25">
      <c r="B18" s="75" t="s">
        <v>33</v>
      </c>
      <c r="C18" s="99" t="s">
        <v>268</v>
      </c>
      <c r="D18" s="115" t="s">
        <v>91</v>
      </c>
      <c r="E18" s="115" t="s">
        <v>91</v>
      </c>
      <c r="F18" s="115" t="s">
        <v>91</v>
      </c>
      <c r="G18" s="115" t="s">
        <v>91</v>
      </c>
      <c r="H18" s="115" t="s">
        <v>91</v>
      </c>
      <c r="I18" s="115">
        <v>150000</v>
      </c>
      <c r="J18" s="115">
        <v>150000</v>
      </c>
      <c r="K18" s="115">
        <v>150000</v>
      </c>
      <c r="L18" s="115">
        <v>150000</v>
      </c>
      <c r="M18" s="115">
        <v>150000</v>
      </c>
    </row>
    <row r="19" spans="2:13" x14ac:dyDescent="0.25">
      <c r="B19" s="52"/>
    </row>
    <row r="20" spans="2:13" x14ac:dyDescent="0.25">
      <c r="B20" s="74" t="s">
        <v>83</v>
      </c>
      <c r="C20" s="100" t="s">
        <v>268</v>
      </c>
      <c r="D20" s="114" t="s">
        <v>91</v>
      </c>
      <c r="E20" s="114" t="s">
        <v>91</v>
      </c>
      <c r="F20" s="114" t="s">
        <v>91</v>
      </c>
      <c r="G20" s="114" t="s">
        <v>91</v>
      </c>
      <c r="H20" s="114" t="s">
        <v>91</v>
      </c>
      <c r="I20" s="114">
        <v>250000</v>
      </c>
      <c r="J20" s="114">
        <v>250000</v>
      </c>
      <c r="K20" s="114">
        <v>250000</v>
      </c>
      <c r="L20" s="114">
        <v>250000</v>
      </c>
      <c r="M20" s="114">
        <v>250000</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95B3A-5FF5-438F-9228-9FE23D3A9E2D}">
  <sheetPr>
    <tabColor theme="2"/>
  </sheetPr>
  <dimension ref="B2:M26"/>
  <sheetViews>
    <sheetView workbookViewId="0">
      <selection activeCell="C32" sqref="C32"/>
    </sheetView>
  </sheetViews>
  <sheetFormatPr defaultRowHeight="15" x14ac:dyDescent="0.25"/>
  <cols>
    <col min="3" max="3" width="16.42578125" customWidth="1"/>
    <col min="9" max="10" width="9.5703125" bestFit="1" customWidth="1"/>
    <col min="11" max="11" width="9.28515625" bestFit="1" customWidth="1"/>
    <col min="12" max="12" width="9.5703125" bestFit="1" customWidth="1"/>
    <col min="13" max="13" width="9.28515625" bestFit="1" customWidth="1"/>
  </cols>
  <sheetData>
    <row r="2" spans="2:2" ht="18.75" x14ac:dyDescent="0.3">
      <c r="B2" s="68" t="s">
        <v>44</v>
      </c>
    </row>
    <row r="17" spans="2:13" x14ac:dyDescent="0.25">
      <c r="B17" s="64" t="s">
        <v>386</v>
      </c>
    </row>
    <row r="19" spans="2:13" ht="15.75" thickBot="1" x14ac:dyDescent="0.3">
      <c r="D19" s="52" t="s">
        <v>86</v>
      </c>
      <c r="E19" s="52" t="s">
        <v>86</v>
      </c>
      <c r="F19" s="52" t="s">
        <v>87</v>
      </c>
      <c r="G19" s="52" t="s">
        <v>87</v>
      </c>
      <c r="H19" s="52" t="s">
        <v>87</v>
      </c>
      <c r="I19" s="52" t="s">
        <v>87</v>
      </c>
      <c r="J19" s="52" t="s">
        <v>87</v>
      </c>
      <c r="K19" s="52" t="s">
        <v>87</v>
      </c>
      <c r="L19" s="52" t="s">
        <v>87</v>
      </c>
      <c r="M19" s="52" t="s">
        <v>87</v>
      </c>
    </row>
    <row r="20" spans="2:13" ht="15.75" thickBot="1" x14ac:dyDescent="0.3">
      <c r="D20" s="117">
        <v>2021</v>
      </c>
      <c r="E20" s="118">
        <v>2022</v>
      </c>
      <c r="F20" s="119">
        <v>2023</v>
      </c>
      <c r="G20" s="119">
        <v>2024</v>
      </c>
      <c r="H20" s="119">
        <v>2025</v>
      </c>
      <c r="I20" s="119">
        <v>2026</v>
      </c>
      <c r="J20" s="119">
        <v>2027</v>
      </c>
      <c r="K20" s="119">
        <v>2028</v>
      </c>
      <c r="L20" s="119">
        <v>2029</v>
      </c>
      <c r="M20" s="119">
        <v>2030</v>
      </c>
    </row>
    <row r="21" spans="2:13" x14ac:dyDescent="0.25">
      <c r="D21" s="1">
        <v>1</v>
      </c>
      <c r="E21" s="1">
        <v>2</v>
      </c>
      <c r="F21" s="1">
        <v>3</v>
      </c>
      <c r="G21" s="1">
        <v>4</v>
      </c>
      <c r="H21" s="1">
        <v>5</v>
      </c>
      <c r="I21" s="116">
        <v>6</v>
      </c>
      <c r="J21" s="116">
        <v>7</v>
      </c>
      <c r="K21" s="116">
        <v>8</v>
      </c>
      <c r="L21" s="116">
        <v>9</v>
      </c>
      <c r="M21" s="116">
        <v>10</v>
      </c>
    </row>
    <row r="22" spans="2:13" x14ac:dyDescent="0.25">
      <c r="B22" s="95" t="s">
        <v>85</v>
      </c>
      <c r="C22" s="96" t="s">
        <v>268</v>
      </c>
      <c r="D22" s="113" t="s">
        <v>91</v>
      </c>
      <c r="E22" s="113" t="s">
        <v>91</v>
      </c>
      <c r="F22" s="113" t="s">
        <v>91</v>
      </c>
      <c r="G22" s="113" t="s">
        <v>91</v>
      </c>
      <c r="H22" s="113" t="s">
        <v>91</v>
      </c>
      <c r="I22" s="113">
        <v>50000</v>
      </c>
      <c r="J22" s="113">
        <v>100000</v>
      </c>
      <c r="K22" s="113">
        <v>100000</v>
      </c>
      <c r="L22" s="113">
        <v>100000</v>
      </c>
      <c r="M22" s="113">
        <v>100000</v>
      </c>
    </row>
    <row r="23" spans="2:13" x14ac:dyDescent="0.25">
      <c r="B23" s="52"/>
    </row>
    <row r="24" spans="2:13" x14ac:dyDescent="0.25">
      <c r="B24" s="75" t="s">
        <v>33</v>
      </c>
      <c r="C24" s="99" t="s">
        <v>268</v>
      </c>
      <c r="D24" s="115" t="s">
        <v>91</v>
      </c>
      <c r="E24" s="115" t="s">
        <v>91</v>
      </c>
      <c r="F24" s="115" t="s">
        <v>91</v>
      </c>
      <c r="G24" s="115" t="s">
        <v>91</v>
      </c>
      <c r="H24" s="115" t="s">
        <v>91</v>
      </c>
      <c r="I24" s="115">
        <v>100000</v>
      </c>
      <c r="J24" s="115">
        <v>200000</v>
      </c>
      <c r="K24" s="115">
        <v>200000</v>
      </c>
      <c r="L24" s="115">
        <v>250000</v>
      </c>
      <c r="M24" s="115">
        <v>250000</v>
      </c>
    </row>
    <row r="25" spans="2:13" x14ac:dyDescent="0.25">
      <c r="B25" s="52"/>
    </row>
    <row r="26" spans="2:13" x14ac:dyDescent="0.25">
      <c r="B26" s="74" t="s">
        <v>83</v>
      </c>
      <c r="C26" s="100" t="s">
        <v>268</v>
      </c>
      <c r="D26" s="114" t="s">
        <v>91</v>
      </c>
      <c r="E26" s="114" t="s">
        <v>91</v>
      </c>
      <c r="F26" s="114" t="s">
        <v>91</v>
      </c>
      <c r="G26" s="114" t="s">
        <v>91</v>
      </c>
      <c r="H26" s="114" t="s">
        <v>91</v>
      </c>
      <c r="I26" s="114">
        <v>250000</v>
      </c>
      <c r="J26" s="114">
        <v>300000</v>
      </c>
      <c r="K26" s="114">
        <v>400000</v>
      </c>
      <c r="L26" s="114">
        <v>400000</v>
      </c>
      <c r="M26" s="114">
        <v>400000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AADDA-6F49-4BE3-A486-B24EAADC97C2}">
  <sheetPr>
    <tabColor theme="2"/>
  </sheetPr>
  <dimension ref="B2:M72"/>
  <sheetViews>
    <sheetView topLeftCell="A21" zoomScale="115" zoomScaleNormal="115" workbookViewId="0">
      <selection activeCell="C32" sqref="C32"/>
    </sheetView>
  </sheetViews>
  <sheetFormatPr defaultRowHeight="15" x14ac:dyDescent="0.25"/>
  <cols>
    <col min="2" max="2" width="19.42578125" bestFit="1" customWidth="1"/>
    <col min="3" max="3" width="36.5703125" bestFit="1" customWidth="1"/>
    <col min="4" max="4" width="9.7109375" customWidth="1"/>
    <col min="5" max="5" width="11" customWidth="1"/>
    <col min="6" max="6" width="8.7109375" customWidth="1"/>
    <col min="7" max="13" width="10.42578125" customWidth="1"/>
  </cols>
  <sheetData>
    <row r="2" spans="2:13" ht="18.75" x14ac:dyDescent="0.3">
      <c r="B2" s="68" t="s">
        <v>92</v>
      </c>
    </row>
    <row r="3" spans="2:13" x14ac:dyDescent="0.25">
      <c r="B3" s="64"/>
    </row>
    <row r="4" spans="2:13" x14ac:dyDescent="0.25">
      <c r="B4" s="64"/>
    </row>
    <row r="5" spans="2:13" x14ac:dyDescent="0.25">
      <c r="B5" s="64"/>
    </row>
    <row r="6" spans="2:13" x14ac:dyDescent="0.25">
      <c r="B6" s="64"/>
    </row>
    <row r="7" spans="2:13" x14ac:dyDescent="0.25">
      <c r="B7" s="64"/>
    </row>
    <row r="8" spans="2:13" x14ac:dyDescent="0.25">
      <c r="B8" s="64"/>
    </row>
    <row r="9" spans="2:13" x14ac:dyDescent="0.25">
      <c r="B9" s="64"/>
    </row>
    <row r="10" spans="2:13" x14ac:dyDescent="0.25">
      <c r="B10" s="64"/>
    </row>
    <row r="11" spans="2:13" x14ac:dyDescent="0.25">
      <c r="B11" s="64"/>
    </row>
    <row r="12" spans="2:13" x14ac:dyDescent="0.25">
      <c r="B12" s="64"/>
    </row>
    <row r="13" spans="2:13" x14ac:dyDescent="0.25">
      <c r="B13" s="64"/>
    </row>
    <row r="14" spans="2:13" x14ac:dyDescent="0.25">
      <c r="B14" s="64"/>
    </row>
    <row r="15" spans="2:13" ht="15.75" thickBot="1" x14ac:dyDescent="0.3">
      <c r="D15" s="52" t="s">
        <v>86</v>
      </c>
      <c r="E15" s="52" t="s">
        <v>86</v>
      </c>
      <c r="F15" s="52" t="s">
        <v>87</v>
      </c>
      <c r="G15" s="52" t="s">
        <v>87</v>
      </c>
      <c r="H15" s="52" t="s">
        <v>87</v>
      </c>
      <c r="I15" s="52" t="s">
        <v>87</v>
      </c>
      <c r="J15" s="52" t="s">
        <v>87</v>
      </c>
      <c r="K15" s="52" t="s">
        <v>87</v>
      </c>
      <c r="L15" s="52" t="s">
        <v>87</v>
      </c>
      <c r="M15" s="52" t="s">
        <v>87</v>
      </c>
    </row>
    <row r="16" spans="2:13" ht="15.75" thickBot="1" x14ac:dyDescent="0.3">
      <c r="C16" s="52" t="s">
        <v>363</v>
      </c>
      <c r="D16" s="117">
        <v>2021</v>
      </c>
      <c r="E16" s="118">
        <v>2022</v>
      </c>
      <c r="F16" s="119">
        <v>2023</v>
      </c>
      <c r="G16" s="119">
        <v>2024</v>
      </c>
      <c r="H16" s="119">
        <v>2025</v>
      </c>
      <c r="I16" s="119">
        <v>2026</v>
      </c>
      <c r="J16" s="119">
        <v>2027</v>
      </c>
      <c r="K16" s="119">
        <v>2028</v>
      </c>
      <c r="L16" s="119">
        <v>2029</v>
      </c>
      <c r="M16" s="119">
        <v>2030</v>
      </c>
    </row>
    <row r="17" spans="2:13" x14ac:dyDescent="0.25">
      <c r="D17" s="228">
        <v>1</v>
      </c>
      <c r="E17" s="228">
        <v>2</v>
      </c>
      <c r="F17" s="228">
        <v>3</v>
      </c>
      <c r="G17" s="228">
        <v>4</v>
      </c>
      <c r="H17" s="228">
        <v>5</v>
      </c>
      <c r="I17" s="116">
        <v>6</v>
      </c>
      <c r="J17" s="116">
        <v>7</v>
      </c>
      <c r="K17" s="116">
        <v>8</v>
      </c>
      <c r="L17" s="116">
        <v>9</v>
      </c>
      <c r="M17" s="116">
        <v>10</v>
      </c>
    </row>
    <row r="18" spans="2:13" x14ac:dyDescent="0.25">
      <c r="D18" s="1"/>
      <c r="E18" s="1"/>
      <c r="F18" s="1"/>
      <c r="G18" s="1"/>
      <c r="H18" s="1"/>
      <c r="I18" s="116"/>
      <c r="J18" s="116"/>
      <c r="K18" s="116"/>
      <c r="L18" s="116"/>
      <c r="M18" s="116"/>
    </row>
    <row r="19" spans="2:13" x14ac:dyDescent="0.25">
      <c r="C19" t="s">
        <v>98</v>
      </c>
      <c r="D19" s="1"/>
      <c r="E19" s="1"/>
      <c r="F19" s="1"/>
      <c r="G19" s="1"/>
      <c r="H19" s="1"/>
      <c r="I19">
        <v>0.5</v>
      </c>
      <c r="J19">
        <v>0.5</v>
      </c>
      <c r="K19">
        <v>0.5</v>
      </c>
      <c r="L19">
        <v>0.5</v>
      </c>
      <c r="M19">
        <v>0.5</v>
      </c>
    </row>
    <row r="20" spans="2:13" x14ac:dyDescent="0.25">
      <c r="C20" t="s">
        <v>99</v>
      </c>
      <c r="D20" s="1"/>
      <c r="E20" s="1"/>
      <c r="F20" s="1"/>
      <c r="G20" s="1"/>
      <c r="H20" s="1"/>
      <c r="I20">
        <v>0.5</v>
      </c>
      <c r="J20">
        <v>0.5</v>
      </c>
      <c r="K20">
        <v>0.5</v>
      </c>
      <c r="L20">
        <v>1</v>
      </c>
      <c r="M20">
        <v>1</v>
      </c>
    </row>
    <row r="21" spans="2:13" x14ac:dyDescent="0.25">
      <c r="C21" t="s">
        <v>100</v>
      </c>
      <c r="D21" s="1"/>
      <c r="E21" s="1"/>
      <c r="F21" s="1"/>
      <c r="G21" s="1"/>
      <c r="H21" s="1"/>
      <c r="I21">
        <v>0.5</v>
      </c>
      <c r="J21">
        <v>0.5</v>
      </c>
      <c r="K21">
        <v>0.5</v>
      </c>
      <c r="L21">
        <v>0.5</v>
      </c>
      <c r="M21">
        <v>0.5</v>
      </c>
    </row>
    <row r="22" spans="2:13" x14ac:dyDescent="0.25">
      <c r="C22" t="s">
        <v>101</v>
      </c>
      <c r="D22" s="1"/>
      <c r="E22" s="1"/>
      <c r="F22" s="1"/>
      <c r="G22" s="1"/>
      <c r="H22" s="1"/>
      <c r="I22">
        <v>0.5</v>
      </c>
      <c r="J22">
        <v>0.5</v>
      </c>
      <c r="K22">
        <v>0.5</v>
      </c>
      <c r="L22">
        <v>0.5</v>
      </c>
      <c r="M22">
        <v>0.5</v>
      </c>
    </row>
    <row r="23" spans="2:13" x14ac:dyDescent="0.25">
      <c r="C23" t="s">
        <v>102</v>
      </c>
      <c r="D23" s="1"/>
      <c r="E23" s="1"/>
      <c r="F23" s="1"/>
      <c r="G23" s="1"/>
      <c r="H23" s="1"/>
      <c r="I23">
        <v>0.5</v>
      </c>
      <c r="J23">
        <v>0.5</v>
      </c>
      <c r="K23">
        <v>0.5</v>
      </c>
      <c r="L23">
        <v>0.5</v>
      </c>
      <c r="M23">
        <v>0.5</v>
      </c>
    </row>
    <row r="24" spans="2:13" x14ac:dyDescent="0.25">
      <c r="C24" t="s">
        <v>301</v>
      </c>
      <c r="D24" s="1"/>
      <c r="E24" s="1"/>
      <c r="F24" s="1"/>
      <c r="G24" s="1"/>
      <c r="H24" s="1"/>
      <c r="I24">
        <v>2</v>
      </c>
      <c r="J24">
        <v>2</v>
      </c>
      <c r="K24">
        <v>2</v>
      </c>
      <c r="L24">
        <v>2</v>
      </c>
      <c r="M24">
        <v>2</v>
      </c>
    </row>
    <row r="25" spans="2:13" x14ac:dyDescent="0.25">
      <c r="C25" s="134" t="s">
        <v>320</v>
      </c>
      <c r="D25" s="1"/>
      <c r="E25" s="1"/>
      <c r="F25" s="1"/>
      <c r="G25" s="1"/>
      <c r="H25" s="1"/>
      <c r="I25">
        <v>0.5</v>
      </c>
      <c r="J25">
        <v>0.5</v>
      </c>
      <c r="K25">
        <v>0.5</v>
      </c>
      <c r="L25">
        <v>0.5</v>
      </c>
      <c r="M25">
        <v>0.5</v>
      </c>
    </row>
    <row r="26" spans="2:13" x14ac:dyDescent="0.25">
      <c r="B26" s="95" t="s">
        <v>85</v>
      </c>
      <c r="C26" s="96" t="s">
        <v>93</v>
      </c>
      <c r="D26" s="113" t="s">
        <v>91</v>
      </c>
      <c r="E26" s="113" t="s">
        <v>91</v>
      </c>
      <c r="F26" s="113" t="s">
        <v>91</v>
      </c>
      <c r="G26" s="113" t="s">
        <v>91</v>
      </c>
      <c r="H26" s="113" t="s">
        <v>91</v>
      </c>
      <c r="I26" s="113">
        <f>SUM(I19:I25)</f>
        <v>5</v>
      </c>
      <c r="J26" s="113">
        <v>5</v>
      </c>
      <c r="K26" s="113">
        <v>5</v>
      </c>
      <c r="L26" s="113">
        <f>SUM(L19:L25)</f>
        <v>5.5</v>
      </c>
      <c r="M26" s="113">
        <f>SUM(M19:M25)</f>
        <v>5.5</v>
      </c>
    </row>
    <row r="28" spans="2:13" x14ac:dyDescent="0.25">
      <c r="C28" t="s">
        <v>98</v>
      </c>
      <c r="I28">
        <v>1</v>
      </c>
      <c r="J28">
        <v>1</v>
      </c>
      <c r="K28">
        <v>1</v>
      </c>
      <c r="L28">
        <v>1</v>
      </c>
      <c r="M28">
        <v>1</v>
      </c>
    </row>
    <row r="29" spans="2:13" x14ac:dyDescent="0.25">
      <c r="C29" t="s">
        <v>99</v>
      </c>
      <c r="I29">
        <v>1</v>
      </c>
      <c r="J29">
        <v>1</v>
      </c>
      <c r="K29">
        <v>2</v>
      </c>
      <c r="L29">
        <v>2</v>
      </c>
      <c r="M29">
        <v>2</v>
      </c>
    </row>
    <row r="30" spans="2:13" x14ac:dyDescent="0.25">
      <c r="C30" t="s">
        <v>100</v>
      </c>
      <c r="I30">
        <v>0.5</v>
      </c>
      <c r="J30">
        <v>0.5</v>
      </c>
      <c r="K30">
        <v>0.5</v>
      </c>
      <c r="L30">
        <v>0.5</v>
      </c>
      <c r="M30">
        <v>0.5</v>
      </c>
    </row>
    <row r="31" spans="2:13" x14ac:dyDescent="0.25">
      <c r="C31" t="s">
        <v>101</v>
      </c>
      <c r="I31">
        <v>0.5</v>
      </c>
      <c r="J31">
        <v>0.5</v>
      </c>
      <c r="K31">
        <v>0.5</v>
      </c>
      <c r="L31">
        <v>0.5</v>
      </c>
      <c r="M31">
        <v>0.5</v>
      </c>
    </row>
    <row r="32" spans="2:13" x14ac:dyDescent="0.25">
      <c r="C32" t="s">
        <v>102</v>
      </c>
      <c r="I32">
        <v>1</v>
      </c>
      <c r="J32">
        <v>2</v>
      </c>
      <c r="K32">
        <v>2</v>
      </c>
      <c r="L32">
        <v>2</v>
      </c>
      <c r="M32">
        <v>2</v>
      </c>
    </row>
    <row r="33" spans="2:13" x14ac:dyDescent="0.25">
      <c r="C33" t="s">
        <v>301</v>
      </c>
      <c r="I33">
        <v>2</v>
      </c>
      <c r="J33">
        <v>2</v>
      </c>
      <c r="K33">
        <v>3</v>
      </c>
      <c r="L33">
        <v>3</v>
      </c>
      <c r="M33">
        <v>3</v>
      </c>
    </row>
    <row r="34" spans="2:13" x14ac:dyDescent="0.25">
      <c r="C34" s="134" t="s">
        <v>104</v>
      </c>
      <c r="I34">
        <v>1</v>
      </c>
      <c r="J34">
        <v>1</v>
      </c>
      <c r="K34">
        <v>1</v>
      </c>
      <c r="L34">
        <v>1</v>
      </c>
      <c r="M34">
        <v>1</v>
      </c>
    </row>
    <row r="35" spans="2:13" x14ac:dyDescent="0.25">
      <c r="B35" s="52"/>
    </row>
    <row r="36" spans="2:13" x14ac:dyDescent="0.25">
      <c r="B36" s="75" t="s">
        <v>33</v>
      </c>
      <c r="C36" s="99" t="s">
        <v>93</v>
      </c>
      <c r="D36" s="115" t="s">
        <v>91</v>
      </c>
      <c r="E36" s="115" t="s">
        <v>91</v>
      </c>
      <c r="F36" s="115" t="s">
        <v>91</v>
      </c>
      <c r="G36" s="115" t="s">
        <v>91</v>
      </c>
      <c r="H36" s="115" t="s">
        <v>91</v>
      </c>
      <c r="I36" s="115">
        <f>SUM(I28:I35)</f>
        <v>7</v>
      </c>
      <c r="J36" s="115">
        <f>SUM(J28:J35)</f>
        <v>8</v>
      </c>
      <c r="K36" s="115">
        <f>SUM(K28:K35)</f>
        <v>10</v>
      </c>
      <c r="L36" s="115">
        <f>SUM(L28:L35)</f>
        <v>10</v>
      </c>
      <c r="M36" s="115">
        <f>SUM(M28:M35)</f>
        <v>10</v>
      </c>
    </row>
    <row r="38" spans="2:13" x14ac:dyDescent="0.25">
      <c r="C38" t="s">
        <v>98</v>
      </c>
      <c r="I38">
        <v>1</v>
      </c>
      <c r="J38">
        <v>1</v>
      </c>
      <c r="K38">
        <v>1</v>
      </c>
      <c r="L38">
        <v>1</v>
      </c>
      <c r="M38">
        <v>1</v>
      </c>
    </row>
    <row r="39" spans="2:13" x14ac:dyDescent="0.25">
      <c r="C39" t="s">
        <v>99</v>
      </c>
      <c r="I39">
        <v>2</v>
      </c>
      <c r="J39">
        <v>2</v>
      </c>
      <c r="K39">
        <v>2</v>
      </c>
      <c r="L39">
        <v>3</v>
      </c>
      <c r="M39">
        <v>3</v>
      </c>
    </row>
    <row r="40" spans="2:13" x14ac:dyDescent="0.25">
      <c r="C40" t="s">
        <v>100</v>
      </c>
      <c r="I40">
        <v>1</v>
      </c>
      <c r="J40">
        <v>1</v>
      </c>
      <c r="K40">
        <v>1</v>
      </c>
      <c r="L40">
        <v>1</v>
      </c>
      <c r="M40">
        <v>1</v>
      </c>
    </row>
    <row r="41" spans="2:13" x14ac:dyDescent="0.25">
      <c r="C41" t="s">
        <v>101</v>
      </c>
      <c r="I41">
        <v>1</v>
      </c>
      <c r="J41">
        <v>1</v>
      </c>
      <c r="K41">
        <v>1</v>
      </c>
      <c r="L41">
        <v>1.5</v>
      </c>
      <c r="M41">
        <v>2</v>
      </c>
    </row>
    <row r="42" spans="2:13" x14ac:dyDescent="0.25">
      <c r="C42" t="s">
        <v>102</v>
      </c>
      <c r="I42">
        <v>2</v>
      </c>
      <c r="J42">
        <v>2</v>
      </c>
      <c r="K42">
        <v>2</v>
      </c>
      <c r="L42">
        <v>3</v>
      </c>
      <c r="M42">
        <v>3</v>
      </c>
    </row>
    <row r="43" spans="2:13" x14ac:dyDescent="0.25">
      <c r="C43" t="s">
        <v>301</v>
      </c>
      <c r="I43">
        <v>4</v>
      </c>
      <c r="J43">
        <v>4</v>
      </c>
      <c r="K43">
        <v>4</v>
      </c>
      <c r="L43">
        <v>5</v>
      </c>
      <c r="M43">
        <v>5</v>
      </c>
    </row>
    <row r="44" spans="2:13" x14ac:dyDescent="0.25">
      <c r="C44" s="134" t="s">
        <v>104</v>
      </c>
      <c r="I44">
        <v>1</v>
      </c>
      <c r="J44">
        <v>1</v>
      </c>
      <c r="K44">
        <v>2</v>
      </c>
      <c r="L44">
        <v>2</v>
      </c>
      <c r="M44">
        <v>2</v>
      </c>
    </row>
    <row r="45" spans="2:13" x14ac:dyDescent="0.25">
      <c r="B45" s="52"/>
    </row>
    <row r="46" spans="2:13" x14ac:dyDescent="0.25">
      <c r="B46" s="74" t="s">
        <v>83</v>
      </c>
      <c r="C46" s="100" t="s">
        <v>93</v>
      </c>
      <c r="D46" s="114" t="s">
        <v>91</v>
      </c>
      <c r="E46" s="114" t="s">
        <v>91</v>
      </c>
      <c r="F46" s="114" t="s">
        <v>91</v>
      </c>
      <c r="G46" s="114" t="s">
        <v>91</v>
      </c>
      <c r="H46" s="114" t="s">
        <v>91</v>
      </c>
      <c r="I46" s="114">
        <f>SUM(I38:I44)</f>
        <v>12</v>
      </c>
      <c r="J46" s="114">
        <f>SUM(J38:J44)</f>
        <v>12</v>
      </c>
      <c r="K46" s="114">
        <f>SUM(K38:K44)</f>
        <v>13</v>
      </c>
      <c r="L46" s="114">
        <f>SUM(L38:L44)</f>
        <v>16.5</v>
      </c>
      <c r="M46" s="114">
        <f>SUM(M38:M44)</f>
        <v>17</v>
      </c>
    </row>
    <row r="63" spans="3:6" ht="27" customHeight="1" x14ac:dyDescent="0.25">
      <c r="C63" s="52" t="s">
        <v>94</v>
      </c>
      <c r="D63" s="145" t="s">
        <v>95</v>
      </c>
      <c r="E63" s="146" t="s">
        <v>96</v>
      </c>
      <c r="F63" s="147" t="s">
        <v>97</v>
      </c>
    </row>
    <row r="64" spans="3:6" x14ac:dyDescent="0.25">
      <c r="C64" t="s">
        <v>98</v>
      </c>
      <c r="D64">
        <v>0.5</v>
      </c>
      <c r="E64">
        <v>1</v>
      </c>
      <c r="F64">
        <v>1</v>
      </c>
    </row>
    <row r="65" spans="3:6" x14ac:dyDescent="0.25">
      <c r="C65" t="s">
        <v>99</v>
      </c>
      <c r="D65">
        <v>0.5</v>
      </c>
      <c r="E65">
        <v>1</v>
      </c>
      <c r="F65">
        <v>2</v>
      </c>
    </row>
    <row r="66" spans="3:6" x14ac:dyDescent="0.25">
      <c r="C66" t="s">
        <v>100</v>
      </c>
      <c r="D66">
        <v>0.5</v>
      </c>
      <c r="E66">
        <v>0.5</v>
      </c>
      <c r="F66">
        <v>1</v>
      </c>
    </row>
    <row r="67" spans="3:6" x14ac:dyDescent="0.25">
      <c r="C67" t="s">
        <v>101</v>
      </c>
      <c r="D67">
        <v>0.5</v>
      </c>
      <c r="E67">
        <v>0.5</v>
      </c>
      <c r="F67">
        <v>1</v>
      </c>
    </row>
    <row r="68" spans="3:6" x14ac:dyDescent="0.25">
      <c r="C68" t="s">
        <v>102</v>
      </c>
      <c r="D68">
        <v>0.5</v>
      </c>
      <c r="E68">
        <v>1</v>
      </c>
      <c r="F68">
        <v>2</v>
      </c>
    </row>
    <row r="69" spans="3:6" x14ac:dyDescent="0.25">
      <c r="C69" t="s">
        <v>301</v>
      </c>
      <c r="D69" s="53">
        <v>2</v>
      </c>
      <c r="E69" s="53">
        <v>3</v>
      </c>
      <c r="F69" s="53">
        <v>6</v>
      </c>
    </row>
    <row r="70" spans="3:6" x14ac:dyDescent="0.25">
      <c r="C70" s="134" t="s">
        <v>104</v>
      </c>
      <c r="D70">
        <v>0.5</v>
      </c>
      <c r="E70">
        <v>1</v>
      </c>
      <c r="F70">
        <v>1.5</v>
      </c>
    </row>
    <row r="71" spans="3:6" ht="15.75" thickBot="1" x14ac:dyDescent="0.3">
      <c r="C71" s="52" t="s">
        <v>105</v>
      </c>
      <c r="D71" s="144">
        <f>SUM(D64:D70)</f>
        <v>5</v>
      </c>
      <c r="E71" s="144">
        <f>SUM(E64:E70)</f>
        <v>8</v>
      </c>
      <c r="F71" s="144">
        <f>SUM(F64:F70)</f>
        <v>14.5</v>
      </c>
    </row>
    <row r="72" spans="3:6" ht="15.75" thickTop="1" x14ac:dyDescent="0.25"/>
  </sheetData>
  <pageMargins left="0.7" right="0.7" top="0.75" bottom="0.75" header="0.3" footer="0.3"/>
  <pageSetup paperSize="9" orientation="portrait" horizontalDpi="4294967293"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A98B2-3ABA-4B23-A414-FD5A096497B5}">
  <sheetPr>
    <tabColor theme="2"/>
  </sheetPr>
  <dimension ref="B1:N16"/>
  <sheetViews>
    <sheetView workbookViewId="0">
      <selection activeCell="C32" sqref="C32"/>
    </sheetView>
  </sheetViews>
  <sheetFormatPr defaultRowHeight="15" x14ac:dyDescent="0.25"/>
  <cols>
    <col min="2" max="2" width="63.140625" bestFit="1" customWidth="1"/>
    <col min="3" max="12" width="11.140625" customWidth="1"/>
  </cols>
  <sheetData>
    <row r="1" spans="2:14" ht="18.75" x14ac:dyDescent="0.3">
      <c r="B1" s="68" t="s">
        <v>212</v>
      </c>
      <c r="J1" t="s">
        <v>107</v>
      </c>
      <c r="K1" s="60" t="s">
        <v>213</v>
      </c>
    </row>
    <row r="2" spans="2:14" ht="15.75" x14ac:dyDescent="0.3">
      <c r="B2" s="250" t="s">
        <v>214</v>
      </c>
      <c r="N2" s="60"/>
    </row>
    <row r="4" spans="2:14" ht="15.75" thickBot="1" x14ac:dyDescent="0.3">
      <c r="C4" t="s">
        <v>86</v>
      </c>
      <c r="D4" t="s">
        <v>86</v>
      </c>
      <c r="E4" t="s">
        <v>87</v>
      </c>
      <c r="F4" t="s">
        <v>87</v>
      </c>
      <c r="G4" t="s">
        <v>87</v>
      </c>
      <c r="H4" t="s">
        <v>87</v>
      </c>
      <c r="I4" t="s">
        <v>87</v>
      </c>
      <c r="J4" t="s">
        <v>87</v>
      </c>
      <c r="K4" t="s">
        <v>87</v>
      </c>
      <c r="L4" t="s">
        <v>87</v>
      </c>
    </row>
    <row r="5" spans="2:14" ht="15.75" thickBot="1" x14ac:dyDescent="0.3">
      <c r="C5" s="54">
        <v>2021</v>
      </c>
      <c r="D5" s="56">
        <v>2022</v>
      </c>
      <c r="E5" s="57">
        <v>2023</v>
      </c>
      <c r="F5" s="57">
        <v>2024</v>
      </c>
      <c r="G5" s="57">
        <v>2025</v>
      </c>
      <c r="H5" s="57">
        <v>2026</v>
      </c>
      <c r="I5" s="57">
        <v>2027</v>
      </c>
      <c r="J5" s="57">
        <v>2028</v>
      </c>
      <c r="K5" s="57">
        <v>2029</v>
      </c>
      <c r="L5" s="57">
        <v>2030</v>
      </c>
    </row>
    <row r="6" spans="2:14" ht="15.75" thickBot="1" x14ac:dyDescent="0.3">
      <c r="B6" s="105" t="s">
        <v>215</v>
      </c>
      <c r="C6" s="105">
        <v>1</v>
      </c>
      <c r="D6" s="105">
        <v>2</v>
      </c>
      <c r="E6" s="105">
        <v>3</v>
      </c>
      <c r="F6" s="105">
        <v>4</v>
      </c>
      <c r="G6" s="105">
        <v>5</v>
      </c>
      <c r="H6" s="105">
        <v>6</v>
      </c>
      <c r="I6" s="105">
        <v>7</v>
      </c>
      <c r="J6" s="105">
        <v>8</v>
      </c>
      <c r="K6" s="105">
        <v>9</v>
      </c>
      <c r="L6" s="105">
        <v>10</v>
      </c>
    </row>
    <row r="7" spans="2:14" ht="15.75" thickBot="1" x14ac:dyDescent="0.3">
      <c r="B7" s="58" t="s">
        <v>216</v>
      </c>
      <c r="C7" s="55">
        <v>2.6</v>
      </c>
      <c r="D7" s="55">
        <v>8.4</v>
      </c>
      <c r="E7" s="55">
        <v>5.3</v>
      </c>
      <c r="F7" s="55">
        <v>2.9</v>
      </c>
      <c r="G7" s="55">
        <v>2.1</v>
      </c>
      <c r="H7" s="59">
        <v>2</v>
      </c>
      <c r="I7" s="59">
        <v>2</v>
      </c>
      <c r="J7" s="59">
        <v>2</v>
      </c>
      <c r="K7" s="59">
        <v>2</v>
      </c>
      <c r="L7" s="59">
        <v>2</v>
      </c>
    </row>
    <row r="8" spans="2:14" x14ac:dyDescent="0.25">
      <c r="B8" s="58" t="s">
        <v>217</v>
      </c>
      <c r="C8" s="91">
        <v>0.1</v>
      </c>
      <c r="D8" s="91">
        <v>3.2</v>
      </c>
      <c r="E8" s="91">
        <v>5.0999999999999996</v>
      </c>
      <c r="F8" s="91">
        <v>3.2</v>
      </c>
      <c r="G8" s="91">
        <v>2.2999999999999998</v>
      </c>
      <c r="H8" s="92">
        <v>2</v>
      </c>
      <c r="I8" s="92">
        <v>2</v>
      </c>
      <c r="J8" s="92">
        <v>2</v>
      </c>
      <c r="K8" s="92">
        <v>2</v>
      </c>
      <c r="L8" s="92">
        <v>2</v>
      </c>
    </row>
    <row r="9" spans="2:14" ht="15.75" thickBot="1" x14ac:dyDescent="0.3">
      <c r="B9" s="58" t="s">
        <v>284</v>
      </c>
      <c r="C9" s="93">
        <f>C7*0.3+C8*0.7</f>
        <v>0.85</v>
      </c>
      <c r="D9" s="93">
        <f t="shared" ref="D9:L11" si="0">D7*0.3+D8*0.7</f>
        <v>4.76</v>
      </c>
      <c r="E9" s="93">
        <f t="shared" si="0"/>
        <v>5.1599999999999993</v>
      </c>
      <c r="F9" s="93">
        <f t="shared" si="0"/>
        <v>3.11</v>
      </c>
      <c r="G9" s="93">
        <f t="shared" si="0"/>
        <v>2.2399999999999998</v>
      </c>
      <c r="H9" s="93">
        <f t="shared" si="0"/>
        <v>2</v>
      </c>
      <c r="I9" s="93">
        <f t="shared" si="0"/>
        <v>2</v>
      </c>
      <c r="J9" s="93">
        <f t="shared" si="0"/>
        <v>2</v>
      </c>
      <c r="K9" s="93">
        <f t="shared" si="0"/>
        <v>2</v>
      </c>
      <c r="L9" s="93">
        <f t="shared" si="0"/>
        <v>2</v>
      </c>
    </row>
    <row r="10" spans="2:14" ht="16.5" thickTop="1" thickBot="1" x14ac:dyDescent="0.3">
      <c r="B10" s="58" t="s">
        <v>285</v>
      </c>
      <c r="C10" s="93">
        <f>C8*0.3+C9*0.7</f>
        <v>0.625</v>
      </c>
      <c r="D10" s="93">
        <f t="shared" si="0"/>
        <v>4.2919999999999998</v>
      </c>
      <c r="E10" s="93">
        <f t="shared" si="0"/>
        <v>5.1419999999999995</v>
      </c>
      <c r="F10" s="93">
        <v>4</v>
      </c>
      <c r="G10" s="93">
        <v>3</v>
      </c>
      <c r="H10" s="93">
        <v>3</v>
      </c>
      <c r="I10" s="93">
        <v>3</v>
      </c>
      <c r="J10" s="93">
        <v>2.5</v>
      </c>
      <c r="K10" s="93">
        <v>2.5</v>
      </c>
      <c r="L10" s="93">
        <v>2.5</v>
      </c>
    </row>
    <row r="11" spans="2:14" ht="16.5" thickTop="1" thickBot="1" x14ac:dyDescent="0.3">
      <c r="B11" s="58" t="s">
        <v>286</v>
      </c>
      <c r="C11" s="93">
        <f>C9*0.3+C10*0.7</f>
        <v>0.6925</v>
      </c>
      <c r="D11" s="93">
        <f t="shared" si="0"/>
        <v>4.4323999999999995</v>
      </c>
      <c r="E11" s="93">
        <f t="shared" si="0"/>
        <v>5.1473999999999993</v>
      </c>
      <c r="F11" s="93">
        <v>5</v>
      </c>
      <c r="G11" s="93">
        <v>5</v>
      </c>
      <c r="H11" s="93">
        <v>5</v>
      </c>
      <c r="I11" s="93">
        <v>5</v>
      </c>
      <c r="J11" s="93">
        <v>5</v>
      </c>
      <c r="K11" s="93">
        <v>5</v>
      </c>
      <c r="L11" s="93">
        <v>5</v>
      </c>
    </row>
    <row r="12" spans="2:14" ht="15.75" thickTop="1" x14ac:dyDescent="0.25"/>
    <row r="14" spans="2:14" x14ac:dyDescent="0.25">
      <c r="B14" s="52" t="s">
        <v>218</v>
      </c>
      <c r="C14" t="s">
        <v>85</v>
      </c>
      <c r="D14" s="87">
        <v>1</v>
      </c>
      <c r="E14" s="87">
        <f>D14+(E9/100)</f>
        <v>1.0516000000000001</v>
      </c>
      <c r="F14" s="87">
        <f t="shared" ref="F14:L16" si="1">E14+(F9/100)</f>
        <v>1.0827</v>
      </c>
      <c r="G14" s="87">
        <f t="shared" si="1"/>
        <v>1.1051</v>
      </c>
      <c r="H14" s="87">
        <f t="shared" si="1"/>
        <v>1.1251</v>
      </c>
      <c r="I14" s="87">
        <f t="shared" si="1"/>
        <v>1.1451</v>
      </c>
      <c r="J14" s="87">
        <f t="shared" si="1"/>
        <v>1.1651</v>
      </c>
      <c r="K14" s="87">
        <f t="shared" si="1"/>
        <v>1.1851</v>
      </c>
      <c r="L14" s="87">
        <f t="shared" si="1"/>
        <v>1.2051000000000001</v>
      </c>
      <c r="M14" s="60"/>
      <c r="N14" s="60"/>
    </row>
    <row r="15" spans="2:14" x14ac:dyDescent="0.25">
      <c r="C15" t="s">
        <v>33</v>
      </c>
      <c r="D15">
        <v>1</v>
      </c>
      <c r="E15" s="87">
        <f>D15+(E10/100)</f>
        <v>1.05142</v>
      </c>
      <c r="F15" s="87">
        <f t="shared" si="1"/>
        <v>1.0914200000000001</v>
      </c>
      <c r="G15" s="87">
        <f t="shared" si="1"/>
        <v>1.1214200000000001</v>
      </c>
      <c r="H15" s="87">
        <f t="shared" si="1"/>
        <v>1.1514200000000001</v>
      </c>
      <c r="I15" s="87">
        <f t="shared" si="1"/>
        <v>1.1814200000000001</v>
      </c>
      <c r="J15" s="87">
        <f t="shared" si="1"/>
        <v>1.20642</v>
      </c>
      <c r="K15" s="87">
        <f t="shared" si="1"/>
        <v>1.23142</v>
      </c>
      <c r="L15" s="87">
        <f t="shared" si="1"/>
        <v>1.2564199999999999</v>
      </c>
    </row>
    <row r="16" spans="2:14" x14ac:dyDescent="0.25">
      <c r="C16" t="s">
        <v>83</v>
      </c>
      <c r="D16">
        <v>1</v>
      </c>
      <c r="E16" s="87">
        <f>D16+(E11/100)</f>
        <v>1.051474</v>
      </c>
      <c r="F16" s="87">
        <f t="shared" si="1"/>
        <v>1.1014740000000001</v>
      </c>
      <c r="G16" s="87">
        <f t="shared" si="1"/>
        <v>1.1514740000000001</v>
      </c>
      <c r="H16" s="87">
        <f t="shared" si="1"/>
        <v>1.2014740000000002</v>
      </c>
      <c r="I16" s="87">
        <f t="shared" si="1"/>
        <v>1.2514740000000002</v>
      </c>
      <c r="J16" s="87">
        <f t="shared" si="1"/>
        <v>1.3014740000000002</v>
      </c>
      <c r="K16" s="87">
        <f t="shared" si="1"/>
        <v>1.3514740000000003</v>
      </c>
      <c r="L16" s="87">
        <f t="shared" si="1"/>
        <v>1.4014740000000003</v>
      </c>
    </row>
  </sheetData>
  <hyperlinks>
    <hyperlink ref="K1" r:id="rId1" xr:uid="{BC65D99F-CFD1-4F1C-BE19-CE00FC43B7EA}"/>
  </hyperlinks>
  <pageMargins left="0.7" right="0.7" top="0.75" bottom="0.75" header="0.3" footer="0.3"/>
  <pageSetup paperSize="9" orientation="portrait" horizontalDpi="4294967293" verticalDpi="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5B51A-E8D3-4D2E-A721-528ABF72058E}">
  <sheetPr>
    <tabColor theme="7"/>
  </sheetPr>
  <dimension ref="A1:B12"/>
  <sheetViews>
    <sheetView workbookViewId="0">
      <selection activeCell="A3" sqref="A3:B3"/>
    </sheetView>
  </sheetViews>
  <sheetFormatPr defaultRowHeight="15" x14ac:dyDescent="0.25"/>
  <cols>
    <col min="1" max="1" width="6" customWidth="1"/>
    <col min="2" max="2" width="104.42578125" customWidth="1"/>
  </cols>
  <sheetData>
    <row r="1" spans="1:2" ht="19.5" x14ac:dyDescent="0.3">
      <c r="A1" s="12" t="s">
        <v>219</v>
      </c>
    </row>
    <row r="3" spans="1:2" ht="52.5" customHeight="1" x14ac:dyDescent="0.25">
      <c r="A3" s="289" t="s">
        <v>299</v>
      </c>
      <c r="B3" s="290"/>
    </row>
    <row r="5" spans="1:2" ht="17.25" x14ac:dyDescent="0.3">
      <c r="A5" s="22" t="s">
        <v>220</v>
      </c>
      <c r="B5" s="163" t="s">
        <v>221</v>
      </c>
    </row>
    <row r="6" spans="1:2" ht="25.5" x14ac:dyDescent="0.25">
      <c r="A6" s="46" t="s">
        <v>0</v>
      </c>
      <c r="B6" s="164" t="s">
        <v>292</v>
      </c>
    </row>
    <row r="7" spans="1:2" ht="25.5" x14ac:dyDescent="0.25">
      <c r="A7" s="46" t="s">
        <v>1</v>
      </c>
      <c r="B7" s="164" t="s">
        <v>293</v>
      </c>
    </row>
    <row r="8" spans="1:2" ht="25.5" x14ac:dyDescent="0.25">
      <c r="A8" s="46" t="s">
        <v>2</v>
      </c>
      <c r="B8" s="165" t="s">
        <v>294</v>
      </c>
    </row>
    <row r="9" spans="1:2" ht="38.25" x14ac:dyDescent="0.25">
      <c r="A9" s="46" t="s">
        <v>3</v>
      </c>
      <c r="B9" s="164" t="s">
        <v>295</v>
      </c>
    </row>
    <row r="10" spans="1:2" ht="25.5" x14ac:dyDescent="0.25">
      <c r="A10" s="46" t="s">
        <v>5</v>
      </c>
      <c r="B10" s="164" t="s">
        <v>296</v>
      </c>
    </row>
    <row r="11" spans="1:2" ht="25.5" x14ac:dyDescent="0.25">
      <c r="A11" s="46" t="s">
        <v>6</v>
      </c>
      <c r="B11" s="164" t="s">
        <v>297</v>
      </c>
    </row>
    <row r="12" spans="1:2" ht="38.25" x14ac:dyDescent="0.25">
      <c r="A12" s="46" t="s">
        <v>7</v>
      </c>
      <c r="B12" s="164" t="s">
        <v>298</v>
      </c>
    </row>
  </sheetData>
  <mergeCells count="1">
    <mergeCell ref="A3:B3"/>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7523D-E0F2-41C6-9FC7-176BE870085D}">
  <sheetPr>
    <tabColor theme="8" tint="0.39997558519241921"/>
    <pageSetUpPr fitToPage="1"/>
  </sheetPr>
  <dimension ref="A1:G26"/>
  <sheetViews>
    <sheetView workbookViewId="0">
      <selection activeCell="A17" sqref="A17"/>
    </sheetView>
  </sheetViews>
  <sheetFormatPr defaultColWidth="9.140625" defaultRowHeight="15" x14ac:dyDescent="0.25"/>
  <cols>
    <col min="1" max="1" width="58.7109375" style="2" bestFit="1" customWidth="1"/>
    <col min="2" max="2" width="21.140625" style="2" customWidth="1"/>
    <col min="3" max="3" width="18.42578125" style="16" customWidth="1"/>
    <col min="4" max="4" width="9" style="2" customWidth="1"/>
    <col min="5" max="5" width="18.42578125" style="2" customWidth="1"/>
    <col min="6" max="6" width="6.7109375" style="2" customWidth="1"/>
    <col min="7" max="7" width="60.7109375" style="2" customWidth="1"/>
    <col min="8" max="16384" width="9.140625" style="2"/>
  </cols>
  <sheetData>
    <row r="1" spans="1:7" ht="34.5" x14ac:dyDescent="0.3">
      <c r="B1" s="43" t="s">
        <v>222</v>
      </c>
      <c r="C1" s="8" t="s">
        <v>223</v>
      </c>
      <c r="E1" s="8" t="s">
        <v>224</v>
      </c>
      <c r="G1" s="23"/>
    </row>
    <row r="2" spans="1:7" ht="17.25" x14ac:dyDescent="0.3">
      <c r="A2" s="21" t="s">
        <v>225</v>
      </c>
      <c r="B2" s="14"/>
      <c r="C2" s="18" t="s">
        <v>226</v>
      </c>
      <c r="D2" s="14"/>
      <c r="E2" s="18" t="s">
        <v>226</v>
      </c>
      <c r="G2" s="23"/>
    </row>
    <row r="3" spans="1:7" x14ac:dyDescent="0.25">
      <c r="A3" s="2" t="s">
        <v>227</v>
      </c>
      <c r="B3" s="44">
        <v>1</v>
      </c>
      <c r="C3" s="4">
        <v>2000000</v>
      </c>
      <c r="D3" s="15"/>
      <c r="E3" s="40" t="s">
        <v>228</v>
      </c>
    </row>
    <row r="4" spans="1:7" x14ac:dyDescent="0.25">
      <c r="B4" s="16"/>
      <c r="C4" s="3"/>
      <c r="E4" s="3"/>
    </row>
    <row r="5" spans="1:7" ht="17.25" x14ac:dyDescent="0.3">
      <c r="A5" s="21" t="s">
        <v>229</v>
      </c>
      <c r="B5" s="16"/>
      <c r="C5" s="17" t="s">
        <v>230</v>
      </c>
      <c r="E5" s="17" t="s">
        <v>230</v>
      </c>
    </row>
    <row r="6" spans="1:7" x14ac:dyDescent="0.25">
      <c r="A6" s="2" t="s">
        <v>231</v>
      </c>
      <c r="B6" s="44">
        <v>3</v>
      </c>
      <c r="C6" s="4">
        <v>2000</v>
      </c>
      <c r="D6" s="15"/>
      <c r="E6" s="4">
        <v>2000</v>
      </c>
    </row>
    <row r="7" spans="1:7" x14ac:dyDescent="0.25">
      <c r="A7" s="2" t="s">
        <v>232</v>
      </c>
      <c r="B7" s="44">
        <v>3</v>
      </c>
      <c r="C7" s="4">
        <v>3000</v>
      </c>
      <c r="D7" s="15"/>
      <c r="E7" s="4">
        <v>3000</v>
      </c>
    </row>
    <row r="8" spans="1:7" x14ac:dyDescent="0.25">
      <c r="A8" s="2" t="s">
        <v>233</v>
      </c>
      <c r="B8" s="44">
        <v>4</v>
      </c>
      <c r="C8" s="4">
        <v>2500</v>
      </c>
      <c r="D8" s="15"/>
      <c r="E8" s="4">
        <v>2500</v>
      </c>
    </row>
    <row r="9" spans="1:7" x14ac:dyDescent="0.25">
      <c r="B9" s="16"/>
      <c r="E9" s="16"/>
    </row>
    <row r="10" spans="1:7" ht="17.25" x14ac:dyDescent="0.3">
      <c r="A10" s="21" t="s">
        <v>234</v>
      </c>
      <c r="B10" s="16"/>
      <c r="C10" s="17" t="s">
        <v>235</v>
      </c>
      <c r="E10" s="17" t="s">
        <v>235</v>
      </c>
    </row>
    <row r="11" spans="1:7" x14ac:dyDescent="0.25">
      <c r="A11" s="2" t="s">
        <v>236</v>
      </c>
      <c r="B11" s="44">
        <v>5</v>
      </c>
      <c r="C11" s="5">
        <v>2000</v>
      </c>
      <c r="D11" s="15"/>
      <c r="E11" s="5">
        <v>2000</v>
      </c>
    </row>
    <row r="12" spans="1:7" x14ac:dyDescent="0.25">
      <c r="A12" s="2" t="s">
        <v>237</v>
      </c>
      <c r="B12" s="44">
        <v>6</v>
      </c>
      <c r="C12" s="5">
        <v>1000</v>
      </c>
      <c r="D12" s="15"/>
      <c r="E12" s="5">
        <v>1000</v>
      </c>
    </row>
    <row r="13" spans="1:7" x14ac:dyDescent="0.25">
      <c r="B13" s="16"/>
      <c r="C13" s="2"/>
    </row>
    <row r="14" spans="1:7" ht="17.25" x14ac:dyDescent="0.3">
      <c r="A14" s="39" t="s">
        <v>238</v>
      </c>
      <c r="B14" s="16"/>
      <c r="C14" s="17" t="s">
        <v>239</v>
      </c>
      <c r="E14" s="17" t="s">
        <v>239</v>
      </c>
    </row>
    <row r="15" spans="1:7" ht="30" x14ac:dyDescent="0.25">
      <c r="A15" s="48" t="s">
        <v>240</v>
      </c>
      <c r="B15" s="44">
        <v>7</v>
      </c>
      <c r="C15" s="41">
        <v>0.1</v>
      </c>
      <c r="E15" s="41">
        <v>0.9</v>
      </c>
    </row>
    <row r="16" spans="1:7" ht="30" x14ac:dyDescent="0.25">
      <c r="A16" s="48" t="s">
        <v>241</v>
      </c>
      <c r="B16" s="44">
        <v>8</v>
      </c>
      <c r="C16" s="10">
        <v>0.1</v>
      </c>
      <c r="E16" s="10">
        <v>0.75</v>
      </c>
    </row>
    <row r="17" spans="1:7" x14ac:dyDescent="0.25">
      <c r="A17" s="48"/>
      <c r="B17" s="16"/>
      <c r="C17" s="2"/>
    </row>
    <row r="18" spans="1:7" ht="17.25" x14ac:dyDescent="0.3">
      <c r="A18" s="21" t="s">
        <v>242</v>
      </c>
      <c r="B18" s="16"/>
      <c r="C18" s="17" t="s">
        <v>239</v>
      </c>
      <c r="E18" s="17" t="s">
        <v>239</v>
      </c>
    </row>
    <row r="19" spans="1:7" x14ac:dyDescent="0.25">
      <c r="A19" s="47" t="s">
        <v>243</v>
      </c>
      <c r="B19" s="44">
        <v>8</v>
      </c>
      <c r="C19" s="6">
        <v>7.0000000000000007E-2</v>
      </c>
      <c r="D19" s="15"/>
      <c r="E19" s="6">
        <v>0.3</v>
      </c>
      <c r="G19" s="42"/>
    </row>
    <row r="20" spans="1:7" x14ac:dyDescent="0.25">
      <c r="A20" s="47" t="s">
        <v>244</v>
      </c>
      <c r="B20" s="44">
        <v>9</v>
      </c>
      <c r="C20" s="6">
        <v>0.2</v>
      </c>
      <c r="D20" s="15"/>
      <c r="E20" s="6">
        <v>0</v>
      </c>
      <c r="G20" s="42"/>
    </row>
    <row r="21" spans="1:7" x14ac:dyDescent="0.25">
      <c r="A21" s="47" t="s">
        <v>245</v>
      </c>
      <c r="B21" s="44">
        <v>10</v>
      </c>
      <c r="C21" s="6">
        <v>0.03</v>
      </c>
      <c r="D21" s="15"/>
      <c r="E21" s="6">
        <v>0.1</v>
      </c>
      <c r="G21" s="42"/>
    </row>
    <row r="22" spans="1:7" x14ac:dyDescent="0.25">
      <c r="A22" s="13" t="s">
        <v>246</v>
      </c>
      <c r="B22" s="44">
        <v>11</v>
      </c>
      <c r="C22" s="6">
        <v>0.05</v>
      </c>
      <c r="D22" s="15"/>
      <c r="E22" s="6">
        <v>0.5</v>
      </c>
      <c r="G22" s="42"/>
    </row>
    <row r="23" spans="1:7" x14ac:dyDescent="0.25">
      <c r="A23" s="13" t="s">
        <v>247</v>
      </c>
      <c r="B23" s="44">
        <v>12</v>
      </c>
      <c r="C23" s="10">
        <v>0.4</v>
      </c>
      <c r="D23" s="15"/>
      <c r="E23" s="10">
        <v>0.1</v>
      </c>
      <c r="G23" s="42"/>
    </row>
    <row r="24" spans="1:7" x14ac:dyDescent="0.25">
      <c r="A24" s="13" t="s">
        <v>248</v>
      </c>
      <c r="B24" s="44">
        <v>13</v>
      </c>
      <c r="C24" s="11">
        <f>100%-SUM(C19:C23)</f>
        <v>0.25</v>
      </c>
      <c r="D24" s="15"/>
      <c r="E24" s="11">
        <f>100%-SUM(E19:E23)</f>
        <v>0</v>
      </c>
    </row>
    <row r="25" spans="1:7" x14ac:dyDescent="0.25">
      <c r="B25" s="16"/>
      <c r="C25" s="1"/>
      <c r="E25" s="1"/>
    </row>
    <row r="26" spans="1:7" x14ac:dyDescent="0.25">
      <c r="A26" s="13" t="s">
        <v>249</v>
      </c>
      <c r="B26" s="45"/>
    </row>
  </sheetData>
  <pageMargins left="0.70866141732283472" right="0.70866141732283472" top="0.74803149606299213" bottom="0.74803149606299213" header="0.31496062992125984" footer="0.31496062992125984"/>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C0989-A5A0-4BB0-9EBC-DC4FACE3BA3C}">
  <sheetPr>
    <tabColor theme="8" tint="0.39997558519241921"/>
  </sheetPr>
  <dimension ref="A1:I20"/>
  <sheetViews>
    <sheetView topLeftCell="A2" zoomScaleNormal="100" workbookViewId="0">
      <selection activeCell="A15" sqref="A15"/>
    </sheetView>
  </sheetViews>
  <sheetFormatPr defaultColWidth="9.140625" defaultRowHeight="15" x14ac:dyDescent="0.25"/>
  <cols>
    <col min="1" max="1" width="43.5703125" style="2" bestFit="1" customWidth="1"/>
    <col min="2" max="2" width="4.28515625" style="2" customWidth="1"/>
    <col min="3" max="3" width="14.28515625" style="2" customWidth="1"/>
    <col min="4" max="4" width="4.28515625" style="2" customWidth="1"/>
    <col min="5" max="5" width="14.28515625" style="2" customWidth="1"/>
    <col min="6" max="6" width="4.28515625" style="2" customWidth="1"/>
    <col min="7" max="7" width="13.42578125" style="2" customWidth="1"/>
    <col min="8" max="16384" width="9.140625" style="2"/>
  </cols>
  <sheetData>
    <row r="1" spans="1:9" ht="19.5" x14ac:dyDescent="0.3">
      <c r="A1" s="12" t="s">
        <v>250</v>
      </c>
    </row>
    <row r="3" spans="1:9" ht="34.5" x14ac:dyDescent="0.3">
      <c r="A3" s="19"/>
      <c r="B3" s="20"/>
      <c r="C3" s="8" t="str">
        <f>'Input - standalone'!C1</f>
        <v>2019  
BASELINE</v>
      </c>
      <c r="D3" s="7"/>
      <c r="E3" s="8" t="str">
        <f>'Input - standalone'!E1</f>
        <v>PLANNING SCENARIO</v>
      </c>
      <c r="F3" s="7"/>
      <c r="G3" s="8" t="s">
        <v>251</v>
      </c>
    </row>
    <row r="4" spans="1:9" ht="17.25" x14ac:dyDescent="0.3">
      <c r="A4" s="38" t="s">
        <v>252</v>
      </c>
      <c r="B4" s="37"/>
      <c r="C4" s="25" t="s">
        <v>253</v>
      </c>
      <c r="D4" s="24"/>
      <c r="E4" s="25" t="s">
        <v>253</v>
      </c>
      <c r="F4" s="37"/>
      <c r="G4" s="37"/>
    </row>
    <row r="5" spans="1:9" ht="15.75" x14ac:dyDescent="0.25">
      <c r="A5" s="26" t="s">
        <v>254</v>
      </c>
      <c r="B5" s="27"/>
      <c r="C5" s="27">
        <f>'Input - standalone'!C6*'Input - standalone'!C12*'Input - standalone'!C19</f>
        <v>140000</v>
      </c>
      <c r="D5" s="27"/>
      <c r="E5" s="27">
        <f>'Input - standalone'!E6*'Input - standalone'!E12*'Input - standalone'!E19</f>
        <v>600000</v>
      </c>
      <c r="F5" s="27"/>
      <c r="G5" s="28">
        <f>(E5-C5)/C5</f>
        <v>3.2857142857142856</v>
      </c>
    </row>
    <row r="6" spans="1:9" ht="15.75" x14ac:dyDescent="0.25">
      <c r="A6" s="26" t="s">
        <v>255</v>
      </c>
      <c r="B6" s="27"/>
      <c r="C6" s="27">
        <f>'Input - standalone'!C7*'Input - standalone'!C12*'Input - standalone'!C20</f>
        <v>600000</v>
      </c>
      <c r="D6" s="27"/>
      <c r="E6" s="27">
        <f>'Input - standalone'!E7*'Input - standalone'!E12*'Input - standalone'!E20</f>
        <v>0</v>
      </c>
      <c r="F6" s="27"/>
      <c r="G6" s="28">
        <f>(E6-C6)/C6</f>
        <v>-1</v>
      </c>
    </row>
    <row r="7" spans="1:9" ht="15.75" x14ac:dyDescent="0.25">
      <c r="A7" s="26" t="s">
        <v>256</v>
      </c>
      <c r="B7" s="27"/>
      <c r="C7" s="27">
        <f>'Input - standalone'!$C$3*'Input - standalone'!C15*(1-'Input - standalone'!C16)</f>
        <v>180000</v>
      </c>
      <c r="D7" s="27"/>
      <c r="E7" s="27">
        <f>'Input - standalone'!$C$3*'Input - standalone'!E15*(1-'Input - standalone'!E16)</f>
        <v>450000</v>
      </c>
      <c r="F7" s="27"/>
      <c r="G7" s="28"/>
    </row>
    <row r="8" spans="1:9" ht="15.75" x14ac:dyDescent="0.25">
      <c r="A8" s="26" t="s">
        <v>257</v>
      </c>
      <c r="B8" s="27"/>
      <c r="C8" s="27">
        <f>'Input - standalone'!C8*'Input - standalone'!C12*'Input - standalone'!C22*'Input - standalone'!C16</f>
        <v>12500</v>
      </c>
      <c r="D8" s="27"/>
      <c r="E8" s="27">
        <f>'Input - standalone'!E8*'Input - standalone'!E12*'Input - standalone'!E22*'Input - standalone'!E16</f>
        <v>937500</v>
      </c>
      <c r="F8" s="27"/>
      <c r="G8" s="28">
        <f>(E8-C8)/C8</f>
        <v>74</v>
      </c>
    </row>
    <row r="9" spans="1:9" ht="15.75" x14ac:dyDescent="0.25">
      <c r="A9" s="26" t="s">
        <v>258</v>
      </c>
      <c r="B9" s="27"/>
      <c r="C9" s="27">
        <f>'Input - standalone'!C3*(1-'Input - standalone'!C15)</f>
        <v>1800000</v>
      </c>
      <c r="D9" s="27"/>
      <c r="E9" s="27">
        <f>'Input - standalone'!C3*(1-'Input - standalone'!E15)</f>
        <v>199999.99999999994</v>
      </c>
      <c r="F9" s="27"/>
      <c r="G9" s="28">
        <f>(E9-C9)/C9</f>
        <v>-0.88888888888888884</v>
      </c>
    </row>
    <row r="10" spans="1:9" ht="15.75" x14ac:dyDescent="0.25">
      <c r="A10" s="26"/>
      <c r="B10" s="26"/>
      <c r="C10" s="29"/>
      <c r="D10" s="26"/>
      <c r="E10" s="26"/>
      <c r="F10" s="26"/>
      <c r="G10" s="26"/>
    </row>
    <row r="11" spans="1:9" ht="16.5" thickBot="1" x14ac:dyDescent="0.3">
      <c r="A11" s="30" t="s">
        <v>259</v>
      </c>
      <c r="B11" s="31"/>
      <c r="C11" s="32">
        <f>SUM(C5:C9)</f>
        <v>2732500</v>
      </c>
      <c r="D11" s="31"/>
      <c r="E11" s="32">
        <f>SUM(E5:E9)</f>
        <v>2187500</v>
      </c>
      <c r="F11" s="31"/>
      <c r="G11" s="33">
        <f>(E11-C11)/C11</f>
        <v>-0.19945105215004574</v>
      </c>
    </row>
    <row r="12" spans="1:9" ht="15.75" thickTop="1" x14ac:dyDescent="0.25"/>
    <row r="13" spans="1:9" ht="17.25" x14ac:dyDescent="0.3">
      <c r="A13" s="38" t="s">
        <v>260</v>
      </c>
      <c r="C13" s="25" t="s">
        <v>239</v>
      </c>
      <c r="E13" s="25" t="s">
        <v>239</v>
      </c>
      <c r="I13" s="23" t="s">
        <v>261</v>
      </c>
    </row>
    <row r="14" spans="1:9" ht="15.75" x14ac:dyDescent="0.25">
      <c r="A14" s="26" t="s">
        <v>262</v>
      </c>
      <c r="B14" s="26"/>
      <c r="C14" s="34">
        <f>SUM('Input - standalone'!C19:C22)</f>
        <v>0.35000000000000003</v>
      </c>
      <c r="D14" s="26"/>
      <c r="E14" s="34">
        <f>SUM('Input - standalone'!E19:E22)</f>
        <v>0.9</v>
      </c>
      <c r="F14" s="26"/>
      <c r="G14" s="28">
        <f>E14-C14</f>
        <v>0.55000000000000004</v>
      </c>
      <c r="I14" s="23" t="s">
        <v>263</v>
      </c>
    </row>
    <row r="15" spans="1:9" ht="15.75" x14ac:dyDescent="0.25">
      <c r="A15" s="26" t="s">
        <v>264</v>
      </c>
      <c r="B15" s="26"/>
      <c r="C15" s="34">
        <f>'Input - standalone'!C23</f>
        <v>0.4</v>
      </c>
      <c r="D15" s="26"/>
      <c r="E15" s="34">
        <f>'Input - standalone'!E23</f>
        <v>0.1</v>
      </c>
      <c r="F15" s="26"/>
      <c r="G15" s="28">
        <f>E15-C15</f>
        <v>-0.30000000000000004</v>
      </c>
    </row>
    <row r="16" spans="1:9" ht="16.5" thickBot="1" x14ac:dyDescent="0.3">
      <c r="A16" s="26" t="s">
        <v>265</v>
      </c>
      <c r="B16" s="26"/>
      <c r="C16" s="35">
        <f>SUM(C14:C15)</f>
        <v>0.75</v>
      </c>
      <c r="D16" s="26"/>
      <c r="E16" s="35">
        <f>SUM(E14:E15)</f>
        <v>1</v>
      </c>
      <c r="F16" s="26"/>
      <c r="G16" s="33">
        <f>SUM(G14:G15)</f>
        <v>0.25</v>
      </c>
    </row>
    <row r="17" spans="1:7" ht="16.5" thickTop="1" x14ac:dyDescent="0.25">
      <c r="A17" s="26"/>
      <c r="B17" s="26"/>
      <c r="C17" s="26"/>
      <c r="D17" s="26"/>
      <c r="E17" s="26"/>
      <c r="F17" s="26"/>
      <c r="G17" s="26"/>
    </row>
    <row r="18" spans="1:7" ht="15.75" x14ac:dyDescent="0.25">
      <c r="A18" s="26"/>
      <c r="B18" s="26"/>
      <c r="C18" s="26"/>
      <c r="D18" s="26"/>
      <c r="E18" s="26"/>
      <c r="F18" s="26"/>
      <c r="G18" s="26"/>
    </row>
    <row r="19" spans="1:7" ht="16.5" thickBot="1" x14ac:dyDescent="0.3">
      <c r="A19" s="26" t="s">
        <v>266</v>
      </c>
      <c r="B19" s="26"/>
      <c r="C19" s="36">
        <f>'Input - standalone'!C24</f>
        <v>0.25</v>
      </c>
      <c r="D19" s="26"/>
      <c r="E19" s="36">
        <f>'Input - standalone'!E24</f>
        <v>0</v>
      </c>
      <c r="F19" s="26"/>
      <c r="G19" s="28">
        <f>E19-C19</f>
        <v>-0.25</v>
      </c>
    </row>
    <row r="20" spans="1:7" ht="15.75" thickTop="1" x14ac:dyDescent="0.25"/>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BA8FD-1A7E-47C4-821D-1874BD456475}">
  <sheetPr>
    <tabColor theme="9"/>
  </sheetPr>
  <dimension ref="B2:J35"/>
  <sheetViews>
    <sheetView topLeftCell="A10" workbookViewId="0">
      <selection activeCell="C7" sqref="C7"/>
    </sheetView>
  </sheetViews>
  <sheetFormatPr defaultRowHeight="15" x14ac:dyDescent="0.25"/>
  <cols>
    <col min="2" max="2" width="43.85546875" customWidth="1"/>
    <col min="3" max="3" width="18.140625" customWidth="1"/>
    <col min="4" max="4" width="13.28515625" bestFit="1" customWidth="1"/>
    <col min="5" max="5" width="14.85546875" customWidth="1"/>
    <col min="6" max="8" width="13.28515625" bestFit="1" customWidth="1"/>
    <col min="9" max="9" width="13.5703125" customWidth="1"/>
  </cols>
  <sheetData>
    <row r="2" spans="2:9" x14ac:dyDescent="0.25">
      <c r="B2" s="64" t="s">
        <v>364</v>
      </c>
    </row>
    <row r="4" spans="2:9" s="184" customFormat="1" x14ac:dyDescent="0.25">
      <c r="B4" s="185" t="s">
        <v>366</v>
      </c>
      <c r="C4" s="186"/>
      <c r="D4" s="186"/>
      <c r="E4" s="186"/>
      <c r="F4" s="186"/>
      <c r="G4" s="186"/>
      <c r="H4" s="186"/>
      <c r="I4" s="186"/>
    </row>
    <row r="5" spans="2:9" s="184" customFormat="1" ht="34.5" customHeight="1" x14ac:dyDescent="0.25">
      <c r="B5" s="282" t="s">
        <v>326</v>
      </c>
      <c r="C5" s="271"/>
      <c r="D5" s="271"/>
      <c r="E5" s="271"/>
      <c r="F5" s="271"/>
      <c r="G5" s="271"/>
      <c r="H5" s="271"/>
      <c r="I5" s="271"/>
    </row>
    <row r="6" spans="2:9" x14ac:dyDescent="0.25">
      <c r="B6" s="180"/>
      <c r="C6" s="180"/>
      <c r="D6" s="180"/>
      <c r="E6" s="180"/>
      <c r="F6" s="180"/>
      <c r="G6" s="180"/>
      <c r="H6" s="180"/>
      <c r="I6" s="180"/>
    </row>
    <row r="7" spans="2:9" x14ac:dyDescent="0.25">
      <c r="B7" s="180" t="s">
        <v>17</v>
      </c>
      <c r="C7" s="181" t="s">
        <v>33</v>
      </c>
      <c r="D7" s="180"/>
      <c r="E7" s="180" t="s">
        <v>283</v>
      </c>
      <c r="F7" s="181" t="s">
        <v>33</v>
      </c>
      <c r="G7" s="180"/>
      <c r="H7" s="180"/>
      <c r="I7" s="180"/>
    </row>
    <row r="8" spans="2:9" s="51" customFormat="1" ht="30" x14ac:dyDescent="0.25">
      <c r="B8" s="182" t="s">
        <v>34</v>
      </c>
      <c r="C8" s="227" t="s">
        <v>35</v>
      </c>
      <c r="D8" s="182"/>
      <c r="E8" s="182" t="s">
        <v>288</v>
      </c>
      <c r="F8" s="227" t="s">
        <v>33</v>
      </c>
      <c r="G8" s="182"/>
      <c r="H8" s="182"/>
      <c r="I8" s="182"/>
    </row>
    <row r="9" spans="2:9" x14ac:dyDescent="0.25">
      <c r="B9" s="180" t="s">
        <v>322</v>
      </c>
      <c r="C9" s="181" t="s">
        <v>33</v>
      </c>
      <c r="D9" s="180"/>
      <c r="E9" s="180" t="s">
        <v>291</v>
      </c>
      <c r="F9" s="181" t="s">
        <v>33</v>
      </c>
      <c r="G9" s="180"/>
      <c r="H9" s="180"/>
      <c r="I9" s="180"/>
    </row>
    <row r="10" spans="2:9" x14ac:dyDescent="0.25">
      <c r="B10" s="180" t="s">
        <v>385</v>
      </c>
      <c r="C10" s="181" t="s">
        <v>33</v>
      </c>
      <c r="D10" s="180"/>
      <c r="E10" s="180" t="s">
        <v>384</v>
      </c>
      <c r="F10" s="181" t="s">
        <v>33</v>
      </c>
      <c r="G10" s="180"/>
      <c r="H10" s="180"/>
      <c r="I10" s="180"/>
    </row>
    <row r="13" spans="2:9" x14ac:dyDescent="0.25">
      <c r="B13" s="52"/>
      <c r="C13" s="52" t="s">
        <v>18</v>
      </c>
      <c r="D13" s="66">
        <v>2026</v>
      </c>
      <c r="E13" s="66">
        <v>2027</v>
      </c>
      <c r="F13" s="66">
        <v>2028</v>
      </c>
      <c r="G13" s="66">
        <v>2029</v>
      </c>
      <c r="H13" s="66">
        <v>2030</v>
      </c>
      <c r="I13" s="151" t="s">
        <v>271</v>
      </c>
    </row>
    <row r="14" spans="2:9" x14ac:dyDescent="0.25">
      <c r="B14" s="52"/>
      <c r="C14" s="52" t="s">
        <v>19</v>
      </c>
      <c r="D14" s="67" t="s">
        <v>20</v>
      </c>
      <c r="E14" s="67" t="s">
        <v>20</v>
      </c>
      <c r="F14" s="67" t="s">
        <v>20</v>
      </c>
      <c r="G14" s="67" t="s">
        <v>20</v>
      </c>
      <c r="H14" s="67" t="s">
        <v>20</v>
      </c>
      <c r="I14" s="152" t="s">
        <v>20</v>
      </c>
    </row>
    <row r="15" spans="2:9" x14ac:dyDescent="0.25">
      <c r="B15" s="52"/>
      <c r="C15" s="121" t="s">
        <v>21</v>
      </c>
      <c r="D15" s="121">
        <v>6</v>
      </c>
      <c r="E15" s="121">
        <v>7</v>
      </c>
      <c r="F15" s="121">
        <v>8</v>
      </c>
      <c r="G15" s="121">
        <v>9</v>
      </c>
      <c r="H15" s="121">
        <v>10</v>
      </c>
      <c r="I15" s="153"/>
    </row>
    <row r="16" spans="2:9" x14ac:dyDescent="0.25">
      <c r="I16" s="153"/>
    </row>
    <row r="17" spans="2:10" x14ac:dyDescent="0.25">
      <c r="B17" s="52" t="s">
        <v>22</v>
      </c>
      <c r="D17" s="127">
        <f>'2. Income &amp; exp - uninflated'!D$19*D31</f>
        <v>2099025.1365721002</v>
      </c>
      <c r="E17" s="127">
        <f>'2. Income &amp; exp - uninflated'!E$19*E31</f>
        <v>2813794.5969903828</v>
      </c>
      <c r="F17" s="127">
        <f>'2. Income &amp; exp - uninflated'!F$19*F31</f>
        <v>3757881.5170263248</v>
      </c>
      <c r="G17" s="127">
        <f>'2. Income &amp; exp - uninflated'!G$19*G31</f>
        <v>4305109.600230176</v>
      </c>
      <c r="H17" s="127">
        <f>'2. Income &amp; exp - uninflated'!H$19*H31</f>
        <v>4594794.8001389876</v>
      </c>
      <c r="I17" s="155">
        <f>SUM(D17:H17)</f>
        <v>17570605.650957972</v>
      </c>
    </row>
    <row r="18" spans="2:10" x14ac:dyDescent="0.25">
      <c r="I18" s="153"/>
    </row>
    <row r="19" spans="2:10" x14ac:dyDescent="0.25">
      <c r="B19" t="s">
        <v>380</v>
      </c>
      <c r="D19" s="78">
        <f>'2. Income &amp; exp - uninflated'!D24*D31</f>
        <v>516562.76359100011</v>
      </c>
      <c r="E19" s="78">
        <f>'2. Income &amp; exp - uninflated'!E24*E31</f>
        <v>840946.19214560033</v>
      </c>
      <c r="F19" s="78">
        <f>'2. Income &amp; exp - uninflated'!F24*F31</f>
        <v>1366747.7746329606</v>
      </c>
      <c r="G19" s="78">
        <f>'2. Income &amp; exp - uninflated'!G24*G31</f>
        <v>1740759.1522912006</v>
      </c>
      <c r="H19" s="78">
        <f>'2. Income &amp; exp - uninflated'!H24*H31</f>
        <v>1952453.1799203204</v>
      </c>
      <c r="I19" s="156">
        <f t="shared" ref="I19:I24" si="0">SUM(D19:H19)</f>
        <v>6417469.0625810819</v>
      </c>
      <c r="J19" s="50">
        <f>I19/$I$24</f>
        <v>0.40302699533389713</v>
      </c>
    </row>
    <row r="20" spans="2:10" x14ac:dyDescent="0.25">
      <c r="B20" t="s">
        <v>301</v>
      </c>
      <c r="D20" s="78">
        <f>'2. Income &amp; exp - uninflated'!D30*D31</f>
        <v>208982.73</v>
      </c>
      <c r="E20" s="78">
        <f>'2. Income &amp; exp - uninflated'!E30*E31</f>
        <v>214427.73</v>
      </c>
      <c r="F20" s="78">
        <f>'2. Income &amp; exp - uninflated'!F30*F31</f>
        <v>218965.23</v>
      </c>
      <c r="G20" s="78">
        <f>'2. Income &amp; exp - uninflated'!G30*G31</f>
        <v>223502.72999999998</v>
      </c>
      <c r="H20" s="78">
        <f>'2. Income &amp; exp - uninflated'!H30*H31</f>
        <v>228040.22999999998</v>
      </c>
      <c r="I20" s="156">
        <f t="shared" si="0"/>
        <v>1093918.6499999999</v>
      </c>
      <c r="J20" s="50">
        <f>I20/$I$24</f>
        <v>6.8699785281379017E-2</v>
      </c>
    </row>
    <row r="21" spans="2:10" x14ac:dyDescent="0.25">
      <c r="B21" s="62" t="s">
        <v>44</v>
      </c>
      <c r="D21" s="78">
        <f>'2. Income &amp; exp - uninflated'!D33*D31</f>
        <v>139321.82</v>
      </c>
      <c r="E21" s="78">
        <f>'2. Income &amp; exp - uninflated'!E33*E31</f>
        <v>285903.64</v>
      </c>
      <c r="F21" s="78">
        <f>'2. Income &amp; exp - uninflated'!F33*F31</f>
        <v>291953.64</v>
      </c>
      <c r="G21" s="78">
        <f>'2. Income &amp; exp - uninflated'!G33*G31</f>
        <v>372504.55</v>
      </c>
      <c r="H21" s="78">
        <f>'2. Income &amp; exp - uninflated'!H33*H31</f>
        <v>380067.05</v>
      </c>
      <c r="I21" s="156">
        <f t="shared" si="0"/>
        <v>1469750.7000000002</v>
      </c>
      <c r="J21" s="50">
        <f t="shared" ref="J21:J23" si="1">I21/$I$24</f>
        <v>9.2302620041404854E-2</v>
      </c>
    </row>
    <row r="22" spans="2:10" ht="14.1" customHeight="1" x14ac:dyDescent="0.25">
      <c r="B22" t="s">
        <v>23</v>
      </c>
      <c r="D22" s="78">
        <f>'2. Income &amp; exp - uninflated'!D36*D31</f>
        <v>805994.00000000012</v>
      </c>
      <c r="E22" s="78">
        <f>'2. Income &amp; exp - uninflated'!E36*E31</f>
        <v>945136.00000000012</v>
      </c>
      <c r="F22" s="78">
        <f>'2. Income &amp; exp - uninflated'!F36*F31</f>
        <v>1206420</v>
      </c>
      <c r="G22" s="78">
        <f>'2. Income &amp; exp - uninflated'!G36*G31</f>
        <v>1231420</v>
      </c>
      <c r="H22" s="78">
        <f>'2. Income &amp; exp - uninflated'!H36*H31</f>
        <v>1256419.9999999998</v>
      </c>
      <c r="I22" s="156">
        <f t="shared" si="0"/>
        <v>5445390</v>
      </c>
      <c r="J22" s="50">
        <f t="shared" si="1"/>
        <v>0.34197892482532277</v>
      </c>
    </row>
    <row r="23" spans="2:10" x14ac:dyDescent="0.25">
      <c r="B23" t="s">
        <v>24</v>
      </c>
      <c r="D23" s="78">
        <f>'2. Income &amp; exp - uninflated'!D56*D31</f>
        <v>237343.35602000004</v>
      </c>
      <c r="E23" s="78">
        <f>'2. Income &amp; exp - uninflated'!E56*E31</f>
        <v>268021.66688000003</v>
      </c>
      <c r="F23" s="78">
        <f>'2. Income &amp; exp - uninflated'!F56*F31</f>
        <v>323718.67859999998</v>
      </c>
      <c r="G23" s="78">
        <f>'2. Income &amp; exp - uninflated'!G56*G31</f>
        <v>330426.92859999998</v>
      </c>
      <c r="H23" s="78">
        <f>'2. Income &amp; exp - uninflated'!H56*H31</f>
        <v>337135.17859999998</v>
      </c>
      <c r="I23" s="156">
        <f t="shared" si="0"/>
        <v>1496645.8087000002</v>
      </c>
      <c r="J23" s="50">
        <f t="shared" si="1"/>
        <v>9.3991674517996268E-2</v>
      </c>
    </row>
    <row r="24" spans="2:10" x14ac:dyDescent="0.25">
      <c r="B24" s="52" t="s">
        <v>25</v>
      </c>
      <c r="D24" s="126">
        <f>SUM(D19:D23)</f>
        <v>1908204.6696110002</v>
      </c>
      <c r="E24" s="126">
        <f>SUM(E19:E23)</f>
        <v>2554435.2290256005</v>
      </c>
      <c r="F24" s="126">
        <f>SUM(F19:F23)</f>
        <v>3407805.3232329609</v>
      </c>
      <c r="G24" s="126">
        <f>SUM(G19:G23)</f>
        <v>3898613.3608912006</v>
      </c>
      <c r="H24" s="126">
        <f>SUM(H19:H23)</f>
        <v>4154115.6385203199</v>
      </c>
      <c r="I24" s="157">
        <f t="shared" si="0"/>
        <v>15923174.221281081</v>
      </c>
    </row>
    <row r="25" spans="2:10" x14ac:dyDescent="0.25">
      <c r="I25" s="153"/>
    </row>
    <row r="26" spans="2:10" ht="15.75" thickBot="1" x14ac:dyDescent="0.3">
      <c r="B26" s="52" t="s">
        <v>387</v>
      </c>
      <c r="D26" s="108">
        <f>D17-D24</f>
        <v>190820.4669611</v>
      </c>
      <c r="E26" s="108">
        <f>E17-E24</f>
        <v>259359.36796478229</v>
      </c>
      <c r="F26" s="108">
        <f>F17-F24</f>
        <v>350076.19379336387</v>
      </c>
      <c r="G26" s="108">
        <f>G17-G24</f>
        <v>406496.2393389754</v>
      </c>
      <c r="H26" s="108">
        <f>H17-H24</f>
        <v>440679.16161866765</v>
      </c>
      <c r="I26" s="158">
        <f>SUM(D26:H26)</f>
        <v>1647431.4296768892</v>
      </c>
    </row>
    <row r="27" spans="2:10" ht="15.75" thickTop="1" x14ac:dyDescent="0.25">
      <c r="B27" s="52"/>
      <c r="D27" s="128"/>
      <c r="E27" s="128"/>
      <c r="F27" s="128"/>
      <c r="G27" s="128"/>
      <c r="H27" s="128"/>
    </row>
    <row r="28" spans="2:10" x14ac:dyDescent="0.25">
      <c r="B28" t="s">
        <v>27</v>
      </c>
      <c r="D28" s="124">
        <v>0</v>
      </c>
      <c r="E28" s="125">
        <f>D29</f>
        <v>190820.4669611</v>
      </c>
      <c r="F28" s="125">
        <f t="shared" ref="F28:H28" si="2">E29</f>
        <v>450179.83492588229</v>
      </c>
      <c r="G28" s="125">
        <f t="shared" si="2"/>
        <v>800256.02871924615</v>
      </c>
      <c r="H28" s="125">
        <f t="shared" si="2"/>
        <v>1206752.2680582216</v>
      </c>
    </row>
    <row r="29" spans="2:10" x14ac:dyDescent="0.25">
      <c r="B29" t="s">
        <v>28</v>
      </c>
      <c r="D29" s="79">
        <f>D28+D26</f>
        <v>190820.4669611</v>
      </c>
      <c r="E29" s="79">
        <f t="shared" ref="E29:H29" si="3">E28+E26</f>
        <v>450179.83492588229</v>
      </c>
      <c r="F29" s="79">
        <f t="shared" si="3"/>
        <v>800256.02871924615</v>
      </c>
      <c r="G29" s="79">
        <f t="shared" si="3"/>
        <v>1206752.2680582216</v>
      </c>
      <c r="H29" s="79">
        <f t="shared" si="3"/>
        <v>1647431.4296768892</v>
      </c>
    </row>
    <row r="31" spans="2:10" x14ac:dyDescent="0.25">
      <c r="C31" s="63" t="s">
        <v>287</v>
      </c>
      <c r="D31" s="159">
        <f>VLOOKUP($F$7,'9. Inflatn &amp; labour cost index'!$C$14:$L$16,6,FALSE)</f>
        <v>1.1514200000000001</v>
      </c>
      <c r="E31" s="159">
        <f>VLOOKUP($F$7,'9. Inflatn &amp; labour cost index'!$C$14:$L$16,7,FALSE)</f>
        <v>1.1814200000000001</v>
      </c>
      <c r="F31" s="159">
        <f>VLOOKUP($F$7,'9. Inflatn &amp; labour cost index'!$C$14:$L$16,8,FALSE)</f>
        <v>1.20642</v>
      </c>
      <c r="G31" s="159">
        <f>VLOOKUP($F$7,'9. Inflatn &amp; labour cost index'!$C$14:$L$16,9,FALSE)</f>
        <v>1.23142</v>
      </c>
      <c r="H31" s="159">
        <f>VLOOKUP($F$7,'9. Inflatn &amp; labour cost index'!$C$14:$L$16,10,FALSE)</f>
        <v>1.2564199999999999</v>
      </c>
    </row>
    <row r="32" spans="2:10" x14ac:dyDescent="0.25">
      <c r="C32" s="63" t="s">
        <v>29</v>
      </c>
      <c r="D32" s="107">
        <f>'2. Income &amp; exp - uninflated'!D25</f>
        <v>557.70000000000005</v>
      </c>
      <c r="E32" s="107">
        <f>'2. Income &amp; exp - uninflated'!E25</f>
        <v>892.32000000000016</v>
      </c>
      <c r="F32" s="107">
        <f>'2. Income &amp; exp - uninflated'!F25</f>
        <v>1427.7120000000004</v>
      </c>
      <c r="G32" s="107">
        <f>'2. Income &amp; exp - uninflated'!G25</f>
        <v>1784.6400000000006</v>
      </c>
      <c r="H32" s="107">
        <f>'2. Income &amp; exp - uninflated'!H25</f>
        <v>1963.1040000000007</v>
      </c>
      <c r="I32" s="107">
        <f>SUM(D32:H32)</f>
        <v>6625.4760000000024</v>
      </c>
    </row>
    <row r="33" spans="3:9" ht="24.75" x14ac:dyDescent="0.25">
      <c r="C33" s="111" t="s">
        <v>30</v>
      </c>
      <c r="D33" s="107">
        <f>'2. Income &amp; exp - uninflated'!D38</f>
        <v>7</v>
      </c>
      <c r="E33" s="107">
        <f>'2. Income &amp; exp - uninflated'!E38</f>
        <v>8</v>
      </c>
      <c r="F33" s="107">
        <f>'2. Income &amp; exp - uninflated'!F38</f>
        <v>10</v>
      </c>
      <c r="G33" s="107">
        <f>'2. Income &amp; exp - uninflated'!G38</f>
        <v>10</v>
      </c>
      <c r="H33" s="107">
        <f>'2. Income &amp; exp - uninflated'!H38</f>
        <v>10</v>
      </c>
    </row>
    <row r="34" spans="3:9" ht="24.75" x14ac:dyDescent="0.25">
      <c r="C34" s="111" t="s">
        <v>31</v>
      </c>
      <c r="D34" s="122">
        <f t="shared" ref="D34:I34" si="4">D24/D32</f>
        <v>3421.5611791482879</v>
      </c>
      <c r="E34" s="122">
        <f t="shared" si="4"/>
        <v>2862.6896506024746</v>
      </c>
      <c r="F34" s="122">
        <f t="shared" si="4"/>
        <v>2386.8996851136362</v>
      </c>
      <c r="G34" s="122">
        <f t="shared" si="4"/>
        <v>2184.5376999793793</v>
      </c>
      <c r="H34" s="122">
        <f t="shared" si="4"/>
        <v>2116.0955499659308</v>
      </c>
      <c r="I34" s="122">
        <f t="shared" si="4"/>
        <v>2403.3253190081855</v>
      </c>
    </row>
    <row r="35" spans="3:9" x14ac:dyDescent="0.25">
      <c r="C35" s="111" t="s">
        <v>32</v>
      </c>
      <c r="D35" s="123">
        <f>D29/D24</f>
        <v>9.9999999999999992E-2</v>
      </c>
      <c r="E35" s="123">
        <f t="shared" ref="E35:H35" si="5">E29/E24</f>
        <v>0.17623458595096389</v>
      </c>
      <c r="F35" s="123">
        <f t="shared" si="5"/>
        <v>0.23483032415714666</v>
      </c>
      <c r="G35" s="123">
        <f t="shared" si="5"/>
        <v>0.30953371272045427</v>
      </c>
      <c r="H35" s="123">
        <f t="shared" si="5"/>
        <v>0.39657813432071382</v>
      </c>
    </row>
  </sheetData>
  <mergeCells count="1">
    <mergeCell ref="B5:I5"/>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278858B7-4953-48EA-8D34-F3F179796464}">
          <x14:formula1>
            <xm:f>'3. Model parameters'!$D$44:$D$46</xm:f>
          </x14:formula1>
          <xm:sqref>C7 C9:C10 F7:F10</xm:sqref>
        </x14:dataValidation>
        <x14:dataValidation type="list" allowBlank="1" showInputMessage="1" showErrorMessage="1" xr:uid="{8F2459A1-B0D0-465B-9F9E-1FC83E07EE60}">
          <x14:formula1>
            <xm:f>'3. Model parameters'!$D$47:$D$48</xm:f>
          </x14:formula1>
          <xm:sqref>C8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D7660-5CE2-4ECF-821E-D6647B52C68B}">
  <sheetPr>
    <tabColor theme="9"/>
  </sheetPr>
  <dimension ref="B2:I68"/>
  <sheetViews>
    <sheetView topLeftCell="A53" zoomScaleNormal="100" workbookViewId="0">
      <selection activeCell="C76" sqref="C76"/>
    </sheetView>
  </sheetViews>
  <sheetFormatPr defaultColWidth="9.140625" defaultRowHeight="15" x14ac:dyDescent="0.25"/>
  <cols>
    <col min="1" max="1" width="9.140625" style="184"/>
    <col min="2" max="2" width="43.140625" style="184" customWidth="1"/>
    <col min="3" max="3" width="18.5703125" style="184" customWidth="1"/>
    <col min="4" max="4" width="14" style="184" customWidth="1"/>
    <col min="5" max="5" width="14.5703125" style="184" customWidth="1"/>
    <col min="6" max="8" width="14" style="184" customWidth="1"/>
    <col min="9" max="9" width="17.140625" style="184" customWidth="1"/>
    <col min="10" max="10" width="14.5703125" style="184" customWidth="1"/>
    <col min="11" max="16384" width="9.140625" style="184"/>
  </cols>
  <sheetData>
    <row r="2" spans="2:9" x14ac:dyDescent="0.25">
      <c r="B2" s="183" t="s">
        <v>365</v>
      </c>
    </row>
    <row r="4" spans="2:9" x14ac:dyDescent="0.25">
      <c r="B4" s="185" t="s">
        <v>324</v>
      </c>
      <c r="C4" s="186"/>
      <c r="D4" s="186"/>
      <c r="E4" s="186"/>
      <c r="F4" s="186"/>
      <c r="G4" s="186"/>
      <c r="H4" s="186"/>
      <c r="I4" s="186"/>
    </row>
    <row r="5" spans="2:9" ht="29.25" customHeight="1" x14ac:dyDescent="0.25">
      <c r="B5" s="282" t="s">
        <v>394</v>
      </c>
      <c r="C5" s="271"/>
      <c r="D5" s="271"/>
      <c r="E5" s="271"/>
      <c r="F5" s="271"/>
      <c r="G5" s="271"/>
      <c r="H5" s="271"/>
      <c r="I5" s="271"/>
    </row>
    <row r="6" spans="2:9" x14ac:dyDescent="0.25">
      <c r="B6" s="186"/>
      <c r="C6" s="186"/>
      <c r="D6" s="186"/>
      <c r="E6" s="186"/>
      <c r="F6" s="186"/>
      <c r="G6" s="186"/>
      <c r="H6" s="186"/>
      <c r="I6" s="186"/>
    </row>
    <row r="7" spans="2:9" x14ac:dyDescent="0.25">
      <c r="B7" s="186" t="s">
        <v>17</v>
      </c>
      <c r="C7" s="181" t="str">
        <f>'1.  Income &amp; exp - inflated'!C7</f>
        <v>Medium</v>
      </c>
      <c r="D7" s="186"/>
      <c r="E7" s="186" t="s">
        <v>283</v>
      </c>
      <c r="F7" s="181" t="str">
        <f>'1.  Income &amp; exp - inflated'!F7</f>
        <v>Medium</v>
      </c>
      <c r="G7" s="186"/>
      <c r="H7" s="186"/>
      <c r="I7" s="186"/>
    </row>
    <row r="8" spans="2:9" ht="30" x14ac:dyDescent="0.25">
      <c r="B8" s="187" t="s">
        <v>34</v>
      </c>
      <c r="C8" s="181" t="str">
        <f>'1.  Income &amp; exp - inflated'!C8</f>
        <v>No</v>
      </c>
      <c r="D8" s="187"/>
      <c r="E8" s="187" t="s">
        <v>288</v>
      </c>
      <c r="F8" s="181" t="str">
        <f>'1.  Income &amp; exp - inflated'!F8</f>
        <v>Medium</v>
      </c>
      <c r="G8" s="186"/>
      <c r="H8" s="186"/>
      <c r="I8" s="186"/>
    </row>
    <row r="9" spans="2:9" x14ac:dyDescent="0.25">
      <c r="B9" s="186" t="s">
        <v>322</v>
      </c>
      <c r="C9" s="181" t="str">
        <f>'1.  Income &amp; exp - inflated'!C9</f>
        <v>Medium</v>
      </c>
      <c r="D9" s="186"/>
      <c r="E9" s="186" t="s">
        <v>291</v>
      </c>
      <c r="F9" s="181" t="str">
        <f>'1.  Income &amp; exp - inflated'!F9</f>
        <v>Medium</v>
      </c>
      <c r="G9" s="186"/>
      <c r="H9" s="186"/>
      <c r="I9" s="186"/>
    </row>
    <row r="10" spans="2:9" x14ac:dyDescent="0.25">
      <c r="B10" s="180" t="s">
        <v>385</v>
      </c>
      <c r="C10" s="181" t="str">
        <f>'1.  Income &amp; exp - inflated'!C10</f>
        <v>Medium</v>
      </c>
      <c r="D10" s="186"/>
      <c r="E10" s="180" t="s">
        <v>384</v>
      </c>
      <c r="F10" s="181" t="str">
        <f>'1.  Income &amp; exp - inflated'!F10</f>
        <v>Medium</v>
      </c>
      <c r="G10" s="186"/>
      <c r="H10" s="186"/>
      <c r="I10" s="186"/>
    </row>
    <row r="12" spans="2:9" x14ac:dyDescent="0.25">
      <c r="B12" s="188"/>
      <c r="C12" s="188" t="s">
        <v>18</v>
      </c>
      <c r="D12" s="189">
        <v>2026</v>
      </c>
      <c r="E12" s="189">
        <v>2027</v>
      </c>
      <c r="F12" s="189">
        <v>2028</v>
      </c>
      <c r="G12" s="189">
        <v>2029</v>
      </c>
      <c r="H12" s="189">
        <v>2030</v>
      </c>
      <c r="I12" s="190" t="s">
        <v>271</v>
      </c>
    </row>
    <row r="13" spans="2:9" x14ac:dyDescent="0.25">
      <c r="B13" s="188"/>
      <c r="C13" s="188" t="s">
        <v>19</v>
      </c>
      <c r="D13" s="191" t="s">
        <v>20</v>
      </c>
      <c r="E13" s="191" t="s">
        <v>20</v>
      </c>
      <c r="F13" s="191" t="s">
        <v>20</v>
      </c>
      <c r="G13" s="191" t="s">
        <v>20</v>
      </c>
      <c r="H13" s="191" t="s">
        <v>20</v>
      </c>
      <c r="I13" s="192" t="s">
        <v>20</v>
      </c>
    </row>
    <row r="14" spans="2:9" x14ac:dyDescent="0.25">
      <c r="B14" s="188"/>
      <c r="C14" s="193" t="s">
        <v>21</v>
      </c>
      <c r="D14" s="193">
        <v>6</v>
      </c>
      <c r="E14" s="193">
        <v>7</v>
      </c>
      <c r="F14" s="193">
        <v>8</v>
      </c>
      <c r="G14" s="193">
        <v>9</v>
      </c>
      <c r="H14" s="193">
        <v>10</v>
      </c>
      <c r="I14" s="194"/>
    </row>
    <row r="15" spans="2:9" x14ac:dyDescent="0.25">
      <c r="B15" s="188"/>
      <c r="C15" s="195"/>
      <c r="D15" s="191"/>
      <c r="E15" s="191"/>
      <c r="F15" s="191"/>
      <c r="G15" s="191"/>
      <c r="H15" s="191"/>
      <c r="I15" s="194"/>
    </row>
    <row r="16" spans="2:9" x14ac:dyDescent="0.25">
      <c r="B16" s="184" t="s">
        <v>36</v>
      </c>
      <c r="D16" s="196">
        <f>D59*110%</f>
        <v>1822988.2550000001</v>
      </c>
      <c r="E16" s="196">
        <f t="shared" ref="E16:H16" si="0">E59*110%</f>
        <v>2378391.0480000004</v>
      </c>
      <c r="F16" s="196">
        <f t="shared" si="0"/>
        <v>3107198.0368000008</v>
      </c>
      <c r="G16" s="196">
        <f t="shared" si="0"/>
        <v>3482544.2960000006</v>
      </c>
      <c r="H16" s="196">
        <f t="shared" si="0"/>
        <v>3636942.4256000011</v>
      </c>
      <c r="I16" s="197">
        <f>SUM(D16:H16)</f>
        <v>14428064.061400004</v>
      </c>
    </row>
    <row r="17" spans="2:9" x14ac:dyDescent="0.25">
      <c r="B17" s="184" t="s">
        <v>37</v>
      </c>
      <c r="D17" s="196">
        <v>0</v>
      </c>
      <c r="E17" s="196">
        <v>0</v>
      </c>
      <c r="F17" s="196">
        <v>0</v>
      </c>
      <c r="G17" s="196">
        <v>0</v>
      </c>
      <c r="H17" s="196">
        <v>0</v>
      </c>
      <c r="I17" s="197">
        <f>SUM(D17:H17)</f>
        <v>0</v>
      </c>
    </row>
    <row r="18" spans="2:9" x14ac:dyDescent="0.25">
      <c r="B18" s="184" t="s">
        <v>38</v>
      </c>
      <c r="D18" s="196">
        <v>0</v>
      </c>
      <c r="E18" s="196">
        <f>E66*0.02</f>
        <v>3314.5241000000015</v>
      </c>
      <c r="F18" s="196">
        <f t="shared" ref="F18:H18" si="1">F66*0.02</f>
        <v>7705.161942000007</v>
      </c>
      <c r="G18" s="196">
        <f t="shared" si="1"/>
        <v>13508.716156840017</v>
      </c>
      <c r="H18" s="196">
        <f t="shared" si="1"/>
        <v>20110.789199976818</v>
      </c>
      <c r="I18" s="197">
        <f>SUM(D18:H18)</f>
        <v>44639.191398816845</v>
      </c>
    </row>
    <row r="19" spans="2:9" x14ac:dyDescent="0.25">
      <c r="B19" s="188" t="s">
        <v>39</v>
      </c>
      <c r="C19" s="188"/>
      <c r="D19" s="198">
        <f t="shared" ref="D19:G19" si="2">D16+D18</f>
        <v>1822988.2550000001</v>
      </c>
      <c r="E19" s="198">
        <f t="shared" si="2"/>
        <v>2381705.5721000005</v>
      </c>
      <c r="F19" s="198">
        <f t="shared" si="2"/>
        <v>3114903.1987420009</v>
      </c>
      <c r="G19" s="198">
        <f t="shared" si="2"/>
        <v>3496053.0121568404</v>
      </c>
      <c r="H19" s="198">
        <f>H16+H18</f>
        <v>3657053.2147999778</v>
      </c>
      <c r="I19" s="199">
        <f>SUM(D19:H19)</f>
        <v>14472703.25279882</v>
      </c>
    </row>
    <row r="20" spans="2:9" x14ac:dyDescent="0.25">
      <c r="D20" s="196"/>
      <c r="E20" s="200"/>
      <c r="F20" s="200"/>
      <c r="G20" s="200"/>
      <c r="H20" s="200"/>
      <c r="I20" s="201"/>
    </row>
    <row r="21" spans="2:9" x14ac:dyDescent="0.25">
      <c r="B21" s="183" t="s">
        <v>275</v>
      </c>
      <c r="C21" s="183"/>
      <c r="D21" s="196"/>
      <c r="E21" s="200"/>
      <c r="F21" s="200"/>
      <c r="G21" s="200"/>
      <c r="H21" s="200"/>
      <c r="I21" s="201"/>
    </row>
    <row r="22" spans="2:9" x14ac:dyDescent="0.25">
      <c r="B22" s="184" t="s">
        <v>40</v>
      </c>
      <c r="C22" s="202" t="s">
        <v>41</v>
      </c>
      <c r="D22" s="196">
        <f>IF($C8="No",D25*D26*(1+VAT_rate),D25*D26)</f>
        <v>438631.05000000005</v>
      </c>
      <c r="E22" s="196">
        <f>IF($C8="No",E25*E26*(1+VAT_rate),E25*E26)</f>
        <v>701809.68000000017</v>
      </c>
      <c r="F22" s="196">
        <f>IF($C8="No",F25*F26*(1+VAT_rate),F25*F26)</f>
        <v>1122895.4880000004</v>
      </c>
      <c r="G22" s="196">
        <f>IF($C8="No",G25*G26*(1+VAT_rate),G25*G26)</f>
        <v>1403619.3600000006</v>
      </c>
      <c r="H22" s="196">
        <f>IF($C8="No",H25*H26*(1+VAT_rate),H25*H26)</f>
        <v>1543981.2960000006</v>
      </c>
      <c r="I22" s="197">
        <f>SUM(D22:H22)</f>
        <v>5210936.8740000017</v>
      </c>
    </row>
    <row r="23" spans="2:9" x14ac:dyDescent="0.25">
      <c r="B23" s="184" t="s">
        <v>42</v>
      </c>
      <c r="C23" s="202" t="s">
        <v>43</v>
      </c>
      <c r="D23" s="196">
        <v>10000</v>
      </c>
      <c r="E23" s="196">
        <v>10000</v>
      </c>
      <c r="F23" s="196">
        <v>10000</v>
      </c>
      <c r="G23" s="196">
        <v>10000</v>
      </c>
      <c r="H23" s="196">
        <v>10000</v>
      </c>
      <c r="I23" s="197">
        <f>SUM(D23:H23)</f>
        <v>50000</v>
      </c>
    </row>
    <row r="24" spans="2:9" x14ac:dyDescent="0.25">
      <c r="D24" s="198">
        <f>SUM(D22:D23)</f>
        <v>448631.05000000005</v>
      </c>
      <c r="E24" s="198">
        <f>SUM(E22:E23)</f>
        <v>711809.68000000017</v>
      </c>
      <c r="F24" s="198">
        <f>SUM(F22:F23)</f>
        <v>1132895.4880000004</v>
      </c>
      <c r="G24" s="198">
        <f>SUM(G22:G23)</f>
        <v>1413619.3600000006</v>
      </c>
      <c r="H24" s="198">
        <f>SUM(H22:H23)</f>
        <v>1553981.2960000006</v>
      </c>
      <c r="I24" s="199">
        <f>SUM(D24:H24)</f>
        <v>5260936.8740000017</v>
      </c>
    </row>
    <row r="25" spans="2:9" x14ac:dyDescent="0.25">
      <c r="C25" s="203" t="s">
        <v>29</v>
      </c>
      <c r="D25" s="204">
        <f>VLOOKUP($C$7,'4. Publication growth scenarios'!$B$27:$M$37,8,FALSE)</f>
        <v>557.70000000000005</v>
      </c>
      <c r="E25" s="204">
        <f>VLOOKUP($C$7,'4. Publication growth scenarios'!$B$27:$M$37,9,FALSE)</f>
        <v>892.32000000000016</v>
      </c>
      <c r="F25" s="204">
        <f>VLOOKUP($C$7,'4. Publication growth scenarios'!$B$27:$M$37,10,FALSE)</f>
        <v>1427.7120000000004</v>
      </c>
      <c r="G25" s="204">
        <f>VLOOKUP($C$7,'4. Publication growth scenarios'!$B$27:$M$37,11,FALSE)</f>
        <v>1784.6400000000006</v>
      </c>
      <c r="H25" s="204">
        <f>VLOOKUP($C$7,'4. Publication growth scenarios'!$B$27:$M$37,12,FALSE)</f>
        <v>1963.1040000000007</v>
      </c>
      <c r="I25" s="205"/>
    </row>
    <row r="26" spans="2:9" ht="36.75" x14ac:dyDescent="0.25">
      <c r="B26" s="188"/>
      <c r="C26" s="206" t="s">
        <v>290</v>
      </c>
      <c r="D26" s="207">
        <f>VLOOKUP($F$8,'3. Model parameters'!$C$6:$D$8,2,FALSE)</f>
        <v>650</v>
      </c>
      <c r="E26" s="207">
        <f>VLOOKUP($F$8,'3. Model parameters'!$C$6:$D$8,2,FALSE)</f>
        <v>650</v>
      </c>
      <c r="F26" s="207">
        <f>VLOOKUP($F$8,'3. Model parameters'!$C$6:$D$8,2,FALSE)</f>
        <v>650</v>
      </c>
      <c r="G26" s="207">
        <f>VLOOKUP($F$8,'3. Model parameters'!$C$6:$D$8,2,FALSE)</f>
        <v>650</v>
      </c>
      <c r="H26" s="207">
        <f>VLOOKUP($F$8,'3. Model parameters'!$C$6:$D$8,2,FALSE)</f>
        <v>650</v>
      </c>
      <c r="I26" s="208"/>
    </row>
    <row r="27" spans="2:9" x14ac:dyDescent="0.25">
      <c r="B27" s="188"/>
      <c r="C27" s="206"/>
      <c r="D27" s="207"/>
      <c r="E27" s="207"/>
      <c r="F27" s="207"/>
      <c r="G27" s="207"/>
      <c r="H27" s="207"/>
      <c r="I27" s="208"/>
    </row>
    <row r="28" spans="2:9" x14ac:dyDescent="0.25">
      <c r="B28" s="183" t="s">
        <v>301</v>
      </c>
      <c r="C28" s="206"/>
      <c r="D28" s="207"/>
      <c r="E28" s="207"/>
      <c r="F28" s="207"/>
      <c r="G28" s="207"/>
      <c r="H28" s="207"/>
      <c r="I28" s="208"/>
    </row>
    <row r="29" spans="2:9" x14ac:dyDescent="0.25">
      <c r="B29" s="184" t="s">
        <v>301</v>
      </c>
      <c r="C29" s="202" t="s">
        <v>41</v>
      </c>
      <c r="D29" s="196">
        <f>IF($C$8="No",(VLOOKUP($C$9,'6. Marktg &amp; community (outsd)'!$B$16:$M$20,D14+2,FALSE)*(1+VAT_rate)),(VLOOKUP($C$10,'6. Marktg &amp; community (outsd)'!$B$16:$M$20,D14+2,FALSE)))</f>
        <v>181500</v>
      </c>
      <c r="E29" s="196">
        <f>IF($C$8="No",(VLOOKUP($C$9,'6. Marktg &amp; community (outsd)'!$B$16:$M$20,E14+2,FALSE)*(1+VAT_rate)),(VLOOKUP($C$10,'6. Marktg &amp; community (outsd)'!$B$16:$M$20,E14+2,FALSE)))</f>
        <v>181500</v>
      </c>
      <c r="F29" s="196">
        <f>IF($C$8="No",(VLOOKUP($C$9,'6. Marktg &amp; community (outsd)'!$B$16:$M$20,F14+2,FALSE)*(1+VAT_rate)),(VLOOKUP($C$10,'6. Marktg &amp; community (outsd)'!$B$16:$M$20,F14+2,FALSE)))</f>
        <v>181500</v>
      </c>
      <c r="G29" s="196">
        <f>IF($C$8="No",(VLOOKUP($C$9,'6. Marktg &amp; community (outsd)'!$B$16:$M$20,G14+2,FALSE)*(1+VAT_rate)),(VLOOKUP($C$10,'6. Marktg &amp; community (outsd)'!$B$16:$M$20,G14+2,FALSE)))</f>
        <v>181500</v>
      </c>
      <c r="H29" s="196">
        <f>IF($C$8="No",(VLOOKUP($C$9,'6. Marktg &amp; community (outsd)'!$B$16:$M$20,H14+2,FALSE)*(1+VAT_rate)),(VLOOKUP($C$10,'6. Marktg &amp; community (outsd)'!$B$16:$M$20,H14+2,FALSE)))</f>
        <v>181500</v>
      </c>
      <c r="I29" s="197">
        <f>SUM(D29:H29)</f>
        <v>907500</v>
      </c>
    </row>
    <row r="30" spans="2:9" x14ac:dyDescent="0.25">
      <c r="B30" s="188"/>
      <c r="C30" s="206"/>
      <c r="D30" s="198">
        <f>SUM(D29:D29)</f>
        <v>181500</v>
      </c>
      <c r="E30" s="198">
        <f>SUM(E29:E29)</f>
        <v>181500</v>
      </c>
      <c r="F30" s="198">
        <f>SUM(F29:F29)</f>
        <v>181500</v>
      </c>
      <c r="G30" s="198">
        <f>SUM(G29:G29)</f>
        <v>181500</v>
      </c>
      <c r="H30" s="198">
        <f>SUM(H29:H29)</f>
        <v>181500</v>
      </c>
      <c r="I30" s="199">
        <f>SUM(D30:H30)</f>
        <v>907500</v>
      </c>
    </row>
    <row r="31" spans="2:9" x14ac:dyDescent="0.25">
      <c r="B31" s="209" t="s">
        <v>44</v>
      </c>
      <c r="C31" s="202"/>
      <c r="D31" s="210"/>
      <c r="E31" s="210"/>
      <c r="F31" s="210"/>
      <c r="G31" s="210"/>
      <c r="H31" s="210"/>
      <c r="I31" s="211"/>
    </row>
    <row r="32" spans="2:9" x14ac:dyDescent="0.25">
      <c r="B32" s="62" t="s">
        <v>44</v>
      </c>
      <c r="C32" s="202" t="s">
        <v>41</v>
      </c>
      <c r="D32" s="196">
        <f>IF($C$8="No",(VLOOKUP($C$10,'7. Platform costs'!$B$22:$M$26,D14+2,FALSE)*(1+VAT_rate)),(VLOOKUP($C$10,'7. Platform costs'!$B$22:$M$26,D14+2,FALSE)))</f>
        <v>121000</v>
      </c>
      <c r="E32" s="196">
        <f>IF($C$8="No",(VLOOKUP($C$10,'7. Platform costs'!$B$22:$M$26,E14+2,FALSE)*(1+VAT_rate)),(VLOOKUP($C$10,'7. Platform costs'!$B$22:$M$26,E14+2,FALSE)))</f>
        <v>242000</v>
      </c>
      <c r="F32" s="196">
        <f>IF($C$8="No",(VLOOKUP($C$10,'7. Platform costs'!$B$22:$M$26,F14+2,FALSE)*(1+VAT_rate)),(VLOOKUP($C$10,'7. Platform costs'!$B$22:$M$26,F14+2,FALSE)))</f>
        <v>242000</v>
      </c>
      <c r="G32" s="196">
        <f>IF($C$8="No",(VLOOKUP($C$10,'7. Platform costs'!$B$22:$M$26,G14+2,FALSE)*(1+VAT_rate)),(VLOOKUP($C$10,'7. Platform costs'!$B$22:$M$26,G14+2,FALSE)))</f>
        <v>302500</v>
      </c>
      <c r="H32" s="196">
        <f>IF($C$8="No",(VLOOKUP($C$10,'7. Platform costs'!$B$22:$M$26,H14+2,FALSE)*(1+VAT_rate)),(VLOOKUP($C$10,'7. Platform costs'!$B$22:$M$26,H14+2,FALSE)))</f>
        <v>302500</v>
      </c>
      <c r="I32" s="197">
        <f>SUM(D32:H32)</f>
        <v>1210000</v>
      </c>
    </row>
    <row r="33" spans="2:9" x14ac:dyDescent="0.25">
      <c r="B33" s="212"/>
      <c r="C33" s="213"/>
      <c r="D33" s="198">
        <f>SUM(D32:D32)</f>
        <v>121000</v>
      </c>
      <c r="E33" s="198">
        <f>SUM(E32:E32)</f>
        <v>242000</v>
      </c>
      <c r="F33" s="198">
        <f>SUM(F32:F32)</f>
        <v>242000</v>
      </c>
      <c r="G33" s="198">
        <f>SUM(G32:G32)</f>
        <v>302500</v>
      </c>
      <c r="H33" s="198">
        <f>SUM(H32:H32)</f>
        <v>302500</v>
      </c>
      <c r="I33" s="199">
        <f>SUM(D33:H33)</f>
        <v>1210000</v>
      </c>
    </row>
    <row r="34" spans="2:9" x14ac:dyDescent="0.25">
      <c r="D34" s="196"/>
      <c r="E34" s="200"/>
      <c r="F34" s="200"/>
      <c r="G34" s="200"/>
      <c r="H34" s="200"/>
      <c r="I34" s="201"/>
    </row>
    <row r="35" spans="2:9" x14ac:dyDescent="0.25">
      <c r="B35" s="183" t="s">
        <v>23</v>
      </c>
      <c r="C35" s="183"/>
      <c r="D35" s="196"/>
      <c r="E35" s="200"/>
      <c r="F35" s="200"/>
      <c r="G35" s="200"/>
      <c r="H35" s="200"/>
      <c r="I35" s="201"/>
    </row>
    <row r="36" spans="2:9" x14ac:dyDescent="0.25">
      <c r="B36" s="184" t="s">
        <v>23</v>
      </c>
      <c r="C36" s="202" t="s">
        <v>43</v>
      </c>
      <c r="D36" s="196">
        <f>D38*D39</f>
        <v>700000</v>
      </c>
      <c r="E36" s="196">
        <f t="shared" ref="E36:H36" si="3">E38*E39</f>
        <v>800000</v>
      </c>
      <c r="F36" s="196">
        <f t="shared" si="3"/>
        <v>1000000</v>
      </c>
      <c r="G36" s="196">
        <f t="shared" si="3"/>
        <v>1000000</v>
      </c>
      <c r="H36" s="196">
        <f t="shared" si="3"/>
        <v>1000000</v>
      </c>
      <c r="I36" s="197">
        <f>SUM(D36:H36)</f>
        <v>4500000</v>
      </c>
    </row>
    <row r="37" spans="2:9" x14ac:dyDescent="0.25">
      <c r="B37" s="212"/>
      <c r="D37" s="198">
        <f>SUM(D36:D36)</f>
        <v>700000</v>
      </c>
      <c r="E37" s="198">
        <f>SUM(E36:E36)</f>
        <v>800000</v>
      </c>
      <c r="F37" s="198">
        <f>SUM(F36:F36)</f>
        <v>1000000</v>
      </c>
      <c r="G37" s="198">
        <f>SUM(G36:G36)</f>
        <v>1000000</v>
      </c>
      <c r="H37" s="198">
        <f>SUM(H36:H36)</f>
        <v>1000000</v>
      </c>
      <c r="I37" s="199">
        <f>SUM(D37:H37)</f>
        <v>4500000</v>
      </c>
    </row>
    <row r="38" spans="2:9" ht="24.75" x14ac:dyDescent="0.25">
      <c r="B38" s="212"/>
      <c r="C38" s="206" t="s">
        <v>30</v>
      </c>
      <c r="D38" s="204">
        <f>VLOOKUP($F$9,'8. Staff numbers (in-house)'!$B$26:$M$46,D14+2,FALSE)</f>
        <v>7</v>
      </c>
      <c r="E38" s="204">
        <f>VLOOKUP($F$9,'8. Staff numbers (in-house)'!$B$26:$M$46,E14+2,FALSE)</f>
        <v>8</v>
      </c>
      <c r="F38" s="204">
        <f>VLOOKUP($F$9,'8. Staff numbers (in-house)'!$B$26:$M$46,F14+2,FALSE)</f>
        <v>10</v>
      </c>
      <c r="G38" s="204">
        <f>VLOOKUP($F$9,'8. Staff numbers (in-house)'!$B$26:$M$46,G14+2,FALSE)</f>
        <v>10</v>
      </c>
      <c r="H38" s="204">
        <f>VLOOKUP($F$9,'8. Staff numbers (in-house)'!$B$26:$M$46,H14+2,FALSE)</f>
        <v>10</v>
      </c>
      <c r="I38" s="205"/>
    </row>
    <row r="39" spans="2:9" x14ac:dyDescent="0.25">
      <c r="B39" s="212"/>
      <c r="C39" s="206" t="s">
        <v>381</v>
      </c>
      <c r="D39" s="207">
        <f>VLOOKUP($F$10,'3. Model parameters'!$C$19:$D$21,2,FALSE)</f>
        <v>100000</v>
      </c>
      <c r="E39" s="207">
        <f>VLOOKUP($F$10,'3. Model parameters'!$C$19:$D$21,2,FALSE)</f>
        <v>100000</v>
      </c>
      <c r="F39" s="207">
        <f>VLOOKUP($F$10,'3. Model parameters'!$C$19:$D$21,2,FALSE)</f>
        <v>100000</v>
      </c>
      <c r="G39" s="207">
        <f>VLOOKUP($F$10,'3. Model parameters'!$C$19:$D$21,2,FALSE)</f>
        <v>100000</v>
      </c>
      <c r="H39" s="207">
        <f>VLOOKUP($F$10,'3. Model parameters'!$C$19:$D$21,2,FALSE)</f>
        <v>100000</v>
      </c>
      <c r="I39" s="205"/>
    </row>
    <row r="40" spans="2:9" x14ac:dyDescent="0.25">
      <c r="B40" s="212"/>
      <c r="C40" s="213"/>
      <c r="D40" s="204"/>
      <c r="E40" s="204"/>
      <c r="F40" s="204"/>
      <c r="G40" s="204"/>
      <c r="H40" s="204"/>
      <c r="I40" s="205"/>
    </row>
    <row r="41" spans="2:9" x14ac:dyDescent="0.25">
      <c r="B41" s="183" t="s">
        <v>24</v>
      </c>
      <c r="I41" s="194"/>
    </row>
    <row r="42" spans="2:9" x14ac:dyDescent="0.25">
      <c r="B42" s="184" t="s">
        <v>48</v>
      </c>
      <c r="C42" s="202" t="s">
        <v>41</v>
      </c>
      <c r="D42" s="196">
        <f>IF($C$8="No",Rent__service_charges_and_utilities_cost*(1+VAT_rate)*D$38,Rent__service_charges_and_utilities_cost*D$38)</f>
        <v>42350</v>
      </c>
      <c r="E42" s="196">
        <f>IF($C$8="No",Rent__service_charges_and_utilities_cost*(1+VAT_rate)*E$38,Rent__service_charges_and_utilities_cost*E$38)</f>
        <v>48400</v>
      </c>
      <c r="F42" s="196">
        <f>IF($C$8="No",Rent__service_charges_and_utilities_cost*(1+VAT_rate)*F$38,Rent__service_charges_and_utilities_cost*F$38)</f>
        <v>60500</v>
      </c>
      <c r="G42" s="196">
        <f>IF($C$8="No",Rent__service_charges_and_utilities_cost*(1+VAT_rate)*G$38,Rent__service_charges_and_utilities_cost*G$38)</f>
        <v>60500</v>
      </c>
      <c r="H42" s="196">
        <f>IF($C$8="No",Rent__service_charges_and_utilities_cost*(1+VAT_rate)*H$38,Rent__service_charges_and_utilities_cost*H$38)</f>
        <v>60500</v>
      </c>
      <c r="I42" s="197">
        <f t="shared" ref="I42:I56" si="4">SUM(D42:H42)</f>
        <v>272250</v>
      </c>
    </row>
    <row r="43" spans="2:9" x14ac:dyDescent="0.25">
      <c r="B43" s="184" t="s">
        <v>269</v>
      </c>
      <c r="C43" s="202" t="s">
        <v>46</v>
      </c>
      <c r="D43" s="196">
        <f>IF($C$8="No",Travel___subsistence*(1+VAT_rate/2)*D$38,Travel___subsistence*(1+VAT_rate/2)*D$38)</f>
        <v>38675</v>
      </c>
      <c r="E43" s="196">
        <f>IF($C$8="No",Travel___subsistence*(1+VAT_rate/2)*E$38,Travel___subsistence*(1+VAT_rate/2)*E$38)</f>
        <v>44200</v>
      </c>
      <c r="F43" s="196">
        <f>IF($C$8="No",Travel___subsistence*(1+VAT_rate/2)*F$38,Travel___subsistence*(1+VAT_rate/2)*F$38)</f>
        <v>55250</v>
      </c>
      <c r="G43" s="196">
        <f>IF($C$8="No",Travel___subsistence*(1+VAT_rate/2)*G$38,Travel___subsistence*(1+VAT_rate/2)*G$38)</f>
        <v>55250</v>
      </c>
      <c r="H43" s="196">
        <f>IF($C$8="No",Travel___subsistence*(1+VAT_rate/2)*H$38,Travel___subsistence*(1+VAT_rate/2)*H$38)</f>
        <v>55250</v>
      </c>
      <c r="I43" s="197">
        <f>SUM(D43:H43)</f>
        <v>248625</v>
      </c>
    </row>
    <row r="44" spans="2:9" x14ac:dyDescent="0.25">
      <c r="B44" s="214" t="s">
        <v>47</v>
      </c>
      <c r="C44" s="202" t="s">
        <v>41</v>
      </c>
      <c r="D44" s="196">
        <f>IF($C$8="No",Conference_Attendance*(1+VAT_rate/2)*D$38,Conference_Attendance*(1+VAT_rate/2)*D$38)</f>
        <v>30940</v>
      </c>
      <c r="E44" s="196">
        <f>IF($C$8="No",Conference_Attendance*(1+VAT_rate/2)*E$38,Conference_Attendance*(1+VAT_rate/2)*E$38)</f>
        <v>35360</v>
      </c>
      <c r="F44" s="196">
        <f>IF($C$8="No",Conference_Attendance*(1+VAT_rate/2)*F$38,Conference_Attendance*(1+VAT_rate/2)*F$38)</f>
        <v>44200</v>
      </c>
      <c r="G44" s="196">
        <f>IF($C$8="No",Conference_Attendance*(1+VAT_rate/2)*G$38,Conference_Attendance*(1+VAT_rate/2)*G$38)</f>
        <v>44200</v>
      </c>
      <c r="H44" s="196">
        <f>IF($C$8="No",Conference_Attendance*(1+VAT_rate/2)*H$38,Conference_Attendance*(1+VAT_rate/2)*H$38)</f>
        <v>44200</v>
      </c>
      <c r="I44" s="197">
        <f>SUM(D44:H44)</f>
        <v>198900</v>
      </c>
    </row>
    <row r="45" spans="2:9" x14ac:dyDescent="0.25">
      <c r="B45" s="184" t="s">
        <v>49</v>
      </c>
      <c r="C45" s="202" t="s">
        <v>41</v>
      </c>
      <c r="D45" s="196">
        <f>IF($C$8="No",Computer_Software*(1+VAT_rate)*D$38,Computer_Software*D$38)</f>
        <v>6352.5</v>
      </c>
      <c r="E45" s="196">
        <f>IF($C$8="No",Computer_Software*(1+VAT_rate)*E$38,Computer_Software*E$38)</f>
        <v>7260</v>
      </c>
      <c r="F45" s="196">
        <f>IF($C$8="No",Computer_Software*(1+VAT_rate)*F$38,Computer_Software*F$38)</f>
        <v>9075</v>
      </c>
      <c r="G45" s="196">
        <f>IF($C$8="No",Computer_Software*(1+VAT_rate)*G$38,Computer_Software*G$38)</f>
        <v>9075</v>
      </c>
      <c r="H45" s="196">
        <f>IF($C$8="No",Computer_Software*(1+VAT_rate)*H$38,Computer_Software*H$38)</f>
        <v>9075</v>
      </c>
      <c r="I45" s="197">
        <f t="shared" si="4"/>
        <v>40837.5</v>
      </c>
    </row>
    <row r="46" spans="2:9" x14ac:dyDescent="0.25">
      <c r="B46" s="184" t="s">
        <v>50</v>
      </c>
      <c r="C46" s="202" t="s">
        <v>41</v>
      </c>
      <c r="D46" s="196">
        <f>IF($C$8="No",Computer_Hardware*(1+VAT_rate)*D$38,Computer_Hardware*D$38)</f>
        <v>6352.5</v>
      </c>
      <c r="E46" s="196">
        <f>IF($C$8="No",Computer_Hardware*(1+VAT_rate)*E$38,Computer_Hardware*E$38)</f>
        <v>7260</v>
      </c>
      <c r="F46" s="196">
        <f>IF($C$8="No",Computer_Hardware*(1+VAT_rate)*F$38,Computer_Hardware*F$38)</f>
        <v>9075</v>
      </c>
      <c r="G46" s="196">
        <f>IF($C$8="No",Computer_Hardware*(1+VAT_rate)*G$38,Computer_Hardware*G$38)</f>
        <v>9075</v>
      </c>
      <c r="H46" s="196">
        <f>IF($C$8="No",Computer_Hardware*(1+VAT_rate)*H$38,Computer_Hardware*H$38)</f>
        <v>9075</v>
      </c>
      <c r="I46" s="197">
        <f t="shared" si="4"/>
        <v>40837.5</v>
      </c>
    </row>
    <row r="47" spans="2:9" x14ac:dyDescent="0.25">
      <c r="B47" s="184" t="s">
        <v>51</v>
      </c>
      <c r="C47" s="202" t="s">
        <v>41</v>
      </c>
      <c r="D47" s="196">
        <f>IF($C$8="No",Other_Computer_Costs*(1+VAT_rate)*D$38,Other_Computer_Costs*D$38)</f>
        <v>847</v>
      </c>
      <c r="E47" s="196">
        <f>IF($C$8="No",Other_Computer_Costs*(1+VAT_rate)*E$38,Other_Computer_Costs*E$38)</f>
        <v>968</v>
      </c>
      <c r="F47" s="196">
        <f>IF($C$8="No",Other_Computer_Costs*(1+VAT_rate)*F$38,Other_Computer_Costs*F$38)</f>
        <v>1210</v>
      </c>
      <c r="G47" s="196">
        <f>IF($C$8="No",Other_Computer_Costs*(1+VAT_rate)*G$38,Other_Computer_Costs*G$38)</f>
        <v>1210</v>
      </c>
      <c r="H47" s="196">
        <f>IF($C$8="No",Other_Computer_Costs*(1+VAT_rate)*H$38,Other_Computer_Costs*H$38)</f>
        <v>1210</v>
      </c>
      <c r="I47" s="197">
        <f t="shared" si="4"/>
        <v>5445</v>
      </c>
    </row>
    <row r="48" spans="2:9" x14ac:dyDescent="0.25">
      <c r="B48" s="184" t="s">
        <v>52</v>
      </c>
      <c r="C48" s="202" t="s">
        <v>41</v>
      </c>
      <c r="D48" s="196">
        <f>IF($C$8="No",Other_office_costs*(1+VAT_rate)*D$38,Other_office_costs*D$38)</f>
        <v>847</v>
      </c>
      <c r="E48" s="196">
        <f>IF($C$8="No",Other_office_costs*(1+VAT_rate)*E$38,Other_office_costs*E$38)</f>
        <v>968</v>
      </c>
      <c r="F48" s="196">
        <f>IF($C$8="No",Other_office_costs*(1+VAT_rate)*F$38,Other_office_costs*F$38)</f>
        <v>1210</v>
      </c>
      <c r="G48" s="196">
        <f>IF($C$8="No",Other_office_costs*(1+VAT_rate)*G$38,Other_office_costs*G$38)</f>
        <v>1210</v>
      </c>
      <c r="H48" s="196">
        <f>IF($C$8="No",Other_office_costs*(1+VAT_rate)*H$38,Other_office_costs*H$38)</f>
        <v>1210</v>
      </c>
      <c r="I48" s="197">
        <f t="shared" si="4"/>
        <v>5445</v>
      </c>
    </row>
    <row r="49" spans="2:9" x14ac:dyDescent="0.25">
      <c r="B49" s="184" t="s">
        <v>272</v>
      </c>
      <c r="C49" s="202" t="s">
        <v>41</v>
      </c>
      <c r="D49" s="196">
        <f>IF($C$8="No",Internet___Telephone*(1+VAT_rate)*D$38,Internet___Telephone*D$38)</f>
        <v>847</v>
      </c>
      <c r="E49" s="196">
        <f>IF($C$8="No",Internet___Telephone*(1+VAT_rate)*E$38,Internet___Telephone*E$38)</f>
        <v>968</v>
      </c>
      <c r="F49" s="196">
        <f>IF($C$8="No",Internet___Telephone*(1+VAT_rate)*F$38,Internet___Telephone*F$38)</f>
        <v>1210</v>
      </c>
      <c r="G49" s="196">
        <f>IF($C$8="No",Internet___Telephone*(1+VAT_rate)*G$38,Internet___Telephone*G$38)</f>
        <v>1210</v>
      </c>
      <c r="H49" s="196">
        <f>IF($C$8="No",Internet___Telephone*(1+VAT_rate)*H$38,Internet___Telephone*H$38)</f>
        <v>1210</v>
      </c>
      <c r="I49" s="197">
        <f t="shared" si="4"/>
        <v>5445</v>
      </c>
    </row>
    <row r="50" spans="2:9" x14ac:dyDescent="0.25">
      <c r="B50" s="214" t="s">
        <v>53</v>
      </c>
      <c r="C50" s="202" t="s">
        <v>41</v>
      </c>
      <c r="D50" s="196">
        <f>IF($C$8="No",Staff_Training*(1+VAT_rate)*D$38,Staff_Training*D$38)</f>
        <v>8470</v>
      </c>
      <c r="E50" s="196">
        <f>IF($C$8="No",Staff_Training*(1+VAT_rate)*E$38,Staff_Training*E$38)</f>
        <v>9680</v>
      </c>
      <c r="F50" s="196">
        <f>IF($C$8="No",Staff_Training*(1+VAT_rate)*F$38,Staff_Training*F$38)</f>
        <v>12100</v>
      </c>
      <c r="G50" s="196">
        <f>IF($C$8="No",Staff_Training*(1+VAT_rate)*G$38,Staff_Training*G$38)</f>
        <v>12100</v>
      </c>
      <c r="H50" s="196">
        <f>IF($C$8="No",Staff_Training*(1+VAT_rate)*H$38,Staff_Training*H$38)</f>
        <v>12100</v>
      </c>
      <c r="I50" s="197">
        <f t="shared" si="4"/>
        <v>54450</v>
      </c>
    </row>
    <row r="51" spans="2:9" x14ac:dyDescent="0.25">
      <c r="B51" s="214" t="s">
        <v>54</v>
      </c>
      <c r="C51" s="202" t="s">
        <v>41</v>
      </c>
      <c r="D51" s="196">
        <f>IF($C$8="No",Legal_and_Professional_Fees*(1+VAT_rate),Legal_and_Professional_Fees)</f>
        <v>60500</v>
      </c>
      <c r="E51" s="196">
        <f>IF($C$8="No",Legal_and_Professional_Fees*(1+VAT_rate),Legal_and_Professional_Fees)</f>
        <v>60500</v>
      </c>
      <c r="F51" s="196">
        <f>IF($C$8="No",Legal_and_Professional_Fees*(1+VAT_rate),Legal_and_Professional_Fees)</f>
        <v>60500</v>
      </c>
      <c r="G51" s="196">
        <f>IF($C$8="No",Legal_and_Professional_Fees*(1+VAT_rate),Legal_and_Professional_Fees)</f>
        <v>60500</v>
      </c>
      <c r="H51" s="196">
        <f>IF($C$8="No",Legal_and_Professional_Fees*(1+VAT_rate),Legal_and_Professional_Fees)</f>
        <v>60500</v>
      </c>
      <c r="I51" s="197">
        <f t="shared" si="4"/>
        <v>302500</v>
      </c>
    </row>
    <row r="52" spans="2:9" x14ac:dyDescent="0.25">
      <c r="B52" s="184" t="s">
        <v>55</v>
      </c>
      <c r="C52" s="202" t="s">
        <v>43</v>
      </c>
      <c r="D52" s="196">
        <f>Subscriptions*D38</f>
        <v>700</v>
      </c>
      <c r="E52" s="196">
        <f>Subscriptions*E38</f>
        <v>800</v>
      </c>
      <c r="F52" s="196">
        <f>Subscriptions*F38</f>
        <v>1000</v>
      </c>
      <c r="G52" s="196">
        <f>Subscriptions*G38</f>
        <v>1000</v>
      </c>
      <c r="H52" s="196">
        <f>Subscriptions*H38</f>
        <v>1000</v>
      </c>
      <c r="I52" s="197">
        <f t="shared" si="4"/>
        <v>4500</v>
      </c>
    </row>
    <row r="53" spans="2:9" x14ac:dyDescent="0.25">
      <c r="B53" s="184" t="s">
        <v>56</v>
      </c>
      <c r="C53" s="202" t="s">
        <v>43</v>
      </c>
      <c r="D53" s="196">
        <f>Bank_Finance_Charges</f>
        <v>500</v>
      </c>
      <c r="E53" s="196">
        <f>Bank_Finance_Charges</f>
        <v>500</v>
      </c>
      <c r="F53" s="196">
        <f>Bank_Finance_Charges</f>
        <v>500</v>
      </c>
      <c r="G53" s="196">
        <f>Bank_Finance_Charges</f>
        <v>500</v>
      </c>
      <c r="H53" s="196">
        <f>Bank_Finance_Charges</f>
        <v>500</v>
      </c>
      <c r="I53" s="197">
        <f t="shared" si="4"/>
        <v>2500</v>
      </c>
    </row>
    <row r="54" spans="2:9" x14ac:dyDescent="0.25">
      <c r="B54" s="184" t="s">
        <v>57</v>
      </c>
      <c r="C54" s="202" t="s">
        <v>43</v>
      </c>
      <c r="D54" s="196">
        <f>Insurance*D38</f>
        <v>1750</v>
      </c>
      <c r="E54" s="196">
        <f>Insurance*E38</f>
        <v>2000</v>
      </c>
      <c r="F54" s="196">
        <f>Insurance*F38</f>
        <v>2500</v>
      </c>
      <c r="G54" s="196">
        <f>Insurance*G38</f>
        <v>2500</v>
      </c>
      <c r="H54" s="196">
        <f>Insurance*H38</f>
        <v>2500</v>
      </c>
      <c r="I54" s="197">
        <f t="shared" si="4"/>
        <v>11250</v>
      </c>
    </row>
    <row r="55" spans="2:9" x14ac:dyDescent="0.25">
      <c r="B55" s="184" t="s">
        <v>58</v>
      </c>
      <c r="C55" s="202" t="s">
        <v>43</v>
      </c>
      <c r="D55" s="196">
        <f>Depreciation*D38</f>
        <v>7000</v>
      </c>
      <c r="E55" s="196">
        <f>Depreciation*E38</f>
        <v>8000</v>
      </c>
      <c r="F55" s="196">
        <f>Depreciation*F38</f>
        <v>10000</v>
      </c>
      <c r="G55" s="196">
        <f>Depreciation*G38</f>
        <v>10000</v>
      </c>
      <c r="H55" s="196">
        <f>Depreciation*H38</f>
        <v>10000</v>
      </c>
      <c r="I55" s="197">
        <f t="shared" si="4"/>
        <v>45000</v>
      </c>
    </row>
    <row r="56" spans="2:9" x14ac:dyDescent="0.25">
      <c r="B56" s="188"/>
      <c r="C56" s="188"/>
      <c r="D56" s="198">
        <f>SUM(D42:D55)</f>
        <v>206131</v>
      </c>
      <c r="E56" s="198">
        <f>SUM(E42:E55)</f>
        <v>226864</v>
      </c>
      <c r="F56" s="198">
        <f>SUM(F42:F55)</f>
        <v>268330</v>
      </c>
      <c r="G56" s="198">
        <f>SUM(G42:G55)</f>
        <v>268330</v>
      </c>
      <c r="H56" s="198">
        <f>SUM(H42:H55)</f>
        <v>268330</v>
      </c>
      <c r="I56" s="199">
        <f t="shared" si="4"/>
        <v>1237985</v>
      </c>
    </row>
    <row r="57" spans="2:9" ht="39" customHeight="1" x14ac:dyDescent="0.25">
      <c r="B57" s="188"/>
      <c r="C57" s="206" t="s">
        <v>59</v>
      </c>
      <c r="D57" s="215">
        <f>D56/D37</f>
        <v>0.29447285714285715</v>
      </c>
      <c r="E57" s="215">
        <f>E56/E37</f>
        <v>0.28358</v>
      </c>
      <c r="F57" s="215">
        <f>F56/F37</f>
        <v>0.26833000000000001</v>
      </c>
      <c r="G57" s="215">
        <f>G56/G37</f>
        <v>0.26833000000000001</v>
      </c>
      <c r="H57" s="215">
        <f>H56/H37</f>
        <v>0.26833000000000001</v>
      </c>
      <c r="I57" s="216"/>
    </row>
    <row r="58" spans="2:9" x14ac:dyDescent="0.25">
      <c r="B58" s="188"/>
      <c r="C58" s="188"/>
      <c r="D58" s="217"/>
      <c r="E58" s="217"/>
      <c r="F58" s="217"/>
      <c r="G58" s="217"/>
      <c r="H58" s="217"/>
      <c r="I58" s="218"/>
    </row>
    <row r="59" spans="2:9" x14ac:dyDescent="0.25">
      <c r="B59" s="188" t="s">
        <v>60</v>
      </c>
      <c r="D59" s="198">
        <f>SUM(D24,D30,D37,D33,D56)</f>
        <v>1657262.05</v>
      </c>
      <c r="E59" s="198">
        <f t="shared" ref="E59:H59" si="5">SUM(E24,E30,E37,E33,E56)</f>
        <v>2162173.6800000002</v>
      </c>
      <c r="F59" s="198">
        <f t="shared" si="5"/>
        <v>2824725.4880000004</v>
      </c>
      <c r="G59" s="198">
        <f t="shared" si="5"/>
        <v>3165949.3600000003</v>
      </c>
      <c r="H59" s="198">
        <f t="shared" si="5"/>
        <v>3306311.2960000006</v>
      </c>
      <c r="I59" s="199">
        <f>SUM(D59:H59)</f>
        <v>13116421.874000002</v>
      </c>
    </row>
    <row r="61" spans="2:9" ht="27.95" customHeight="1" x14ac:dyDescent="0.25">
      <c r="C61" s="206" t="s">
        <v>31</v>
      </c>
      <c r="D61" s="207">
        <f>D59/D25</f>
        <v>2971.6013089474627</v>
      </c>
      <c r="E61" s="207">
        <f>E59/E25</f>
        <v>2423.0922538999462</v>
      </c>
      <c r="F61" s="207">
        <f>F59/F25</f>
        <v>1978.4981060606058</v>
      </c>
      <c r="G61" s="207">
        <f>G59/G25</f>
        <v>1773.9988793258021</v>
      </c>
      <c r="H61" s="207">
        <f>H59/H25</f>
        <v>1684.2262539325473</v>
      </c>
      <c r="I61" s="219"/>
    </row>
    <row r="62" spans="2:9" x14ac:dyDescent="0.25">
      <c r="D62" s="196"/>
      <c r="E62" s="200"/>
      <c r="F62" s="200"/>
      <c r="G62" s="200"/>
      <c r="H62" s="200"/>
      <c r="I62" s="201"/>
    </row>
    <row r="63" spans="2:9" ht="15.75" thickBot="1" x14ac:dyDescent="0.3">
      <c r="B63" s="188" t="s">
        <v>26</v>
      </c>
      <c r="D63" s="220">
        <f>D19-D59</f>
        <v>165726.20500000007</v>
      </c>
      <c r="E63" s="220">
        <f>E19-E59</f>
        <v>219531.89210000029</v>
      </c>
      <c r="F63" s="220">
        <f>F19-F59</f>
        <v>290177.71074200049</v>
      </c>
      <c r="G63" s="220">
        <f>G19-G59</f>
        <v>330103.65215684008</v>
      </c>
      <c r="H63" s="220">
        <f>H19-H59</f>
        <v>350741.91879997728</v>
      </c>
      <c r="I63" s="221">
        <f>SUM(D63:H63)</f>
        <v>1356281.3787988182</v>
      </c>
    </row>
    <row r="64" spans="2:9" ht="15.75" thickTop="1" x14ac:dyDescent="0.25">
      <c r="B64" s="222"/>
      <c r="C64" s="222"/>
      <c r="D64" s="223"/>
      <c r="E64" s="196"/>
      <c r="F64" s="196"/>
      <c r="G64" s="196"/>
      <c r="H64" s="196"/>
    </row>
    <row r="66" spans="2:8" x14ac:dyDescent="0.25">
      <c r="B66" s="184" t="s">
        <v>27</v>
      </c>
      <c r="D66" s="224">
        <v>0</v>
      </c>
      <c r="E66" s="225">
        <f>D67</f>
        <v>165726.20500000007</v>
      </c>
      <c r="F66" s="225">
        <f t="shared" ref="F66:H66" si="6">E67</f>
        <v>385258.09710000036</v>
      </c>
      <c r="G66" s="225">
        <f t="shared" si="6"/>
        <v>675435.80784200085</v>
      </c>
      <c r="H66" s="225">
        <f t="shared" si="6"/>
        <v>1005539.4599988409</v>
      </c>
    </row>
    <row r="67" spans="2:8" x14ac:dyDescent="0.25">
      <c r="B67" s="184" t="s">
        <v>28</v>
      </c>
      <c r="D67" s="226">
        <f>D66+D63</f>
        <v>165726.20500000007</v>
      </c>
      <c r="E67" s="226">
        <f>E66+E63</f>
        <v>385258.09710000036</v>
      </c>
      <c r="F67" s="226">
        <f>F66+F63</f>
        <v>675435.80784200085</v>
      </c>
      <c r="G67" s="226">
        <f>G66+G63</f>
        <v>1005539.4599988409</v>
      </c>
      <c r="H67" s="226">
        <f>H66+H63</f>
        <v>1356281.3787988182</v>
      </c>
    </row>
    <row r="68" spans="2:8" ht="24.75" x14ac:dyDescent="0.25">
      <c r="C68" s="213" t="s">
        <v>61</v>
      </c>
      <c r="D68" s="215">
        <f>D67/D59</f>
        <v>0.10000000000000005</v>
      </c>
      <c r="E68" s="215">
        <f>E67/E59</f>
        <v>0.17818092073898537</v>
      </c>
      <c r="F68" s="215">
        <f>F67/F59</f>
        <v>0.23911555678999161</v>
      </c>
      <c r="G68" s="215">
        <f>G67/G59</f>
        <v>0.31761072135368612</v>
      </c>
      <c r="H68" s="215">
        <f>H67/H59</f>
        <v>0.41020982520298599</v>
      </c>
    </row>
  </sheetData>
  <sheetProtection selectLockedCells="1" selectUnlockedCells="1"/>
  <mergeCells count="1">
    <mergeCell ref="B5:I5"/>
  </mergeCell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98DEA-A8A7-4F9E-B9B5-4FDA94210820}">
  <sheetPr>
    <tabColor theme="8"/>
  </sheetPr>
  <dimension ref="A1:I48"/>
  <sheetViews>
    <sheetView topLeftCell="A25" workbookViewId="0">
      <selection activeCell="B22" sqref="B22"/>
    </sheetView>
  </sheetViews>
  <sheetFormatPr defaultRowHeight="15" x14ac:dyDescent="0.25"/>
  <cols>
    <col min="2" max="2" width="46.85546875" customWidth="1"/>
    <col min="3" max="3" width="16.7109375" customWidth="1"/>
    <col min="4" max="4" width="13.7109375" customWidth="1"/>
    <col min="5" max="5" width="19.7109375" customWidth="1"/>
    <col min="6" max="6" width="62.140625" style="51" customWidth="1"/>
    <col min="10" max="10" width="11.85546875" customWidth="1"/>
  </cols>
  <sheetData>
    <row r="1" spans="2:9" ht="18.75" x14ac:dyDescent="0.3">
      <c r="B1" s="68" t="s">
        <v>62</v>
      </c>
      <c r="C1" s="68"/>
    </row>
    <row r="3" spans="2:9" ht="30" x14ac:dyDescent="0.25">
      <c r="B3" s="52" t="s">
        <v>63</v>
      </c>
      <c r="C3" s="52" t="s">
        <v>289</v>
      </c>
      <c r="D3" s="58" t="s">
        <v>274</v>
      </c>
      <c r="E3" s="52" t="s">
        <v>64</v>
      </c>
      <c r="F3" s="174" t="s">
        <v>65</v>
      </c>
    </row>
    <row r="5" spans="2:9" x14ac:dyDescent="0.25">
      <c r="B5" s="64" t="s">
        <v>275</v>
      </c>
      <c r="C5" s="64"/>
    </row>
    <row r="6" spans="2:9" x14ac:dyDescent="0.25">
      <c r="B6" s="283" t="s">
        <v>40</v>
      </c>
      <c r="C6" t="s">
        <v>85</v>
      </c>
      <c r="D6" s="112">
        <v>550</v>
      </c>
      <c r="E6" s="283" t="s">
        <v>66</v>
      </c>
      <c r="F6" s="284" t="s">
        <v>67</v>
      </c>
    </row>
    <row r="7" spans="2:9" x14ac:dyDescent="0.25">
      <c r="B7" s="283"/>
      <c r="C7" t="s">
        <v>33</v>
      </c>
      <c r="D7" s="112">
        <v>650</v>
      </c>
      <c r="E7" s="283"/>
      <c r="F7" s="271"/>
    </row>
    <row r="8" spans="2:9" x14ac:dyDescent="0.25">
      <c r="B8" s="283"/>
      <c r="C8" t="s">
        <v>83</v>
      </c>
      <c r="D8" s="112">
        <v>750</v>
      </c>
      <c r="E8" s="283"/>
      <c r="F8" s="271"/>
    </row>
    <row r="9" spans="2:9" x14ac:dyDescent="0.25">
      <c r="B9" t="s">
        <v>42</v>
      </c>
      <c r="D9" s="132">
        <v>10000</v>
      </c>
      <c r="E9" t="s">
        <v>68</v>
      </c>
      <c r="F9" s="175" t="s">
        <v>69</v>
      </c>
    </row>
    <row r="10" spans="2:9" x14ac:dyDescent="0.25">
      <c r="D10" s="167"/>
      <c r="F10" s="175"/>
    </row>
    <row r="11" spans="2:9" x14ac:dyDescent="0.25">
      <c r="B11" s="64" t="s">
        <v>103</v>
      </c>
      <c r="D11" s="167"/>
      <c r="F11" s="175"/>
    </row>
    <row r="12" spans="2:9" ht="45" x14ac:dyDescent="0.25">
      <c r="B12" t="s">
        <v>103</v>
      </c>
      <c r="D12" s="112" t="s">
        <v>267</v>
      </c>
      <c r="E12" t="s">
        <v>319</v>
      </c>
      <c r="F12" s="48" t="s">
        <v>317</v>
      </c>
    </row>
    <row r="13" spans="2:9" ht="16.5" customHeight="1" x14ac:dyDescent="0.25"/>
    <row r="14" spans="2:9" x14ac:dyDescent="0.25">
      <c r="B14" s="120" t="s">
        <v>44</v>
      </c>
      <c r="C14" s="120"/>
      <c r="D14" s="111"/>
      <c r="E14" s="94"/>
      <c r="F14" s="176"/>
      <c r="G14" s="94"/>
      <c r="H14" s="94"/>
      <c r="I14" s="94"/>
    </row>
    <row r="15" spans="2:9" x14ac:dyDescent="0.25">
      <c r="B15" s="120"/>
      <c r="C15" s="120"/>
      <c r="D15" s="111"/>
      <c r="E15" s="110"/>
      <c r="F15" s="177"/>
      <c r="G15" s="110"/>
      <c r="H15" s="110"/>
      <c r="I15" s="110"/>
    </row>
    <row r="16" spans="2:9" x14ac:dyDescent="0.25">
      <c r="B16" t="s">
        <v>270</v>
      </c>
      <c r="D16" s="166" t="s">
        <v>267</v>
      </c>
      <c r="E16" t="s">
        <v>300</v>
      </c>
      <c r="F16" s="178" t="s">
        <v>280</v>
      </c>
      <c r="G16" s="49"/>
      <c r="H16" s="49"/>
      <c r="I16" s="49"/>
    </row>
    <row r="17" spans="2:9" x14ac:dyDescent="0.25">
      <c r="D17" s="131"/>
      <c r="F17" s="179"/>
      <c r="G17" s="49"/>
      <c r="H17" s="49"/>
      <c r="I17" s="49"/>
    </row>
    <row r="18" spans="2:9" x14ac:dyDescent="0.25">
      <c r="B18" s="64" t="s">
        <v>23</v>
      </c>
      <c r="C18" s="64"/>
    </row>
    <row r="19" spans="2:9" x14ac:dyDescent="0.25">
      <c r="B19" t="s">
        <v>70</v>
      </c>
      <c r="C19" t="s">
        <v>85</v>
      </c>
      <c r="D19" s="112">
        <v>80000</v>
      </c>
      <c r="E19" t="s">
        <v>71</v>
      </c>
      <c r="F19" s="51" t="s">
        <v>382</v>
      </c>
    </row>
    <row r="20" spans="2:9" ht="45" x14ac:dyDescent="0.25">
      <c r="C20" t="s">
        <v>33</v>
      </c>
      <c r="D20" s="112">
        <v>100000</v>
      </c>
      <c r="E20" t="s">
        <v>71</v>
      </c>
      <c r="F20" s="51" t="s">
        <v>72</v>
      </c>
    </row>
    <row r="21" spans="2:9" x14ac:dyDescent="0.25">
      <c r="C21" t="s">
        <v>83</v>
      </c>
      <c r="D21" s="112">
        <v>120000</v>
      </c>
      <c r="E21" t="s">
        <v>71</v>
      </c>
      <c r="F21" s="51" t="s">
        <v>383</v>
      </c>
    </row>
    <row r="22" spans="2:9" x14ac:dyDescent="0.25">
      <c r="B22" s="65"/>
      <c r="C22" s="65"/>
      <c r="D22" s="131"/>
    </row>
    <row r="23" spans="2:9" x14ac:dyDescent="0.25">
      <c r="B23" s="64" t="s">
        <v>24</v>
      </c>
      <c r="C23" s="64"/>
      <c r="D23" s="94"/>
    </row>
    <row r="24" spans="2:9" x14ac:dyDescent="0.25">
      <c r="B24" s="51" t="s">
        <v>73</v>
      </c>
      <c r="C24" s="51"/>
      <c r="D24" s="112">
        <v>5000</v>
      </c>
      <c r="E24" t="s">
        <v>71</v>
      </c>
      <c r="F24" s="51" t="s">
        <v>318</v>
      </c>
      <c r="G24" s="60" t="s">
        <v>74</v>
      </c>
      <c r="H24" s="60" t="s">
        <v>75</v>
      </c>
      <c r="I24" s="60" t="s">
        <v>76</v>
      </c>
    </row>
    <row r="25" spans="2:9" x14ac:dyDescent="0.25">
      <c r="B25" t="s">
        <v>45</v>
      </c>
      <c r="D25" s="112">
        <v>5000</v>
      </c>
      <c r="E25" t="s">
        <v>71</v>
      </c>
      <c r="F25" s="51" t="s">
        <v>77</v>
      </c>
    </row>
    <row r="26" spans="2:9" x14ac:dyDescent="0.25">
      <c r="B26" s="65" t="s">
        <v>47</v>
      </c>
      <c r="C26" s="65"/>
      <c r="D26" s="112">
        <v>4000</v>
      </c>
      <c r="E26" t="s">
        <v>71</v>
      </c>
      <c r="F26" s="51" t="s">
        <v>77</v>
      </c>
    </row>
    <row r="27" spans="2:9" x14ac:dyDescent="0.25">
      <c r="B27" t="s">
        <v>49</v>
      </c>
      <c r="D27" s="112">
        <v>750</v>
      </c>
      <c r="E27" t="s">
        <v>71</v>
      </c>
      <c r="F27" s="51" t="s">
        <v>77</v>
      </c>
    </row>
    <row r="28" spans="2:9" x14ac:dyDescent="0.25">
      <c r="B28" t="s">
        <v>50</v>
      </c>
      <c r="D28" s="112">
        <v>750</v>
      </c>
      <c r="E28" t="s">
        <v>71</v>
      </c>
      <c r="F28" s="51" t="s">
        <v>77</v>
      </c>
    </row>
    <row r="29" spans="2:9" x14ac:dyDescent="0.25">
      <c r="B29" t="s">
        <v>51</v>
      </c>
      <c r="D29" s="112">
        <v>100</v>
      </c>
      <c r="E29" t="s">
        <v>71</v>
      </c>
      <c r="F29" s="51" t="s">
        <v>77</v>
      </c>
    </row>
    <row r="30" spans="2:9" x14ac:dyDescent="0.25">
      <c r="B30" t="s">
        <v>52</v>
      </c>
      <c r="D30" s="112">
        <v>100</v>
      </c>
      <c r="E30" t="s">
        <v>71</v>
      </c>
      <c r="F30" s="51" t="s">
        <v>77</v>
      </c>
    </row>
    <row r="31" spans="2:9" x14ac:dyDescent="0.25">
      <c r="B31" t="s">
        <v>272</v>
      </c>
      <c r="D31" s="112">
        <v>100</v>
      </c>
      <c r="E31" t="s">
        <v>71</v>
      </c>
      <c r="F31" s="51" t="s">
        <v>77</v>
      </c>
    </row>
    <row r="32" spans="2:9" x14ac:dyDescent="0.25">
      <c r="B32" s="65" t="s">
        <v>53</v>
      </c>
      <c r="C32" s="65"/>
      <c r="D32" s="112">
        <v>1000</v>
      </c>
      <c r="E32" t="s">
        <v>71</v>
      </c>
      <c r="F32" s="51" t="s">
        <v>77</v>
      </c>
    </row>
    <row r="33" spans="1:6" x14ac:dyDescent="0.25">
      <c r="B33" s="65" t="s">
        <v>54</v>
      </c>
      <c r="C33" s="65"/>
      <c r="D33" s="112">
        <v>50000</v>
      </c>
      <c r="E33" t="s">
        <v>316</v>
      </c>
      <c r="F33" s="51" t="s">
        <v>273</v>
      </c>
    </row>
    <row r="34" spans="1:6" x14ac:dyDescent="0.25">
      <c r="A34" s="65"/>
      <c r="B34" t="s">
        <v>55</v>
      </c>
      <c r="D34" s="112">
        <v>100</v>
      </c>
      <c r="E34" t="s">
        <v>71</v>
      </c>
      <c r="F34" s="51" t="s">
        <v>77</v>
      </c>
    </row>
    <row r="35" spans="1:6" x14ac:dyDescent="0.25">
      <c r="B35" t="s">
        <v>56</v>
      </c>
      <c r="D35" s="112">
        <v>500</v>
      </c>
      <c r="E35" t="s">
        <v>68</v>
      </c>
      <c r="F35" s="51" t="s">
        <v>77</v>
      </c>
    </row>
    <row r="36" spans="1:6" x14ac:dyDescent="0.25">
      <c r="B36" t="s">
        <v>57</v>
      </c>
      <c r="D36" s="112">
        <v>250</v>
      </c>
      <c r="E36" t="s">
        <v>71</v>
      </c>
      <c r="F36" s="51" t="s">
        <v>77</v>
      </c>
    </row>
    <row r="37" spans="1:6" x14ac:dyDescent="0.25">
      <c r="B37" t="s">
        <v>58</v>
      </c>
      <c r="D37" s="112">
        <v>1000</v>
      </c>
      <c r="E37" t="s">
        <v>71</v>
      </c>
      <c r="F37" s="51" t="s">
        <v>77</v>
      </c>
    </row>
    <row r="40" spans="1:6" ht="18.75" x14ac:dyDescent="0.3">
      <c r="B40" s="68" t="s">
        <v>78</v>
      </c>
      <c r="C40" s="68"/>
    </row>
    <row r="42" spans="1:6" x14ac:dyDescent="0.25">
      <c r="B42" t="s">
        <v>79</v>
      </c>
      <c r="D42" s="142">
        <v>0.93</v>
      </c>
    </row>
    <row r="43" spans="1:6" x14ac:dyDescent="0.25">
      <c r="B43" t="s">
        <v>80</v>
      </c>
      <c r="D43" s="106">
        <v>0.21</v>
      </c>
      <c r="E43" t="s">
        <v>81</v>
      </c>
      <c r="F43" s="51" t="s">
        <v>82</v>
      </c>
    </row>
    <row r="44" spans="1:6" x14ac:dyDescent="0.25">
      <c r="B44" t="s">
        <v>17</v>
      </c>
      <c r="D44" s="106" t="s">
        <v>83</v>
      </c>
      <c r="E44" t="s">
        <v>9</v>
      </c>
      <c r="F44" s="175" t="s">
        <v>84</v>
      </c>
    </row>
    <row r="45" spans="1:6" x14ac:dyDescent="0.25">
      <c r="D45" s="106" t="s">
        <v>33</v>
      </c>
      <c r="E45" t="s">
        <v>9</v>
      </c>
      <c r="F45" s="175" t="s">
        <v>84</v>
      </c>
    </row>
    <row r="46" spans="1:6" x14ac:dyDescent="0.25">
      <c r="D46" s="106" t="s">
        <v>85</v>
      </c>
      <c r="E46" t="s">
        <v>9</v>
      </c>
      <c r="F46" s="175" t="s">
        <v>84</v>
      </c>
    </row>
    <row r="47" spans="1:6" x14ac:dyDescent="0.25">
      <c r="B47" t="s">
        <v>34</v>
      </c>
      <c r="D47" s="106" t="s">
        <v>321</v>
      </c>
      <c r="E47" t="s">
        <v>9</v>
      </c>
    </row>
    <row r="48" spans="1:6" x14ac:dyDescent="0.25">
      <c r="D48" s="106" t="s">
        <v>35</v>
      </c>
      <c r="E48" t="s">
        <v>9</v>
      </c>
    </row>
  </sheetData>
  <mergeCells count="3">
    <mergeCell ref="B6:B8"/>
    <mergeCell ref="E6:E8"/>
    <mergeCell ref="F6:F8"/>
  </mergeCells>
  <hyperlinks>
    <hyperlink ref="G24" r:id="rId1" xr:uid="{408E224F-BDC7-4AEF-850C-6A9ADF814768}"/>
    <hyperlink ref="F45" r:id="rId2" xr:uid="{760AEB56-0A7D-4D79-B76D-04AF67FCDDE4}"/>
    <hyperlink ref="F44" r:id="rId3" xr:uid="{5260CF7F-44AC-4E8B-B9EC-1F709861237B}"/>
    <hyperlink ref="F46" r:id="rId4" xr:uid="{D3A5E90F-DD2A-406F-8095-F3193F63B00E}"/>
    <hyperlink ref="H24" r:id="rId5" xr:uid="{29BD0E97-C2B9-48C4-8D74-7CDD123071A2}"/>
    <hyperlink ref="I24" r:id="rId6" location=":~:text=The%20prime%20rent%20for%20office,per%20square%20meter%20in%202022. " xr:uid="{31B074F8-5CE1-44E8-84E6-299A6D14643B}"/>
    <hyperlink ref="F6" r:id="rId7" xr:uid="{50F8EC90-5EB7-4860-BDAE-018C4A8AB69D}"/>
    <hyperlink ref="F9" r:id="rId8" xr:uid="{15A0A1CE-01E4-4BF0-8D12-7B7B2AF3F8E4}"/>
    <hyperlink ref="F16" r:id="rId9" display="../../../../../:x:/s/Projects/EZ6rbxMWHP9JkcmaR5aO420BtkHYWvBMAAKXHK1k1EfEng?e=LhhLY4&amp;nav=MTVfe0RBNzk1QjNBLTVGRjUtNDM4Ri05MjI4LTlGRTIzRDNBOUUyRH0" xr:uid="{A0FC64CC-9302-46A4-8025-2A401F4708E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95D1C-9258-4E42-829E-962F99A5E735}">
  <sheetPr>
    <tabColor theme="2"/>
  </sheetPr>
  <dimension ref="B2:P102"/>
  <sheetViews>
    <sheetView topLeftCell="A27" zoomScale="115" zoomScaleNormal="115" workbookViewId="0">
      <selection activeCell="I33" sqref="I33"/>
    </sheetView>
  </sheetViews>
  <sheetFormatPr defaultRowHeight="15" x14ac:dyDescent="0.25"/>
  <cols>
    <col min="1" max="1" width="6.42578125" customWidth="1"/>
    <col min="2" max="2" width="11.28515625" customWidth="1"/>
    <col min="3" max="3" width="22.85546875" customWidth="1"/>
    <col min="4" max="5" width="11.85546875" customWidth="1"/>
    <col min="6" max="13" width="11.5703125" customWidth="1"/>
  </cols>
  <sheetData>
    <row r="2" spans="2:2" x14ac:dyDescent="0.25">
      <c r="B2" s="64"/>
    </row>
    <row r="3" spans="2:2" x14ac:dyDescent="0.25">
      <c r="B3" s="64"/>
    </row>
    <row r="4" spans="2:2" x14ac:dyDescent="0.25">
      <c r="B4" s="64"/>
    </row>
    <row r="5" spans="2:2" x14ac:dyDescent="0.25">
      <c r="B5" s="64"/>
    </row>
    <row r="6" spans="2:2" x14ac:dyDescent="0.25">
      <c r="B6" s="64"/>
    </row>
    <row r="7" spans="2:2" x14ac:dyDescent="0.25">
      <c r="B7" s="64"/>
    </row>
    <row r="8" spans="2:2" x14ac:dyDescent="0.25">
      <c r="B8" s="64"/>
    </row>
    <row r="9" spans="2:2" x14ac:dyDescent="0.25">
      <c r="B9" s="64"/>
    </row>
    <row r="10" spans="2:2" x14ac:dyDescent="0.25">
      <c r="B10" s="64"/>
    </row>
    <row r="11" spans="2:2" x14ac:dyDescent="0.25">
      <c r="B11" s="64"/>
    </row>
    <row r="12" spans="2:2" x14ac:dyDescent="0.25">
      <c r="B12" s="64"/>
    </row>
    <row r="13" spans="2:2" x14ac:dyDescent="0.25">
      <c r="B13" s="64"/>
    </row>
    <row r="14" spans="2:2" x14ac:dyDescent="0.25">
      <c r="B14" s="64"/>
    </row>
    <row r="15" spans="2:2" x14ac:dyDescent="0.25">
      <c r="B15" s="64"/>
    </row>
    <row r="16" spans="2:2" x14ac:dyDescent="0.25">
      <c r="B16" s="64"/>
    </row>
    <row r="17" spans="2:13" x14ac:dyDescent="0.25">
      <c r="B17" s="64"/>
    </row>
    <row r="18" spans="2:13" x14ac:dyDescent="0.25">
      <c r="B18" s="64"/>
    </row>
    <row r="19" spans="2:13" x14ac:dyDescent="0.25">
      <c r="B19" s="64"/>
    </row>
    <row r="24" spans="2:13" x14ac:dyDescent="0.25">
      <c r="B24" s="64" t="s">
        <v>302</v>
      </c>
    </row>
    <row r="26" spans="2:13" ht="15.75" thickBot="1" x14ac:dyDescent="0.3"/>
    <row r="27" spans="2:13" ht="30.75" thickBot="1" x14ac:dyDescent="0.3">
      <c r="B27" s="168" t="s">
        <v>289</v>
      </c>
      <c r="D27" s="254" t="s">
        <v>88</v>
      </c>
      <c r="E27" s="255" t="s">
        <v>89</v>
      </c>
      <c r="F27" s="256" t="s">
        <v>305</v>
      </c>
      <c r="G27" s="256" t="s">
        <v>308</v>
      </c>
      <c r="H27" s="256" t="s">
        <v>309</v>
      </c>
      <c r="I27" s="256" t="s">
        <v>310</v>
      </c>
      <c r="J27" s="256" t="s">
        <v>311</v>
      </c>
      <c r="K27" s="256" t="s">
        <v>312</v>
      </c>
      <c r="L27" s="256" t="s">
        <v>313</v>
      </c>
      <c r="M27" s="256" t="s">
        <v>314</v>
      </c>
    </row>
    <row r="28" spans="2:13" s="130" customFormat="1" ht="12" x14ac:dyDescent="0.2">
      <c r="C28" s="130" t="s">
        <v>107</v>
      </c>
      <c r="D28" s="130" t="s">
        <v>306</v>
      </c>
      <c r="E28" s="130" t="s">
        <v>306</v>
      </c>
      <c r="F28" s="130" t="s">
        <v>306</v>
      </c>
      <c r="G28" s="130" t="s">
        <v>307</v>
      </c>
      <c r="H28" s="130" t="s">
        <v>307</v>
      </c>
      <c r="I28" s="130" t="s">
        <v>307</v>
      </c>
      <c r="J28" s="130" t="s">
        <v>307</v>
      </c>
      <c r="K28" s="130" t="s">
        <v>307</v>
      </c>
      <c r="L28" s="130" t="s">
        <v>307</v>
      </c>
      <c r="M28" s="130" t="s">
        <v>307</v>
      </c>
    </row>
    <row r="29" spans="2:13" s="130" customFormat="1" ht="12" x14ac:dyDescent="0.2"/>
    <row r="30" spans="2:13" x14ac:dyDescent="0.25">
      <c r="B30" s="95" t="s">
        <v>85</v>
      </c>
      <c r="C30" s="95" t="s">
        <v>315</v>
      </c>
      <c r="D30" s="98">
        <v>156</v>
      </c>
      <c r="E30" s="98">
        <v>147</v>
      </c>
      <c r="F30" s="98">
        <v>220</v>
      </c>
      <c r="G30" s="98">
        <f t="shared" ref="G30:M30" si="0">F30*(1+G31)</f>
        <v>275</v>
      </c>
      <c r="H30" s="98">
        <f t="shared" si="0"/>
        <v>343.75</v>
      </c>
      <c r="I30" s="98">
        <f t="shared" si="0"/>
        <v>446.875</v>
      </c>
      <c r="J30" s="98">
        <f t="shared" si="0"/>
        <v>580.9375</v>
      </c>
      <c r="K30" s="98">
        <f t="shared" si="0"/>
        <v>813.3125</v>
      </c>
      <c r="L30" s="98">
        <f t="shared" si="0"/>
        <v>975.97499999999991</v>
      </c>
      <c r="M30" s="98">
        <f t="shared" si="0"/>
        <v>1024.7737499999998</v>
      </c>
    </row>
    <row r="31" spans="2:13" x14ac:dyDescent="0.25">
      <c r="B31" s="95"/>
      <c r="C31" s="96" t="s">
        <v>90</v>
      </c>
      <c r="D31" s="97" t="s">
        <v>91</v>
      </c>
      <c r="E31" s="129">
        <f>E30/D30-1</f>
        <v>-5.7692307692307709E-2</v>
      </c>
      <c r="F31" s="129">
        <f>F30/E30-1</f>
        <v>0.49659863945578242</v>
      </c>
      <c r="G31" s="129">
        <v>0.25</v>
      </c>
      <c r="H31" s="129">
        <v>0.25</v>
      </c>
      <c r="I31" s="129">
        <v>0.3</v>
      </c>
      <c r="J31" s="129">
        <v>0.3</v>
      </c>
      <c r="K31" s="129">
        <v>0.4</v>
      </c>
      <c r="L31" s="129">
        <v>0.2</v>
      </c>
      <c r="M31" s="129">
        <v>0.05</v>
      </c>
    </row>
    <row r="33" spans="2:16" x14ac:dyDescent="0.25">
      <c r="B33" s="74" t="s">
        <v>33</v>
      </c>
      <c r="C33" s="74" t="s">
        <v>315</v>
      </c>
      <c r="D33" s="104">
        <v>156</v>
      </c>
      <c r="E33" s="104">
        <v>147</v>
      </c>
      <c r="F33" s="104">
        <v>220</v>
      </c>
      <c r="G33" s="104">
        <f t="shared" ref="G33:M33" si="1">F33*(1+G34)</f>
        <v>286</v>
      </c>
      <c r="H33" s="104">
        <f t="shared" si="1"/>
        <v>371.8</v>
      </c>
      <c r="I33" s="104">
        <f t="shared" si="1"/>
        <v>557.70000000000005</v>
      </c>
      <c r="J33" s="104">
        <f t="shared" si="1"/>
        <v>892.32000000000016</v>
      </c>
      <c r="K33" s="104">
        <f t="shared" si="1"/>
        <v>1427.7120000000004</v>
      </c>
      <c r="L33" s="104">
        <f t="shared" si="1"/>
        <v>1784.6400000000006</v>
      </c>
      <c r="M33" s="104">
        <f t="shared" si="1"/>
        <v>1963.1040000000007</v>
      </c>
    </row>
    <row r="34" spans="2:16" x14ac:dyDescent="0.25">
      <c r="B34" s="73"/>
      <c r="C34" s="100" t="s">
        <v>90</v>
      </c>
      <c r="D34" s="101" t="s">
        <v>91</v>
      </c>
      <c r="E34" s="102">
        <f>E33/D33-1</f>
        <v>-5.7692307692307709E-2</v>
      </c>
      <c r="F34" s="102">
        <f>F33/E33-1</f>
        <v>0.49659863945578242</v>
      </c>
      <c r="G34" s="103">
        <v>0.3</v>
      </c>
      <c r="H34" s="103">
        <v>0.3</v>
      </c>
      <c r="I34" s="103">
        <v>0.5</v>
      </c>
      <c r="J34" s="103">
        <v>0.6</v>
      </c>
      <c r="K34" s="103">
        <v>0.6</v>
      </c>
      <c r="L34" s="103">
        <v>0.25</v>
      </c>
      <c r="M34" s="103">
        <v>0.1</v>
      </c>
    </row>
    <row r="36" spans="2:16" x14ac:dyDescent="0.25">
      <c r="B36" s="169" t="s">
        <v>83</v>
      </c>
      <c r="C36" s="169" t="s">
        <v>315</v>
      </c>
      <c r="D36" s="154">
        <v>156</v>
      </c>
      <c r="E36" s="154">
        <v>147</v>
      </c>
      <c r="F36" s="154">
        <v>220</v>
      </c>
      <c r="G36" s="154">
        <f>F36*(1+G37)</f>
        <v>330</v>
      </c>
      <c r="H36" s="154">
        <f t="shared" ref="H36:M36" si="2">G36*(1+H37)</f>
        <v>495</v>
      </c>
      <c r="I36" s="154">
        <f t="shared" si="2"/>
        <v>891</v>
      </c>
      <c r="J36" s="154">
        <f t="shared" si="2"/>
        <v>1603.8</v>
      </c>
      <c r="K36" s="154">
        <f t="shared" si="2"/>
        <v>2806.65</v>
      </c>
      <c r="L36" s="154">
        <f t="shared" si="2"/>
        <v>3929.31</v>
      </c>
      <c r="M36" s="154">
        <f t="shared" si="2"/>
        <v>4911.6374999999998</v>
      </c>
    </row>
    <row r="37" spans="2:16" x14ac:dyDescent="0.25">
      <c r="B37" s="153"/>
      <c r="C37" s="170" t="s">
        <v>90</v>
      </c>
      <c r="D37" s="171" t="s">
        <v>91</v>
      </c>
      <c r="E37" s="172">
        <f>E36/D36-1</f>
        <v>-5.7692307692307709E-2</v>
      </c>
      <c r="F37" s="172">
        <f>F36/E36-1</f>
        <v>0.49659863945578242</v>
      </c>
      <c r="G37" s="172">
        <v>0.5</v>
      </c>
      <c r="H37" s="173">
        <v>0.5</v>
      </c>
      <c r="I37" s="173">
        <v>0.8</v>
      </c>
      <c r="J37" s="173">
        <v>0.8</v>
      </c>
      <c r="K37" s="173">
        <v>0.75</v>
      </c>
      <c r="L37" s="173">
        <v>0.4</v>
      </c>
      <c r="M37" s="173">
        <v>0.25</v>
      </c>
    </row>
    <row r="43" spans="2:16" x14ac:dyDescent="0.25">
      <c r="P43" s="50"/>
    </row>
    <row r="48" spans="2:16" x14ac:dyDescent="0.25">
      <c r="E48" s="50"/>
      <c r="F48" s="50"/>
      <c r="G48" s="50"/>
      <c r="H48" s="50"/>
      <c r="I48" s="50"/>
      <c r="J48" s="50"/>
      <c r="K48" s="50"/>
      <c r="L48" s="50"/>
      <c r="M48" s="50"/>
      <c r="N48" s="50"/>
    </row>
    <row r="68" spans="2:14" x14ac:dyDescent="0.25">
      <c r="M68">
        <v>1176700</v>
      </c>
      <c r="N68">
        <v>1100000</v>
      </c>
    </row>
    <row r="69" spans="2:14" x14ac:dyDescent="0.25">
      <c r="K69">
        <v>1000</v>
      </c>
      <c r="L69" s="257">
        <f>K69/$M$68</f>
        <v>8.4983428231494859E-4</v>
      </c>
      <c r="M69" s="257">
        <f>K69/$N$68</f>
        <v>9.0909090909090909E-4</v>
      </c>
    </row>
    <row r="70" spans="2:14" x14ac:dyDescent="0.25">
      <c r="K70">
        <v>2000</v>
      </c>
      <c r="L70" s="257">
        <f>K70/$M$68</f>
        <v>1.6996685646298972E-3</v>
      </c>
      <c r="M70" s="257">
        <f>K70/$N$68</f>
        <v>1.8181818181818182E-3</v>
      </c>
    </row>
    <row r="71" spans="2:14" x14ac:dyDescent="0.25">
      <c r="K71">
        <v>5000</v>
      </c>
      <c r="L71" s="257">
        <f>K71/$M$68</f>
        <v>4.2491714115747425E-3</v>
      </c>
      <c r="M71" s="258">
        <f>K71/$N$68</f>
        <v>4.5454545454545452E-3</v>
      </c>
    </row>
    <row r="77" spans="2:14" x14ac:dyDescent="0.25">
      <c r="B77" s="64"/>
    </row>
    <row r="79" spans="2:14" x14ac:dyDescent="0.25">
      <c r="B79" s="150"/>
    </row>
    <row r="102" spans="2:2" x14ac:dyDescent="0.25">
      <c r="B102" s="150"/>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47C30-F421-433C-9616-F826E78E91D7}">
  <sheetPr>
    <tabColor theme="2"/>
  </sheetPr>
  <dimension ref="A1:T74"/>
  <sheetViews>
    <sheetView topLeftCell="A15" zoomScaleNormal="100" workbookViewId="0">
      <selection activeCell="O29" sqref="O29"/>
    </sheetView>
  </sheetViews>
  <sheetFormatPr defaultColWidth="11.42578125" defaultRowHeight="15" x14ac:dyDescent="0.25"/>
  <cols>
    <col min="1" max="1" width="3.42578125" customWidth="1"/>
    <col min="2" max="2" width="35.42578125" customWidth="1"/>
    <col min="3" max="3" width="18.42578125" customWidth="1"/>
    <col min="4" max="4" width="19.7109375" customWidth="1"/>
    <col min="5" max="5" width="14.140625" customWidth="1"/>
    <col min="6" max="6" width="10.42578125" customWidth="1"/>
    <col min="7" max="7" width="10.28515625" customWidth="1"/>
    <col min="8" max="8" width="11.42578125" customWidth="1"/>
    <col min="9" max="9" width="11.140625" customWidth="1"/>
    <col min="10" max="10" width="7.42578125" customWidth="1"/>
    <col min="11" max="11" width="3.42578125" customWidth="1"/>
    <col min="12" max="12" width="7.5703125" customWidth="1"/>
    <col min="13" max="14" width="3.5703125" customWidth="1"/>
    <col min="16" max="16" width="12.7109375" customWidth="1"/>
    <col min="17" max="17" width="12.140625" customWidth="1"/>
    <col min="18" max="18" width="12.5703125" customWidth="1"/>
    <col min="19" max="19" width="14.42578125" customWidth="1"/>
    <col min="20" max="20" width="7.42578125" customWidth="1"/>
    <col min="21" max="21" width="3.28515625" customWidth="1"/>
    <col min="22" max="22" width="8.42578125" customWidth="1"/>
    <col min="23" max="24" width="2.5703125" customWidth="1"/>
    <col min="25" max="25" width="11.85546875" customWidth="1"/>
    <col min="26" max="26" width="10" customWidth="1"/>
  </cols>
  <sheetData>
    <row r="1" spans="1:3" ht="18.75" x14ac:dyDescent="0.3">
      <c r="A1" s="68" t="s">
        <v>106</v>
      </c>
    </row>
    <row r="2" spans="1:3" ht="18.75" x14ac:dyDescent="0.3">
      <c r="A2" s="68"/>
    </row>
    <row r="5" spans="1:3" ht="18.75" x14ac:dyDescent="0.3">
      <c r="A5" s="68"/>
      <c r="C5" s="60"/>
    </row>
    <row r="6" spans="1:3" ht="18.75" x14ac:dyDescent="0.3">
      <c r="A6" s="68"/>
      <c r="C6" s="60"/>
    </row>
    <row r="7" spans="1:3" ht="18.75" x14ac:dyDescent="0.3">
      <c r="A7" s="68"/>
      <c r="C7" s="60"/>
    </row>
    <row r="8" spans="1:3" ht="18.75" x14ac:dyDescent="0.3">
      <c r="A8" s="68"/>
      <c r="B8" s="64" t="s">
        <v>368</v>
      </c>
      <c r="C8" s="60"/>
    </row>
    <row r="9" spans="1:3" ht="18.75" x14ac:dyDescent="0.3">
      <c r="A9" s="68"/>
      <c r="B9" s="52" t="s">
        <v>333</v>
      </c>
      <c r="C9" s="82" t="s">
        <v>355</v>
      </c>
    </row>
    <row r="10" spans="1:3" ht="18.75" x14ac:dyDescent="0.3">
      <c r="A10" s="68"/>
      <c r="B10" t="s">
        <v>369</v>
      </c>
      <c r="C10" s="94">
        <f>I38</f>
        <v>104.55552734374999</v>
      </c>
    </row>
    <row r="11" spans="1:3" ht="18.75" x14ac:dyDescent="0.3">
      <c r="A11" s="68"/>
      <c r="B11" t="s">
        <v>370</v>
      </c>
      <c r="C11" s="94">
        <f>I51</f>
        <v>309.27392578125</v>
      </c>
    </row>
    <row r="12" spans="1:3" ht="18.75" x14ac:dyDescent="0.3">
      <c r="A12" s="68"/>
      <c r="B12" t="s">
        <v>371</v>
      </c>
      <c r="C12" s="94">
        <f>I64</f>
        <v>236.74631510416668</v>
      </c>
    </row>
    <row r="13" spans="1:3" ht="18.75" x14ac:dyDescent="0.3">
      <c r="A13" s="68"/>
      <c r="B13" t="s">
        <v>372</v>
      </c>
      <c r="C13" s="94">
        <f>I72</f>
        <v>5.1973007812500001</v>
      </c>
    </row>
    <row r="14" spans="1:3" ht="19.5" thickBot="1" x14ac:dyDescent="0.35">
      <c r="A14" s="68"/>
      <c r="C14" s="109">
        <f>SUM(C10:C13)</f>
        <v>655.77306901041663</v>
      </c>
    </row>
    <row r="15" spans="1:3" ht="19.5" thickTop="1" x14ac:dyDescent="0.3">
      <c r="A15" s="68"/>
      <c r="C15" s="128"/>
    </row>
    <row r="16" spans="1:3" ht="18.75" x14ac:dyDescent="0.3">
      <c r="A16" s="68"/>
      <c r="B16" s="64" t="s">
        <v>323</v>
      </c>
      <c r="C16" s="60"/>
    </row>
    <row r="17" spans="1:12" ht="18.75" x14ac:dyDescent="0.3">
      <c r="A17" s="68"/>
      <c r="B17" s="52"/>
      <c r="C17" s="60"/>
    </row>
    <row r="18" spans="1:12" x14ac:dyDescent="0.25">
      <c r="B18" t="s">
        <v>107</v>
      </c>
      <c r="C18" t="s">
        <v>367</v>
      </c>
    </row>
    <row r="19" spans="1:12" ht="18.75" x14ac:dyDescent="0.3">
      <c r="A19" s="68"/>
      <c r="C19" s="60" t="s">
        <v>108</v>
      </c>
    </row>
    <row r="20" spans="1:12" ht="18.75" x14ac:dyDescent="0.3">
      <c r="A20" s="68"/>
      <c r="B20" s="52"/>
      <c r="C20" s="60"/>
    </row>
    <row r="21" spans="1:12" x14ac:dyDescent="0.25">
      <c r="A21" s="52" t="s">
        <v>352</v>
      </c>
      <c r="J21" t="s">
        <v>107</v>
      </c>
    </row>
    <row r="22" spans="1:12" x14ac:dyDescent="0.25">
      <c r="B22" t="s">
        <v>110</v>
      </c>
      <c r="H22" s="16">
        <f>'5a. ORE page and figure avgs'!H9</f>
        <v>15.5</v>
      </c>
      <c r="I22" s="1"/>
      <c r="J22" s="141" t="s">
        <v>395</v>
      </c>
      <c r="L22" s="1"/>
    </row>
    <row r="23" spans="1:12" ht="15" customHeight="1" x14ac:dyDescent="0.25">
      <c r="B23" t="s">
        <v>111</v>
      </c>
      <c r="H23" s="16">
        <f>'5a. ORE page and figure avgs'!H10</f>
        <v>10.8</v>
      </c>
      <c r="I23" s="1"/>
      <c r="J23" s="141" t="s">
        <v>395</v>
      </c>
      <c r="L23" s="1"/>
    </row>
    <row r="24" spans="1:12" ht="15" customHeight="1" x14ac:dyDescent="0.25">
      <c r="B24" t="s">
        <v>112</v>
      </c>
      <c r="C24" s="83"/>
      <c r="D24" s="83"/>
      <c r="E24" s="83"/>
      <c r="F24" s="83"/>
      <c r="G24" s="83"/>
      <c r="H24" s="16">
        <f>'5a. ORE page and figure avgs'!H11</f>
        <v>7</v>
      </c>
      <c r="I24" s="1"/>
      <c r="J24" s="141" t="s">
        <v>395</v>
      </c>
      <c r="L24" s="1"/>
    </row>
    <row r="25" spans="1:12" x14ac:dyDescent="0.25">
      <c r="B25" s="61" t="s">
        <v>113</v>
      </c>
      <c r="C25" s="61"/>
      <c r="D25" s="61"/>
      <c r="E25" s="61"/>
      <c r="F25" s="61"/>
      <c r="G25" s="61"/>
      <c r="H25" s="140">
        <v>0.5</v>
      </c>
      <c r="I25" s="1"/>
      <c r="J25" t="s">
        <v>373</v>
      </c>
      <c r="L25" s="1"/>
    </row>
    <row r="26" spans="1:12" x14ac:dyDescent="0.25">
      <c r="B26" s="61"/>
      <c r="C26" s="61"/>
      <c r="D26" s="61"/>
      <c r="E26" s="61"/>
      <c r="F26" s="61"/>
      <c r="G26" s="61"/>
      <c r="H26" s="69"/>
      <c r="I26" s="1"/>
      <c r="J26" s="1"/>
      <c r="K26" s="1"/>
      <c r="L26" s="1"/>
    </row>
    <row r="28" spans="1:12" x14ac:dyDescent="0.25">
      <c r="A28" s="52" t="s">
        <v>353</v>
      </c>
    </row>
    <row r="29" spans="1:12" x14ac:dyDescent="0.25">
      <c r="A29" s="52"/>
      <c r="E29" s="285" t="s">
        <v>338</v>
      </c>
      <c r="F29" s="285"/>
      <c r="G29" s="285" t="s">
        <v>341</v>
      </c>
      <c r="H29" s="285"/>
      <c r="I29" s="286" t="s">
        <v>335</v>
      </c>
    </row>
    <row r="30" spans="1:12" ht="30" x14ac:dyDescent="0.25">
      <c r="B30" s="70" t="s">
        <v>114</v>
      </c>
      <c r="C30" s="70"/>
      <c r="D30" s="247"/>
      <c r="E30" s="236" t="s">
        <v>343</v>
      </c>
      <c r="F30" s="236" t="s">
        <v>344</v>
      </c>
      <c r="G30" s="235" t="s">
        <v>342</v>
      </c>
      <c r="H30" s="235" t="s">
        <v>330</v>
      </c>
      <c r="I30" s="287"/>
    </row>
    <row r="31" spans="1:12" x14ac:dyDescent="0.25">
      <c r="B31" s="52"/>
    </row>
    <row r="32" spans="1:12" x14ac:dyDescent="0.25">
      <c r="B32" t="s">
        <v>115</v>
      </c>
      <c r="F32" s="234"/>
      <c r="G32" s="230">
        <v>0.25</v>
      </c>
      <c r="H32" s="231">
        <f>G32*Production_Editor_Eur_Per_Hour</f>
        <v>7.3682519531250001</v>
      </c>
      <c r="I32" s="231">
        <f>F32+H32</f>
        <v>7.3682519531250001</v>
      </c>
    </row>
    <row r="33" spans="1:13" x14ac:dyDescent="0.25">
      <c r="B33" t="s">
        <v>356</v>
      </c>
      <c r="F33" s="234"/>
      <c r="G33" s="230">
        <v>1</v>
      </c>
      <c r="H33" s="231">
        <f>G33*Production_Editor_Eur_Per_Hour</f>
        <v>29.473007812500001</v>
      </c>
      <c r="I33" s="231">
        <f>F33+H33</f>
        <v>29.473007812500001</v>
      </c>
      <c r="K33" s="77"/>
      <c r="L33" s="77"/>
      <c r="M33" s="77"/>
    </row>
    <row r="34" spans="1:13" x14ac:dyDescent="0.25">
      <c r="B34" t="s">
        <v>116</v>
      </c>
      <c r="F34" s="234"/>
      <c r="G34" s="237">
        <v>0.25</v>
      </c>
      <c r="H34" s="231">
        <f>G34*Production_Editor_Eur_Per_Hour</f>
        <v>7.3682519531250001</v>
      </c>
      <c r="I34" s="231">
        <f>F34+H34</f>
        <v>7.3682519531250001</v>
      </c>
    </row>
    <row r="35" spans="1:13" x14ac:dyDescent="0.25">
      <c r="B35" t="s">
        <v>336</v>
      </c>
      <c r="F35" s="234">
        <v>0.7</v>
      </c>
      <c r="G35" s="230"/>
      <c r="H35" s="234"/>
      <c r="I35" s="231">
        <f>F35+H35</f>
        <v>0.7</v>
      </c>
    </row>
    <row r="36" spans="1:13" x14ac:dyDescent="0.25">
      <c r="B36" s="70" t="s">
        <v>337</v>
      </c>
      <c r="C36" s="70"/>
      <c r="D36" s="70"/>
      <c r="E36" s="70"/>
      <c r="F36" s="238"/>
      <c r="G36" s="239">
        <v>0.25</v>
      </c>
      <c r="H36" s="240">
        <f>G36*Production_Editor_Eur_Per_Hour</f>
        <v>7.3682519531250001</v>
      </c>
      <c r="I36" s="240">
        <f>F36+H36</f>
        <v>7.3682519531250001</v>
      </c>
    </row>
    <row r="37" spans="1:13" x14ac:dyDescent="0.25">
      <c r="B37" s="88" t="s">
        <v>331</v>
      </c>
      <c r="F37" s="232">
        <f>SUM(F32:F36)</f>
        <v>0.7</v>
      </c>
      <c r="G37" s="232">
        <f>SUM(G32:G36)</f>
        <v>1.75</v>
      </c>
      <c r="H37" s="233">
        <f>SUM(H32:H36)</f>
        <v>51.57776367187499</v>
      </c>
      <c r="I37" s="233">
        <f>SUM(I32:I36)</f>
        <v>52.277763671874993</v>
      </c>
      <c r="J37" s="89"/>
    </row>
    <row r="38" spans="1:13" x14ac:dyDescent="0.25">
      <c r="B38" s="88" t="s">
        <v>351</v>
      </c>
      <c r="G38" s="229"/>
      <c r="H38" s="89"/>
      <c r="I38" s="233">
        <f>I37*2</f>
        <v>104.55552734374999</v>
      </c>
    </row>
    <row r="39" spans="1:13" x14ac:dyDescent="0.25">
      <c r="B39" s="52"/>
      <c r="G39" s="76"/>
      <c r="H39" s="76"/>
      <c r="I39" s="76"/>
    </row>
    <row r="40" spans="1:13" x14ac:dyDescent="0.25">
      <c r="A40" s="52" t="s">
        <v>354</v>
      </c>
    </row>
    <row r="41" spans="1:13" x14ac:dyDescent="0.25">
      <c r="A41" s="52"/>
    </row>
    <row r="42" spans="1:13" x14ac:dyDescent="0.25">
      <c r="E42" s="285" t="s">
        <v>338</v>
      </c>
      <c r="F42" s="285"/>
      <c r="G42" s="285" t="s">
        <v>341</v>
      </c>
      <c r="H42" s="285"/>
      <c r="I42" s="286" t="s">
        <v>335</v>
      </c>
    </row>
    <row r="43" spans="1:13" ht="30" x14ac:dyDescent="0.25">
      <c r="B43" s="70" t="s">
        <v>114</v>
      </c>
      <c r="C43" s="70"/>
      <c r="D43" s="247"/>
      <c r="E43" s="236" t="s">
        <v>343</v>
      </c>
      <c r="F43" s="236" t="s">
        <v>344</v>
      </c>
      <c r="G43" s="235" t="s">
        <v>342</v>
      </c>
      <c r="H43" s="235" t="s">
        <v>330</v>
      </c>
      <c r="I43" s="287"/>
    </row>
    <row r="44" spans="1:13" x14ac:dyDescent="0.25">
      <c r="B44" t="s">
        <v>334</v>
      </c>
      <c r="E44" s="231">
        <v>4.2</v>
      </c>
      <c r="F44" s="231">
        <f>E44*$H$22</f>
        <v>65.100000000000009</v>
      </c>
      <c r="G44" s="231"/>
      <c r="H44" s="231"/>
      <c r="I44" s="231">
        <f>F44+H44</f>
        <v>65.100000000000009</v>
      </c>
    </row>
    <row r="45" spans="1:13" x14ac:dyDescent="0.25">
      <c r="B45" t="s">
        <v>339</v>
      </c>
      <c r="E45" s="231">
        <v>10</v>
      </c>
      <c r="F45" s="231">
        <f>E45*$H$22</f>
        <v>155</v>
      </c>
      <c r="G45" s="231"/>
      <c r="H45" s="231"/>
      <c r="I45" s="231">
        <f>F45+H45</f>
        <v>155</v>
      </c>
    </row>
    <row r="46" spans="1:13" x14ac:dyDescent="0.25">
      <c r="B46" t="s">
        <v>340</v>
      </c>
      <c r="E46" s="231">
        <v>5</v>
      </c>
      <c r="F46" s="231">
        <f>E46*H23</f>
        <v>54</v>
      </c>
      <c r="G46" s="231"/>
      <c r="H46" s="231"/>
      <c r="I46" s="231">
        <f t="shared" ref="I46:I50" si="0">F46+H46</f>
        <v>54</v>
      </c>
    </row>
    <row r="47" spans="1:13" x14ac:dyDescent="0.25">
      <c r="B47" t="s">
        <v>117</v>
      </c>
      <c r="E47" s="231"/>
      <c r="F47" s="231">
        <v>14</v>
      </c>
      <c r="G47" s="231"/>
      <c r="H47" s="231"/>
      <c r="I47" s="231">
        <f t="shared" si="0"/>
        <v>14</v>
      </c>
    </row>
    <row r="48" spans="1:13" x14ac:dyDescent="0.25">
      <c r="B48" t="s">
        <v>118</v>
      </c>
      <c r="E48" s="231"/>
      <c r="F48" s="231">
        <v>2</v>
      </c>
      <c r="G48" s="231"/>
      <c r="H48" s="231"/>
      <c r="I48" s="231">
        <f t="shared" si="0"/>
        <v>2</v>
      </c>
    </row>
    <row r="49" spans="1:14" x14ac:dyDescent="0.25">
      <c r="B49" t="s">
        <v>345</v>
      </c>
      <c r="E49" s="231"/>
      <c r="F49" s="231">
        <v>0.25</v>
      </c>
      <c r="G49" s="231"/>
      <c r="H49" s="231"/>
      <c r="I49" s="231">
        <f t="shared" si="0"/>
        <v>0.25</v>
      </c>
    </row>
    <row r="50" spans="1:14" x14ac:dyDescent="0.25">
      <c r="B50" s="70" t="s">
        <v>119</v>
      </c>
      <c r="C50" s="70"/>
      <c r="D50" s="70"/>
      <c r="E50" s="240"/>
      <c r="F50" s="240"/>
      <c r="G50" s="240">
        <v>0.5</v>
      </c>
      <c r="H50" s="240">
        <f>G50*Editor_EUR_per_hour</f>
        <v>18.923925781249999</v>
      </c>
      <c r="I50" s="240">
        <f t="shared" si="0"/>
        <v>18.923925781249999</v>
      </c>
    </row>
    <row r="51" spans="1:14" x14ac:dyDescent="0.25">
      <c r="B51" s="88" t="s">
        <v>332</v>
      </c>
      <c r="F51" s="243">
        <f>SUM(F44:F50)</f>
        <v>290.35000000000002</v>
      </c>
      <c r="G51" s="89">
        <f>SUM(G32:G50)</f>
        <v>4</v>
      </c>
      <c r="H51" s="89">
        <f>SUM(H32:H50)</f>
        <v>122.07945312499999</v>
      </c>
      <c r="I51" s="89">
        <f>SUM(I44:I50)</f>
        <v>309.27392578125</v>
      </c>
      <c r="J51" s="89"/>
    </row>
    <row r="52" spans="1:14" ht="15.75" customHeight="1" x14ac:dyDescent="0.25">
      <c r="B52" s="52"/>
      <c r="C52" s="52"/>
      <c r="D52" s="52"/>
      <c r="E52" s="76"/>
      <c r="F52" s="76"/>
      <c r="G52" s="76"/>
      <c r="H52" s="76"/>
      <c r="I52" s="76"/>
      <c r="J52" s="76"/>
      <c r="K52" s="76"/>
      <c r="L52" s="76"/>
      <c r="M52" s="76"/>
      <c r="N52" s="76"/>
    </row>
    <row r="53" spans="1:14" x14ac:dyDescent="0.25">
      <c r="A53" s="52" t="s">
        <v>349</v>
      </c>
    </row>
    <row r="54" spans="1:14" x14ac:dyDescent="0.25">
      <c r="E54" s="285" t="s">
        <v>338</v>
      </c>
      <c r="F54" s="285"/>
      <c r="G54" s="285" t="s">
        <v>341</v>
      </c>
      <c r="H54" s="285"/>
      <c r="I54" s="286" t="s">
        <v>335</v>
      </c>
    </row>
    <row r="55" spans="1:14" ht="30" x14ac:dyDescent="0.25">
      <c r="B55" s="70" t="s">
        <v>114</v>
      </c>
      <c r="C55" s="70"/>
      <c r="D55" s="70"/>
      <c r="E55" s="236" t="s">
        <v>343</v>
      </c>
      <c r="F55" s="236" t="s">
        <v>344</v>
      </c>
      <c r="G55" s="235" t="s">
        <v>342</v>
      </c>
      <c r="H55" s="235" t="s">
        <v>330</v>
      </c>
      <c r="I55" s="287"/>
      <c r="J55" s="71"/>
      <c r="K55" s="71"/>
      <c r="L55" s="71"/>
      <c r="M55" s="71"/>
    </row>
    <row r="56" spans="1:14" x14ac:dyDescent="0.25">
      <c r="F56" s="1" t="s">
        <v>121</v>
      </c>
      <c r="G56" s="1" t="s">
        <v>122</v>
      </c>
      <c r="H56" s="1" t="s">
        <v>123</v>
      </c>
      <c r="I56" s="1"/>
    </row>
    <row r="57" spans="1:14" x14ac:dyDescent="0.25">
      <c r="B57" t="s">
        <v>348</v>
      </c>
      <c r="F57" s="1"/>
      <c r="G57" s="72">
        <f>100/60</f>
        <v>1.6666666666666667</v>
      </c>
      <c r="H57" s="72">
        <f>G57*Editor_EUR_per_hour</f>
        <v>63.079752604166664</v>
      </c>
      <c r="I57" s="241">
        <f t="shared" ref="I57:I63" si="1">F57+H57</f>
        <v>63.079752604166664</v>
      </c>
    </row>
    <row r="58" spans="1:14" x14ac:dyDescent="0.25">
      <c r="B58" t="s">
        <v>124</v>
      </c>
      <c r="F58" s="1"/>
      <c r="G58" s="72">
        <v>1</v>
      </c>
      <c r="H58" s="72">
        <f>G58*Editor_EUR_per_hour</f>
        <v>37.847851562499997</v>
      </c>
      <c r="I58" s="241">
        <f t="shared" si="1"/>
        <v>37.847851562499997</v>
      </c>
    </row>
    <row r="59" spans="1:14" x14ac:dyDescent="0.25">
      <c r="B59" t="s">
        <v>125</v>
      </c>
      <c r="F59" s="1"/>
      <c r="G59" s="72">
        <v>2</v>
      </c>
      <c r="H59" s="72">
        <f>G59*Editor_EUR_per_hour</f>
        <v>75.695703124999994</v>
      </c>
      <c r="I59" s="241">
        <f t="shared" si="1"/>
        <v>75.695703124999994</v>
      </c>
    </row>
    <row r="60" spans="1:14" x14ac:dyDescent="0.25">
      <c r="B60" t="s">
        <v>126</v>
      </c>
      <c r="E60" s="1">
        <v>4.2</v>
      </c>
      <c r="F60" s="1">
        <f>E60*$H$24</f>
        <v>29.400000000000002</v>
      </c>
      <c r="G60" s="72"/>
      <c r="H60" s="72"/>
      <c r="I60" s="241">
        <f t="shared" si="1"/>
        <v>29.400000000000002</v>
      </c>
    </row>
    <row r="61" spans="1:14" x14ac:dyDescent="0.25">
      <c r="B61" t="s">
        <v>357</v>
      </c>
      <c r="F61" s="1"/>
      <c r="G61" s="72">
        <v>1</v>
      </c>
      <c r="H61" s="72">
        <f>G61*Production_Editor_Eur_Per_Hour</f>
        <v>29.473007812500001</v>
      </c>
      <c r="I61" s="241">
        <f t="shared" si="1"/>
        <v>29.473007812500001</v>
      </c>
    </row>
    <row r="62" spans="1:14" x14ac:dyDescent="0.25">
      <c r="B62" t="s">
        <v>346</v>
      </c>
      <c r="F62" s="1">
        <v>1</v>
      </c>
      <c r="G62" s="1"/>
      <c r="H62" s="1"/>
      <c r="I62" s="241">
        <f t="shared" si="1"/>
        <v>1</v>
      </c>
    </row>
    <row r="63" spans="1:14" x14ac:dyDescent="0.25">
      <c r="B63" s="70" t="s">
        <v>347</v>
      </c>
      <c r="C63" s="70"/>
      <c r="D63" s="70"/>
      <c r="E63" s="70"/>
      <c r="F63" s="71">
        <v>0.25</v>
      </c>
      <c r="G63" s="71"/>
      <c r="H63" s="71"/>
      <c r="I63" s="242">
        <f t="shared" si="1"/>
        <v>0.25</v>
      </c>
    </row>
    <row r="64" spans="1:14" x14ac:dyDescent="0.25">
      <c r="B64" s="88" t="s">
        <v>120</v>
      </c>
      <c r="F64" s="244">
        <f>SUM(F56:F63)</f>
        <v>30.650000000000002</v>
      </c>
      <c r="G64" s="244">
        <f>SUM(G56:G63)</f>
        <v>5.666666666666667</v>
      </c>
      <c r="H64" s="244">
        <f>SUM(H56:H63)</f>
        <v>206.09631510416665</v>
      </c>
      <c r="I64" s="244">
        <f>SUM(I56:I63)</f>
        <v>236.74631510416668</v>
      </c>
    </row>
    <row r="65" spans="1:20" x14ac:dyDescent="0.25">
      <c r="B65" s="52"/>
      <c r="C65" s="52"/>
      <c r="D65" s="52"/>
      <c r="E65" s="76"/>
      <c r="F65" s="76"/>
      <c r="G65" s="76"/>
      <c r="H65" s="76"/>
      <c r="I65" s="76"/>
    </row>
    <row r="66" spans="1:20" x14ac:dyDescent="0.25">
      <c r="B66" s="52"/>
      <c r="C66" s="52"/>
      <c r="D66" s="52"/>
      <c r="E66" s="76"/>
      <c r="F66" s="76"/>
      <c r="G66" s="76"/>
      <c r="H66" s="76"/>
      <c r="I66" s="76"/>
      <c r="J66" s="76"/>
      <c r="K66" s="76"/>
      <c r="L66" s="76"/>
      <c r="M66" s="76"/>
      <c r="N66" s="76"/>
      <c r="R66" s="76"/>
      <c r="S66" s="76"/>
      <c r="T66" s="66"/>
    </row>
    <row r="67" spans="1:20" x14ac:dyDescent="0.25">
      <c r="A67" s="52" t="s">
        <v>350</v>
      </c>
      <c r="R67" s="1"/>
      <c r="S67" s="1"/>
    </row>
    <row r="68" spans="1:20" x14ac:dyDescent="0.25">
      <c r="E68" s="285" t="s">
        <v>338</v>
      </c>
      <c r="F68" s="285"/>
      <c r="G68" s="285" t="s">
        <v>341</v>
      </c>
      <c r="H68" s="285"/>
      <c r="I68" s="286" t="s">
        <v>335</v>
      </c>
    </row>
    <row r="69" spans="1:20" ht="30" x14ac:dyDescent="0.25">
      <c r="B69" s="70" t="s">
        <v>114</v>
      </c>
      <c r="C69" s="70"/>
      <c r="D69" s="70"/>
      <c r="E69" s="236" t="s">
        <v>343</v>
      </c>
      <c r="F69" s="236" t="s">
        <v>344</v>
      </c>
      <c r="G69" s="235" t="s">
        <v>342</v>
      </c>
      <c r="H69" s="235" t="s">
        <v>330</v>
      </c>
      <c r="I69" s="287"/>
    </row>
    <row r="70" spans="1:20" x14ac:dyDescent="0.25">
      <c r="B70" t="s">
        <v>127</v>
      </c>
      <c r="F70" s="245">
        <v>0.25</v>
      </c>
      <c r="G70" s="72">
        <v>0.1</v>
      </c>
      <c r="H70" s="72">
        <f>G70*Production_Editor_Eur_Per_Hour</f>
        <v>2.9473007812500001</v>
      </c>
      <c r="I70" s="241">
        <f>F70+H70</f>
        <v>3.1973007812500001</v>
      </c>
    </row>
    <row r="71" spans="1:20" x14ac:dyDescent="0.25">
      <c r="B71" s="70" t="s">
        <v>128</v>
      </c>
      <c r="C71" s="70"/>
      <c r="D71" s="70"/>
      <c r="E71" s="70"/>
      <c r="F71" s="246">
        <v>2</v>
      </c>
      <c r="G71" s="79"/>
      <c r="H71" s="79"/>
      <c r="I71" s="242">
        <f>F71+H71</f>
        <v>2</v>
      </c>
    </row>
    <row r="72" spans="1:20" x14ac:dyDescent="0.25">
      <c r="B72" s="88" t="s">
        <v>120</v>
      </c>
      <c r="F72" s="244">
        <f>SUM(F64:F71)</f>
        <v>32.900000000000006</v>
      </c>
      <c r="G72" s="244">
        <f>SUM(G64:G71)</f>
        <v>5.7666666666666666</v>
      </c>
      <c r="H72" s="244">
        <f>SUM(H64:H71)</f>
        <v>209.04361588541664</v>
      </c>
      <c r="I72" s="244">
        <f>SUM(I70:I71)</f>
        <v>5.1973007812500001</v>
      </c>
    </row>
    <row r="73" spans="1:20" ht="15.75" thickBot="1" x14ac:dyDescent="0.3">
      <c r="B73" s="80"/>
      <c r="C73" s="80"/>
      <c r="D73" s="80"/>
      <c r="E73" s="80"/>
      <c r="F73" s="80"/>
      <c r="G73" s="81"/>
      <c r="H73" s="81"/>
      <c r="I73" s="81"/>
    </row>
    <row r="74" spans="1:20" ht="15.75" thickTop="1" x14ac:dyDescent="0.25">
      <c r="B74" s="88" t="s">
        <v>129</v>
      </c>
      <c r="G74" s="78"/>
      <c r="H74" s="90"/>
      <c r="I74" s="90"/>
      <c r="J74" s="2"/>
      <c r="K74" s="2"/>
    </row>
  </sheetData>
  <mergeCells count="12">
    <mergeCell ref="E54:F54"/>
    <mergeCell ref="G54:H54"/>
    <mergeCell ref="I54:I55"/>
    <mergeCell ref="E68:F68"/>
    <mergeCell ref="G68:H68"/>
    <mergeCell ref="I68:I69"/>
    <mergeCell ref="G29:H29"/>
    <mergeCell ref="E29:F29"/>
    <mergeCell ref="E42:F42"/>
    <mergeCell ref="G42:H42"/>
    <mergeCell ref="I29:I30"/>
    <mergeCell ref="I42:I43"/>
  </mergeCells>
  <hyperlinks>
    <hyperlink ref="J22" r:id="rId1" display="ORE page and figure averages" xr:uid="{B8BA99A6-DA56-458C-8B6B-67364F2E06D7}"/>
    <hyperlink ref="C19" r:id="rId2" xr:uid="{88B02095-D5AE-4315-9E96-79CDC45C267C}"/>
    <hyperlink ref="J23" r:id="rId3" display="ORE page and figure averages" xr:uid="{59566385-ECCD-4663-BEE5-C5136D018BA3}"/>
    <hyperlink ref="J24" r:id="rId4" display="ORE page and figure averages" xr:uid="{9CA4713A-DBFE-4C48-AC05-7E715A752777}"/>
  </hyperlinks>
  <pageMargins left="0.7" right="0.7" top="0.75" bottom="0.75" header="0.3" footer="0.3"/>
  <pageSetup paperSize="9" orientation="portrait" horizontalDpi="4294967293" verticalDpi="0" r:id="rId5"/>
  <drawing r:id="rId6"/>
  <legacyDrawing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81870-8B07-47A3-8AF6-75C809457A3C}">
  <sheetPr>
    <tabColor theme="2"/>
  </sheetPr>
  <dimension ref="A1:Z50"/>
  <sheetViews>
    <sheetView workbookViewId="0">
      <selection activeCell="I5" sqref="I5"/>
    </sheetView>
  </sheetViews>
  <sheetFormatPr defaultRowHeight="15" x14ac:dyDescent="0.25"/>
  <cols>
    <col min="1" max="1" width="25.7109375" customWidth="1"/>
    <col min="12" max="12" width="33.42578125" customWidth="1"/>
  </cols>
  <sheetData>
    <row r="1" spans="1:26" ht="18.75" x14ac:dyDescent="0.3">
      <c r="A1" s="68" t="s">
        <v>131</v>
      </c>
    </row>
    <row r="7" spans="1:26" x14ac:dyDescent="0.25">
      <c r="A7" s="133" t="s">
        <v>109</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8" spans="1:26" x14ac:dyDescent="0.25">
      <c r="A8" s="133"/>
      <c r="B8" s="134"/>
      <c r="C8" s="134"/>
      <c r="D8" s="134"/>
      <c r="E8" s="134"/>
      <c r="F8" s="134"/>
      <c r="G8" s="134"/>
      <c r="H8" s="134"/>
      <c r="I8" s="134"/>
      <c r="J8" s="134"/>
      <c r="K8" s="134"/>
      <c r="L8" s="134"/>
      <c r="M8" s="134"/>
      <c r="N8" s="134"/>
      <c r="O8" s="134"/>
      <c r="P8" s="134"/>
      <c r="Q8" s="134"/>
      <c r="R8" s="134"/>
      <c r="S8" s="134"/>
      <c r="T8" s="134"/>
      <c r="U8" s="134"/>
      <c r="V8" s="134"/>
      <c r="W8" s="134"/>
      <c r="X8" s="134"/>
      <c r="Y8" s="134"/>
      <c r="Z8" s="134"/>
    </row>
    <row r="9" spans="1:26" x14ac:dyDescent="0.25">
      <c r="A9" s="134"/>
      <c r="B9" s="134" t="s">
        <v>132</v>
      </c>
      <c r="C9" s="134"/>
      <c r="D9" s="134"/>
      <c r="E9" s="134"/>
      <c r="F9" s="134"/>
      <c r="G9" s="134"/>
      <c r="H9" s="148">
        <f>N48</f>
        <v>15.5</v>
      </c>
      <c r="I9" s="134"/>
      <c r="J9" s="139" t="s">
        <v>133</v>
      </c>
      <c r="K9" s="134"/>
      <c r="L9" s="134"/>
      <c r="M9" s="134"/>
      <c r="N9" s="134"/>
      <c r="O9" s="134"/>
      <c r="P9" s="134"/>
      <c r="Q9" s="134"/>
      <c r="R9" s="134"/>
      <c r="S9" s="134"/>
      <c r="T9" s="134"/>
      <c r="U9" s="134"/>
      <c r="V9" s="134"/>
      <c r="W9" s="134"/>
      <c r="X9" s="134"/>
      <c r="Y9" s="134"/>
      <c r="Z9" s="134"/>
    </row>
    <row r="10" spans="1:26" x14ac:dyDescent="0.25">
      <c r="A10" s="134"/>
      <c r="B10" s="134" t="s">
        <v>134</v>
      </c>
      <c r="C10" s="134"/>
      <c r="D10" s="134"/>
      <c r="E10" s="134"/>
      <c r="F10" s="134"/>
      <c r="G10" s="134"/>
      <c r="H10" s="148">
        <f>O48</f>
        <v>10.8</v>
      </c>
      <c r="I10" s="134"/>
      <c r="J10" t="s">
        <v>135</v>
      </c>
      <c r="T10" s="134"/>
      <c r="U10" s="134"/>
      <c r="V10" s="134"/>
      <c r="W10" s="134"/>
      <c r="X10" s="134"/>
      <c r="Y10" s="134"/>
      <c r="Z10" s="134"/>
    </row>
    <row r="11" spans="1:26" x14ac:dyDescent="0.25">
      <c r="A11" s="134"/>
      <c r="B11" s="61" t="s">
        <v>136</v>
      </c>
      <c r="C11" s="61"/>
      <c r="D11" s="61"/>
      <c r="E11" s="61"/>
      <c r="F11" s="61"/>
      <c r="G11" s="61"/>
      <c r="H11" s="149">
        <v>7</v>
      </c>
      <c r="I11" s="134"/>
      <c r="J11" s="2" t="s">
        <v>137</v>
      </c>
      <c r="K11" s="139"/>
      <c r="L11" s="139"/>
      <c r="M11" s="139"/>
      <c r="N11" s="139"/>
      <c r="O11" s="139"/>
      <c r="P11" s="139"/>
      <c r="Q11" s="139"/>
      <c r="R11" s="143"/>
      <c r="S11" s="134"/>
      <c r="T11" s="134"/>
      <c r="U11" s="134"/>
      <c r="V11" s="134"/>
      <c r="W11" s="134"/>
      <c r="X11" s="134"/>
      <c r="Y11" s="134"/>
      <c r="Z11" s="134"/>
    </row>
    <row r="12" spans="1:26" x14ac:dyDescent="0.25">
      <c r="A12" s="134"/>
      <c r="B12" s="61" t="s">
        <v>138</v>
      </c>
      <c r="C12" s="61"/>
      <c r="D12" s="61"/>
      <c r="E12" s="61"/>
      <c r="F12" s="61"/>
      <c r="G12" s="61"/>
      <c r="H12" s="149">
        <f>E31</f>
        <v>710</v>
      </c>
      <c r="I12" s="134"/>
      <c r="J12" s="134"/>
      <c r="K12" s="134"/>
      <c r="L12" s="134"/>
      <c r="M12" s="134"/>
      <c r="N12" s="134"/>
      <c r="O12" s="134"/>
      <c r="P12" s="134"/>
      <c r="Q12" s="134"/>
      <c r="R12" s="134"/>
      <c r="S12" s="134"/>
      <c r="T12" s="134"/>
      <c r="U12" s="134"/>
      <c r="V12" s="134"/>
      <c r="W12" s="134"/>
      <c r="X12" s="134"/>
      <c r="Y12" s="134"/>
      <c r="Z12" s="134"/>
    </row>
    <row r="13" spans="1:26" x14ac:dyDescent="0.25">
      <c r="A13" s="134"/>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row>
    <row r="14" spans="1:26" x14ac:dyDescent="0.25">
      <c r="A14" s="133" t="s">
        <v>139</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row>
    <row r="15" spans="1:26" x14ac:dyDescent="0.25">
      <c r="A15" s="134"/>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row>
    <row r="16" spans="1:26" x14ac:dyDescent="0.25">
      <c r="A16" s="134" t="s">
        <v>140</v>
      </c>
      <c r="B16" s="134">
        <v>395</v>
      </c>
      <c r="C16" s="134" t="s">
        <v>141</v>
      </c>
      <c r="D16" s="60" t="s">
        <v>142</v>
      </c>
      <c r="E16" s="134"/>
      <c r="F16" s="134"/>
      <c r="G16" s="134"/>
      <c r="H16" s="134"/>
      <c r="I16" s="134"/>
      <c r="J16" s="134"/>
      <c r="K16" s="134"/>
      <c r="L16" s="135" t="s">
        <v>143</v>
      </c>
      <c r="M16" s="135" t="s">
        <v>144</v>
      </c>
      <c r="N16" s="135" t="s">
        <v>145</v>
      </c>
      <c r="O16" s="135" t="s">
        <v>146</v>
      </c>
      <c r="P16" s="135" t="s">
        <v>147</v>
      </c>
      <c r="Q16" s="134"/>
      <c r="R16" s="134"/>
      <c r="S16" s="134"/>
      <c r="T16" s="134"/>
      <c r="U16" s="134"/>
      <c r="V16" s="134"/>
      <c r="W16" s="134"/>
      <c r="X16" s="134"/>
      <c r="Y16" s="134"/>
      <c r="Z16" s="134"/>
    </row>
    <row r="17" spans="1:26" x14ac:dyDescent="0.25">
      <c r="A17" s="134"/>
      <c r="B17" s="134"/>
      <c r="C17" s="134" t="s">
        <v>148</v>
      </c>
      <c r="D17" s="134"/>
      <c r="E17" s="134"/>
      <c r="F17" s="134"/>
      <c r="G17" s="134"/>
      <c r="H17" s="134"/>
      <c r="I17" s="134"/>
      <c r="J17" s="134"/>
      <c r="K17" s="134"/>
      <c r="L17" s="134" t="s">
        <v>149</v>
      </c>
      <c r="M17" s="136">
        <v>44743</v>
      </c>
      <c r="N17" s="134">
        <v>23</v>
      </c>
      <c r="O17" s="134">
        <v>13</v>
      </c>
      <c r="P17" s="134">
        <v>27</v>
      </c>
      <c r="Q17" s="134"/>
      <c r="R17" s="134"/>
      <c r="S17" s="134"/>
      <c r="T17" s="134"/>
      <c r="U17" s="134"/>
      <c r="V17" s="134"/>
      <c r="W17" s="134"/>
      <c r="X17" s="134"/>
      <c r="Y17" s="134"/>
      <c r="Z17" s="134"/>
    </row>
    <row r="18" spans="1:26" x14ac:dyDescent="0.25">
      <c r="A18" s="134" t="s">
        <v>150</v>
      </c>
      <c r="B18" s="134">
        <v>15</v>
      </c>
      <c r="C18" s="134"/>
      <c r="D18" s="134"/>
      <c r="E18" s="134"/>
      <c r="F18" s="134"/>
      <c r="G18" s="134"/>
      <c r="H18" s="134"/>
      <c r="I18" s="134"/>
      <c r="J18" s="134"/>
      <c r="K18" s="134"/>
      <c r="L18" s="134" t="s">
        <v>151</v>
      </c>
      <c r="M18" s="136">
        <v>44743</v>
      </c>
      <c r="N18" s="134">
        <v>18</v>
      </c>
      <c r="O18" s="134">
        <v>7</v>
      </c>
      <c r="P18" s="134">
        <v>9</v>
      </c>
      <c r="Q18" s="134"/>
      <c r="R18" s="134"/>
      <c r="S18" s="134"/>
      <c r="T18" s="134"/>
      <c r="U18" s="134"/>
      <c r="V18" s="134"/>
      <c r="W18" s="134"/>
      <c r="X18" s="134"/>
      <c r="Y18" s="134"/>
      <c r="Z18" s="134"/>
    </row>
    <row r="19" spans="1:26" x14ac:dyDescent="0.25">
      <c r="A19" s="134" t="s">
        <v>152</v>
      </c>
      <c r="B19" s="134">
        <v>16</v>
      </c>
      <c r="C19" s="134"/>
      <c r="D19" s="134"/>
      <c r="E19" s="134"/>
      <c r="F19" s="134"/>
      <c r="G19" s="134"/>
      <c r="H19" s="134"/>
      <c r="I19" s="134"/>
      <c r="J19" s="134"/>
      <c r="K19" s="134"/>
      <c r="L19" s="134" t="s">
        <v>153</v>
      </c>
      <c r="M19" s="136">
        <v>44743</v>
      </c>
      <c r="N19" s="134">
        <v>9</v>
      </c>
      <c r="O19" s="134">
        <v>3</v>
      </c>
      <c r="P19" s="134">
        <v>4</v>
      </c>
      <c r="Q19" s="134"/>
      <c r="R19" s="134"/>
      <c r="S19" s="134"/>
      <c r="T19" s="134"/>
      <c r="U19" s="134"/>
      <c r="V19" s="134"/>
      <c r="W19" s="134"/>
      <c r="X19" s="134"/>
      <c r="Y19" s="134"/>
      <c r="Z19" s="134"/>
    </row>
    <row r="20" spans="1:26" x14ac:dyDescent="0.25">
      <c r="A20" s="134"/>
      <c r="B20" s="134"/>
      <c r="C20" s="134"/>
      <c r="D20" s="134"/>
      <c r="E20" s="134"/>
      <c r="F20" s="134"/>
      <c r="G20" s="134"/>
      <c r="H20" s="134"/>
      <c r="I20" s="134"/>
      <c r="J20" s="134"/>
      <c r="K20" s="134"/>
      <c r="L20" s="134" t="s">
        <v>154</v>
      </c>
      <c r="M20" s="136">
        <v>44743</v>
      </c>
      <c r="N20" s="134">
        <v>9</v>
      </c>
      <c r="O20" s="134">
        <v>6</v>
      </c>
      <c r="P20" s="134">
        <v>7</v>
      </c>
      <c r="Q20" s="134"/>
      <c r="R20" s="134"/>
      <c r="S20" s="134"/>
      <c r="T20" s="134"/>
      <c r="U20" s="134"/>
      <c r="V20" s="134"/>
      <c r="W20" s="134"/>
      <c r="X20" s="134"/>
      <c r="Y20" s="134"/>
      <c r="Z20" s="134"/>
    </row>
    <row r="21" spans="1:26" x14ac:dyDescent="0.25">
      <c r="A21" s="134"/>
      <c r="B21" s="134"/>
      <c r="C21" s="134"/>
      <c r="D21" s="134"/>
      <c r="E21" s="134"/>
      <c r="F21" s="134"/>
      <c r="G21" s="134"/>
      <c r="H21" s="134"/>
      <c r="I21" s="134"/>
      <c r="J21" s="134"/>
      <c r="K21" s="134"/>
      <c r="L21" s="134" t="s">
        <v>155</v>
      </c>
      <c r="M21" s="136">
        <v>44743</v>
      </c>
      <c r="N21" s="134">
        <v>10</v>
      </c>
      <c r="O21" s="134">
        <v>3</v>
      </c>
      <c r="P21" s="134">
        <v>6</v>
      </c>
      <c r="Q21" s="134"/>
      <c r="R21" s="134"/>
      <c r="S21" s="134"/>
      <c r="T21" s="134"/>
      <c r="U21" s="134"/>
      <c r="V21" s="134"/>
      <c r="W21" s="134"/>
      <c r="X21" s="134"/>
      <c r="Y21" s="134"/>
      <c r="Z21" s="134"/>
    </row>
    <row r="22" spans="1:26" x14ac:dyDescent="0.25">
      <c r="A22" s="134"/>
      <c r="B22" s="134"/>
      <c r="C22" s="134"/>
      <c r="D22" s="134"/>
      <c r="E22" s="134"/>
      <c r="F22" s="134"/>
      <c r="G22" s="134"/>
      <c r="H22" s="134"/>
      <c r="I22" s="134"/>
      <c r="J22" s="134"/>
      <c r="K22" s="134"/>
      <c r="L22" s="134" t="s">
        <v>156</v>
      </c>
      <c r="M22" s="136">
        <v>44743</v>
      </c>
      <c r="N22" s="134">
        <v>13</v>
      </c>
      <c r="O22" s="134">
        <v>8</v>
      </c>
      <c r="P22" s="134">
        <v>5</v>
      </c>
      <c r="Q22" s="134"/>
      <c r="R22" s="134"/>
      <c r="S22" s="134"/>
      <c r="T22" s="134"/>
      <c r="U22" s="134"/>
      <c r="V22" s="134"/>
      <c r="W22" s="134"/>
      <c r="X22" s="134"/>
      <c r="Y22" s="134"/>
      <c r="Z22" s="134"/>
    </row>
    <row r="23" spans="1:26" x14ac:dyDescent="0.25">
      <c r="A23" s="134"/>
      <c r="B23" s="137" t="s">
        <v>143</v>
      </c>
      <c r="C23" s="137" t="s">
        <v>144</v>
      </c>
      <c r="D23" s="137" t="s">
        <v>157</v>
      </c>
      <c r="E23" s="137" t="s">
        <v>158</v>
      </c>
      <c r="F23" s="137" t="s">
        <v>159</v>
      </c>
      <c r="G23" s="134"/>
      <c r="H23" s="134"/>
      <c r="I23" s="134"/>
      <c r="J23" s="134"/>
      <c r="K23" s="134"/>
      <c r="L23" s="134" t="s">
        <v>160</v>
      </c>
      <c r="M23" s="136">
        <v>44743</v>
      </c>
      <c r="N23" s="134">
        <v>16</v>
      </c>
      <c r="O23" s="134">
        <v>4</v>
      </c>
      <c r="P23" s="134">
        <v>6</v>
      </c>
      <c r="Q23" s="134"/>
      <c r="R23" s="134"/>
      <c r="S23" s="134"/>
      <c r="T23" s="134"/>
      <c r="U23" s="134"/>
      <c r="V23" s="134"/>
      <c r="W23" s="134"/>
      <c r="X23" s="134"/>
      <c r="Y23" s="134"/>
      <c r="Z23" s="134"/>
    </row>
    <row r="24" spans="1:26" x14ac:dyDescent="0.25">
      <c r="A24" s="134"/>
      <c r="B24" s="134" t="s">
        <v>161</v>
      </c>
      <c r="C24" s="136">
        <v>45047</v>
      </c>
      <c r="D24" s="134">
        <v>961</v>
      </c>
      <c r="E24" s="134">
        <v>112</v>
      </c>
      <c r="F24" s="134">
        <v>782</v>
      </c>
      <c r="G24" s="134"/>
      <c r="H24" s="134"/>
      <c r="I24" s="134"/>
      <c r="J24" s="134"/>
      <c r="K24" s="134"/>
      <c r="L24" s="134" t="s">
        <v>162</v>
      </c>
      <c r="M24" s="136">
        <v>44743</v>
      </c>
      <c r="N24" s="134">
        <v>28</v>
      </c>
      <c r="O24" s="134">
        <v>25</v>
      </c>
      <c r="P24" s="134">
        <v>9</v>
      </c>
      <c r="Q24" s="134"/>
      <c r="R24" s="134"/>
      <c r="S24" s="134"/>
      <c r="T24" s="134"/>
      <c r="U24" s="134"/>
      <c r="V24" s="134"/>
      <c r="W24" s="134"/>
      <c r="X24" s="134"/>
      <c r="Y24" s="134"/>
      <c r="Z24" s="134"/>
    </row>
    <row r="25" spans="1:26" x14ac:dyDescent="0.25">
      <c r="A25" s="134"/>
      <c r="B25" s="134" t="s">
        <v>163</v>
      </c>
      <c r="C25" s="136">
        <v>44866</v>
      </c>
      <c r="D25" s="134">
        <v>931</v>
      </c>
      <c r="E25" s="134">
        <v>964</v>
      </c>
      <c r="F25" s="134">
        <v>616</v>
      </c>
      <c r="G25" s="134"/>
      <c r="H25" s="134"/>
      <c r="I25" s="134"/>
      <c r="J25" s="134"/>
      <c r="K25" s="134"/>
      <c r="L25" s="134" t="s">
        <v>164</v>
      </c>
      <c r="M25" s="136">
        <v>44743</v>
      </c>
      <c r="N25" s="134">
        <v>13</v>
      </c>
      <c r="O25" s="134">
        <v>7</v>
      </c>
      <c r="P25" s="134">
        <v>9</v>
      </c>
      <c r="Q25" s="134"/>
      <c r="R25" s="134"/>
      <c r="S25" s="134"/>
      <c r="T25" s="134"/>
      <c r="U25" s="134"/>
      <c r="V25" s="134"/>
      <c r="W25" s="134"/>
      <c r="X25" s="134"/>
      <c r="Y25" s="134"/>
      <c r="Z25" s="134"/>
    </row>
    <row r="26" spans="1:26" x14ac:dyDescent="0.25">
      <c r="A26" s="134"/>
      <c r="B26" s="134" t="s">
        <v>165</v>
      </c>
      <c r="C26" s="136">
        <v>44713</v>
      </c>
      <c r="D26" s="134">
        <v>965</v>
      </c>
      <c r="E26" s="134">
        <v>1107</v>
      </c>
      <c r="F26" s="134">
        <v>886</v>
      </c>
      <c r="G26" s="134"/>
      <c r="H26" s="134"/>
      <c r="I26" s="134"/>
      <c r="J26" s="134"/>
      <c r="K26" s="134"/>
      <c r="L26" s="134" t="s">
        <v>166</v>
      </c>
      <c r="M26" s="136">
        <v>44743</v>
      </c>
      <c r="N26" s="134">
        <v>10</v>
      </c>
      <c r="O26" s="134">
        <v>6</v>
      </c>
      <c r="P26" s="134">
        <v>8</v>
      </c>
      <c r="Q26" s="134"/>
      <c r="R26" s="134"/>
      <c r="S26" s="134"/>
      <c r="T26" s="134"/>
      <c r="U26" s="134"/>
      <c r="V26" s="134"/>
      <c r="W26" s="134"/>
      <c r="X26" s="134"/>
      <c r="Y26" s="134"/>
      <c r="Z26" s="134"/>
    </row>
    <row r="27" spans="1:26" x14ac:dyDescent="0.25">
      <c r="A27" s="134"/>
      <c r="B27" s="134" t="s">
        <v>167</v>
      </c>
      <c r="C27" s="136">
        <v>44593</v>
      </c>
      <c r="D27" s="134">
        <v>964</v>
      </c>
      <c r="E27" s="134">
        <v>442</v>
      </c>
      <c r="F27" s="134">
        <v>653</v>
      </c>
      <c r="G27" s="134"/>
      <c r="H27" s="134"/>
      <c r="I27" s="134"/>
      <c r="J27" s="134"/>
      <c r="K27" s="134"/>
      <c r="L27" s="134" t="s">
        <v>168</v>
      </c>
      <c r="M27" s="136">
        <v>44743</v>
      </c>
      <c r="N27" s="134">
        <v>15</v>
      </c>
      <c r="O27" s="134">
        <v>11</v>
      </c>
      <c r="P27" s="134">
        <v>2</v>
      </c>
      <c r="Q27" s="134"/>
      <c r="R27" s="134"/>
      <c r="S27" s="134"/>
      <c r="T27" s="134"/>
      <c r="U27" s="134"/>
      <c r="V27" s="134"/>
      <c r="W27" s="134"/>
      <c r="X27" s="134"/>
      <c r="Y27" s="134"/>
      <c r="Z27" s="134"/>
    </row>
    <row r="28" spans="1:26" x14ac:dyDescent="0.25">
      <c r="A28" s="134"/>
      <c r="B28" s="134" t="s">
        <v>169</v>
      </c>
      <c r="C28" s="136">
        <v>44562</v>
      </c>
      <c r="D28" s="134">
        <v>896</v>
      </c>
      <c r="E28" s="134">
        <v>438</v>
      </c>
      <c r="F28" s="134">
        <v>230</v>
      </c>
      <c r="G28" s="134"/>
      <c r="H28" s="134"/>
      <c r="I28" s="134"/>
      <c r="J28" s="134"/>
      <c r="K28" s="134"/>
      <c r="L28" s="134" t="s">
        <v>170</v>
      </c>
      <c r="M28" s="136">
        <v>44743</v>
      </c>
      <c r="N28" s="134">
        <v>9</v>
      </c>
      <c r="O28" s="134">
        <v>2</v>
      </c>
      <c r="P28" s="134">
        <v>9</v>
      </c>
      <c r="Q28" s="134"/>
      <c r="R28" s="134"/>
      <c r="S28" s="134"/>
      <c r="T28" s="134"/>
      <c r="U28" s="134"/>
      <c r="V28" s="134"/>
      <c r="W28" s="134"/>
      <c r="X28" s="134"/>
      <c r="Y28" s="134"/>
      <c r="Z28" s="134"/>
    </row>
    <row r="29" spans="1:26" x14ac:dyDescent="0.25">
      <c r="A29" s="134"/>
      <c r="B29" s="134" t="s">
        <v>171</v>
      </c>
      <c r="C29" s="136">
        <v>44287</v>
      </c>
      <c r="D29" s="134">
        <v>922</v>
      </c>
      <c r="E29" s="134">
        <v>903</v>
      </c>
      <c r="F29" s="134">
        <v>0</v>
      </c>
      <c r="G29" s="134"/>
      <c r="H29" s="134"/>
      <c r="I29" s="134"/>
      <c r="J29" s="134"/>
      <c r="K29" s="134"/>
      <c r="L29" s="134" t="s">
        <v>172</v>
      </c>
      <c r="M29" s="136">
        <v>44743</v>
      </c>
      <c r="N29" s="134">
        <v>26</v>
      </c>
      <c r="O29" s="134">
        <v>23</v>
      </c>
      <c r="P29" s="134">
        <v>11</v>
      </c>
      <c r="Q29" s="134"/>
      <c r="R29" s="134"/>
      <c r="S29" s="134"/>
      <c r="T29" s="134"/>
      <c r="U29" s="134"/>
      <c r="V29" s="134"/>
      <c r="W29" s="134"/>
      <c r="X29" s="134"/>
      <c r="Y29" s="134"/>
      <c r="Z29" s="134"/>
    </row>
    <row r="30" spans="1:26" x14ac:dyDescent="0.25">
      <c r="A30" s="134"/>
      <c r="B30" s="134"/>
      <c r="C30" s="134"/>
      <c r="D30" s="134"/>
      <c r="E30" s="134"/>
      <c r="F30" s="134"/>
      <c r="G30" s="134"/>
      <c r="H30" s="134"/>
      <c r="I30" s="134"/>
      <c r="J30" s="134"/>
      <c r="K30" s="134"/>
      <c r="L30" s="134" t="s">
        <v>173</v>
      </c>
      <c r="M30" s="136">
        <v>44743</v>
      </c>
      <c r="N30" s="134">
        <v>20</v>
      </c>
      <c r="O30" s="134">
        <v>7</v>
      </c>
      <c r="P30" s="134">
        <v>2</v>
      </c>
      <c r="Q30" s="134"/>
      <c r="R30" s="134"/>
      <c r="S30" s="134"/>
      <c r="T30" s="134"/>
      <c r="U30" s="134"/>
      <c r="V30" s="134"/>
      <c r="W30" s="134"/>
      <c r="X30" s="134"/>
      <c r="Y30" s="134"/>
      <c r="Z30" s="134"/>
    </row>
    <row r="31" spans="1:26" x14ac:dyDescent="0.25">
      <c r="A31" s="134"/>
      <c r="B31" s="134"/>
      <c r="C31" s="134"/>
      <c r="D31" s="134" t="s">
        <v>174</v>
      </c>
      <c r="E31" s="134">
        <v>710</v>
      </c>
      <c r="F31" s="134"/>
      <c r="G31" s="134"/>
      <c r="H31" s="134"/>
      <c r="I31" s="134"/>
      <c r="J31" s="134"/>
      <c r="K31" s="134"/>
      <c r="L31" s="134" t="s">
        <v>175</v>
      </c>
      <c r="M31" s="136">
        <v>44743</v>
      </c>
      <c r="N31" s="134">
        <v>8</v>
      </c>
      <c r="O31" s="134">
        <v>7</v>
      </c>
      <c r="P31" s="134">
        <v>3</v>
      </c>
      <c r="Q31" s="134"/>
      <c r="R31" s="134"/>
      <c r="S31" s="134"/>
      <c r="T31" s="134"/>
      <c r="U31" s="134"/>
      <c r="V31" s="134"/>
      <c r="W31" s="134"/>
      <c r="X31" s="134"/>
      <c r="Y31" s="134"/>
      <c r="Z31" s="134"/>
    </row>
    <row r="32" spans="1:26" x14ac:dyDescent="0.25">
      <c r="A32" s="134"/>
      <c r="B32" s="134"/>
      <c r="C32" s="134"/>
      <c r="D32" s="134"/>
      <c r="E32" s="134"/>
      <c r="F32" s="134"/>
      <c r="G32" s="134"/>
      <c r="H32" s="134"/>
      <c r="I32" s="134"/>
      <c r="J32" s="134"/>
      <c r="K32" s="134"/>
      <c r="L32" s="134" t="s">
        <v>176</v>
      </c>
      <c r="M32" s="136">
        <v>44593</v>
      </c>
      <c r="N32" s="134">
        <v>24</v>
      </c>
      <c r="O32" s="134">
        <v>30</v>
      </c>
      <c r="P32" s="134">
        <v>5</v>
      </c>
      <c r="Q32" s="134"/>
      <c r="R32" s="134"/>
      <c r="S32" s="134"/>
      <c r="T32" s="134"/>
      <c r="U32" s="134"/>
      <c r="V32" s="134"/>
      <c r="W32" s="134"/>
      <c r="X32" s="134"/>
      <c r="Y32" s="134"/>
      <c r="Z32" s="134"/>
    </row>
    <row r="33" spans="1:26" x14ac:dyDescent="0.25">
      <c r="A33" s="134"/>
      <c r="B33" s="134"/>
      <c r="C33" s="134"/>
      <c r="D33" s="134"/>
      <c r="E33" s="134"/>
      <c r="F33" s="134"/>
      <c r="G33" s="134"/>
      <c r="H33" s="134"/>
      <c r="I33" s="134"/>
      <c r="J33" s="134"/>
      <c r="K33" s="134"/>
      <c r="L33" s="134" t="s">
        <v>177</v>
      </c>
      <c r="M33" s="136">
        <v>44593</v>
      </c>
      <c r="N33" s="134">
        <v>10</v>
      </c>
      <c r="O33" s="134">
        <v>1</v>
      </c>
      <c r="P33" s="134">
        <v>3</v>
      </c>
      <c r="Q33" s="134"/>
      <c r="R33" s="134"/>
      <c r="S33" s="134"/>
      <c r="T33" s="134"/>
      <c r="U33" s="134"/>
      <c r="V33" s="134"/>
      <c r="W33" s="134"/>
      <c r="X33" s="134"/>
      <c r="Y33" s="134"/>
      <c r="Z33" s="134"/>
    </row>
    <row r="34" spans="1:26" x14ac:dyDescent="0.25">
      <c r="A34" s="134"/>
      <c r="B34" s="134"/>
      <c r="C34" s="134"/>
      <c r="D34" s="134"/>
      <c r="E34" s="134"/>
      <c r="F34" s="134"/>
      <c r="G34" s="134"/>
      <c r="H34" s="134"/>
      <c r="I34" s="134"/>
      <c r="J34" s="134"/>
      <c r="K34" s="134"/>
      <c r="L34" s="134" t="s">
        <v>178</v>
      </c>
      <c r="M34" s="136">
        <v>44593</v>
      </c>
      <c r="N34" s="134">
        <v>17</v>
      </c>
      <c r="O34" s="134">
        <v>14</v>
      </c>
      <c r="P34" s="134">
        <v>8</v>
      </c>
      <c r="Q34" s="134"/>
      <c r="R34" s="134"/>
      <c r="S34" s="134"/>
      <c r="T34" s="134"/>
      <c r="U34" s="134"/>
      <c r="V34" s="134"/>
      <c r="W34" s="134"/>
      <c r="X34" s="134"/>
      <c r="Y34" s="134"/>
      <c r="Z34" s="134"/>
    </row>
    <row r="35" spans="1:26" x14ac:dyDescent="0.25">
      <c r="A35" s="134"/>
      <c r="B35" s="134"/>
      <c r="C35" s="134"/>
      <c r="D35" s="134"/>
      <c r="E35" s="134"/>
      <c r="F35" s="134"/>
      <c r="G35" s="134"/>
      <c r="H35" s="134"/>
      <c r="I35" s="134"/>
      <c r="J35" s="134"/>
      <c r="K35" s="134"/>
      <c r="L35" s="134" t="s">
        <v>179</v>
      </c>
      <c r="M35" s="136">
        <v>44593</v>
      </c>
      <c r="N35" s="134">
        <v>12</v>
      </c>
      <c r="O35" s="134">
        <v>3</v>
      </c>
      <c r="P35" s="134">
        <v>8</v>
      </c>
      <c r="Q35" s="134"/>
      <c r="R35" s="134"/>
      <c r="S35" s="134"/>
      <c r="T35" s="134"/>
      <c r="U35" s="134"/>
      <c r="V35" s="134"/>
      <c r="W35" s="134"/>
      <c r="X35" s="134"/>
      <c r="Y35" s="134"/>
      <c r="Z35" s="134"/>
    </row>
    <row r="36" spans="1:26" x14ac:dyDescent="0.25">
      <c r="A36" s="134"/>
      <c r="B36" s="134"/>
      <c r="C36" s="134"/>
      <c r="D36" s="134"/>
      <c r="E36" s="134"/>
      <c r="F36" s="134"/>
      <c r="G36" s="134"/>
      <c r="H36" s="134"/>
      <c r="I36" s="134"/>
      <c r="J36" s="134"/>
      <c r="K36" s="134"/>
      <c r="L36" s="134" t="s">
        <v>180</v>
      </c>
      <c r="M36" s="136">
        <v>44593</v>
      </c>
      <c r="N36" s="134">
        <v>11</v>
      </c>
      <c r="O36" s="134">
        <v>8</v>
      </c>
      <c r="P36" s="134">
        <v>11</v>
      </c>
      <c r="Q36" s="134"/>
      <c r="R36" s="134"/>
      <c r="S36" s="134"/>
      <c r="T36" s="134"/>
      <c r="U36" s="134"/>
      <c r="V36" s="134"/>
      <c r="W36" s="134"/>
      <c r="X36" s="134"/>
      <c r="Y36" s="134"/>
      <c r="Z36" s="134"/>
    </row>
    <row r="37" spans="1:26" x14ac:dyDescent="0.25">
      <c r="A37" s="134"/>
      <c r="B37" s="134"/>
      <c r="C37" s="134"/>
      <c r="D37" s="134"/>
      <c r="E37" s="134"/>
      <c r="F37" s="134"/>
      <c r="G37" s="134"/>
      <c r="H37" s="134"/>
      <c r="I37" s="134"/>
      <c r="J37" s="134"/>
      <c r="K37" s="134"/>
      <c r="L37" s="134" t="s">
        <v>181</v>
      </c>
      <c r="M37" s="136">
        <v>44593</v>
      </c>
      <c r="N37" s="134">
        <v>15</v>
      </c>
      <c r="O37" s="134">
        <v>7</v>
      </c>
      <c r="P37" s="134">
        <v>4</v>
      </c>
      <c r="Q37" s="134"/>
      <c r="R37" s="134"/>
      <c r="S37" s="134"/>
      <c r="T37" s="134"/>
      <c r="U37" s="134"/>
      <c r="V37" s="134"/>
      <c r="W37" s="134"/>
      <c r="X37" s="134"/>
      <c r="Y37" s="134"/>
      <c r="Z37" s="134"/>
    </row>
    <row r="38" spans="1:26" x14ac:dyDescent="0.25">
      <c r="A38" s="134"/>
      <c r="B38" s="134"/>
      <c r="C38" s="134"/>
      <c r="D38" s="134"/>
      <c r="E38" s="134"/>
      <c r="F38" s="134"/>
      <c r="G38" s="134"/>
      <c r="H38" s="134"/>
      <c r="I38" s="134"/>
      <c r="J38" s="134"/>
      <c r="K38" s="134"/>
      <c r="L38" s="134" t="s">
        <v>182</v>
      </c>
      <c r="M38" s="136">
        <v>44593</v>
      </c>
      <c r="N38" s="134">
        <v>20</v>
      </c>
      <c r="O38" s="134">
        <v>16</v>
      </c>
      <c r="P38" s="134">
        <v>19</v>
      </c>
      <c r="Q38" s="134"/>
      <c r="R38" s="134"/>
      <c r="S38" s="134"/>
      <c r="T38" s="134"/>
      <c r="U38" s="134"/>
      <c r="V38" s="134"/>
      <c r="W38" s="134"/>
      <c r="X38" s="134"/>
      <c r="Y38" s="134"/>
      <c r="Z38" s="134"/>
    </row>
    <row r="39" spans="1:26" x14ac:dyDescent="0.25">
      <c r="A39" s="134"/>
      <c r="B39" s="134"/>
      <c r="C39" s="134"/>
      <c r="D39" s="134"/>
      <c r="E39" s="134"/>
      <c r="F39" s="134"/>
      <c r="G39" s="134"/>
      <c r="H39" s="134"/>
      <c r="I39" s="134"/>
      <c r="J39" s="134"/>
      <c r="K39" s="134"/>
      <c r="L39" s="134" t="s">
        <v>183</v>
      </c>
      <c r="M39" s="136">
        <v>44593</v>
      </c>
      <c r="N39" s="134">
        <v>14</v>
      </c>
      <c r="O39" s="134">
        <v>10</v>
      </c>
      <c r="P39" s="134">
        <v>9</v>
      </c>
      <c r="Q39" s="134"/>
      <c r="R39" s="134"/>
      <c r="S39" s="134"/>
      <c r="T39" s="134"/>
      <c r="U39" s="134"/>
      <c r="V39" s="134"/>
      <c r="W39" s="134"/>
      <c r="X39" s="134"/>
      <c r="Y39" s="134"/>
      <c r="Z39" s="134"/>
    </row>
    <row r="40" spans="1:26" x14ac:dyDescent="0.25">
      <c r="A40" s="134"/>
      <c r="B40" s="134"/>
      <c r="C40" s="134"/>
      <c r="D40" s="134"/>
      <c r="E40" s="134"/>
      <c r="F40" s="134"/>
      <c r="G40" s="134"/>
      <c r="H40" s="134"/>
      <c r="I40" s="134"/>
      <c r="J40" s="134"/>
      <c r="K40" s="134"/>
      <c r="L40" s="134" t="s">
        <v>184</v>
      </c>
      <c r="M40" s="136">
        <v>44593</v>
      </c>
      <c r="N40" s="134">
        <v>5</v>
      </c>
      <c r="O40" s="134">
        <v>1</v>
      </c>
      <c r="P40" s="134">
        <v>5</v>
      </c>
      <c r="Q40" s="134"/>
      <c r="R40" s="134"/>
      <c r="S40" s="134"/>
      <c r="T40" s="134"/>
      <c r="U40" s="134"/>
      <c r="V40" s="134"/>
      <c r="W40" s="134"/>
      <c r="X40" s="134"/>
      <c r="Y40" s="134"/>
      <c r="Z40" s="134"/>
    </row>
    <row r="41" spans="1:26" x14ac:dyDescent="0.25">
      <c r="A41" s="134"/>
      <c r="B41" s="134"/>
      <c r="C41" s="134"/>
      <c r="D41" s="134"/>
      <c r="E41" s="134"/>
      <c r="F41" s="134"/>
      <c r="G41" s="134"/>
      <c r="H41" s="134"/>
      <c r="I41" s="134"/>
      <c r="J41" s="134"/>
      <c r="K41" s="134"/>
      <c r="L41" s="134" t="s">
        <v>185</v>
      </c>
      <c r="M41" s="136">
        <v>44593</v>
      </c>
      <c r="N41" s="134">
        <v>26</v>
      </c>
      <c r="O41" s="134">
        <v>28</v>
      </c>
      <c r="P41" s="134">
        <v>5</v>
      </c>
      <c r="Q41" s="134"/>
      <c r="R41" s="134"/>
      <c r="S41" s="134"/>
      <c r="T41" s="134"/>
      <c r="U41" s="134"/>
      <c r="V41" s="134"/>
      <c r="W41" s="134"/>
      <c r="X41" s="134"/>
      <c r="Y41" s="134"/>
      <c r="Z41" s="134"/>
    </row>
    <row r="42" spans="1:26" x14ac:dyDescent="0.25">
      <c r="A42" s="134"/>
      <c r="B42" s="134"/>
      <c r="C42" s="134"/>
      <c r="D42" s="134"/>
      <c r="E42" s="134"/>
      <c r="F42" s="134"/>
      <c r="G42" s="134"/>
      <c r="H42" s="134"/>
      <c r="I42" s="134"/>
      <c r="J42" s="134"/>
      <c r="K42" s="134"/>
      <c r="L42" s="134" t="s">
        <v>186</v>
      </c>
      <c r="M42" s="136">
        <v>44593</v>
      </c>
      <c r="N42" s="134">
        <v>12</v>
      </c>
      <c r="O42" s="134">
        <v>5</v>
      </c>
      <c r="P42" s="134">
        <v>10</v>
      </c>
      <c r="Q42" s="134"/>
      <c r="R42" s="134"/>
      <c r="S42" s="134"/>
      <c r="T42" s="134"/>
      <c r="U42" s="134"/>
      <c r="V42" s="134"/>
      <c r="W42" s="134"/>
      <c r="X42" s="134"/>
      <c r="Y42" s="134"/>
      <c r="Z42" s="134"/>
    </row>
    <row r="43" spans="1:26" x14ac:dyDescent="0.25">
      <c r="A43" s="134"/>
      <c r="B43" s="134"/>
      <c r="C43" s="134"/>
      <c r="D43" s="134"/>
      <c r="E43" s="134"/>
      <c r="F43" s="134"/>
      <c r="G43" s="134"/>
      <c r="H43" s="134"/>
      <c r="I43" s="134"/>
      <c r="J43" s="134"/>
      <c r="K43" s="134"/>
      <c r="L43" s="134" t="s">
        <v>187</v>
      </c>
      <c r="M43" s="136">
        <v>44593</v>
      </c>
      <c r="N43" s="134">
        <v>21</v>
      </c>
      <c r="O43" s="134">
        <v>37</v>
      </c>
      <c r="P43" s="134">
        <v>4</v>
      </c>
      <c r="Q43" s="134"/>
      <c r="R43" s="134"/>
      <c r="S43" s="134"/>
      <c r="T43" s="134"/>
      <c r="U43" s="134"/>
      <c r="V43" s="134"/>
      <c r="W43" s="134"/>
      <c r="X43" s="134"/>
      <c r="Y43" s="134"/>
      <c r="Z43" s="134"/>
    </row>
    <row r="44" spans="1:26" x14ac:dyDescent="0.25">
      <c r="A44" s="134"/>
      <c r="B44" s="134"/>
      <c r="C44" s="134"/>
      <c r="D44" s="134"/>
      <c r="E44" s="134"/>
      <c r="F44" s="134"/>
      <c r="G44" s="134"/>
      <c r="H44" s="134"/>
      <c r="I44" s="134"/>
      <c r="J44" s="134"/>
      <c r="K44" s="134"/>
      <c r="L44" s="134" t="s">
        <v>188</v>
      </c>
      <c r="M44" s="136">
        <v>44593</v>
      </c>
      <c r="N44" s="134">
        <v>15</v>
      </c>
      <c r="O44" s="134">
        <v>9</v>
      </c>
      <c r="P44" s="134">
        <v>2</v>
      </c>
      <c r="Q44" s="134"/>
      <c r="R44" s="134"/>
      <c r="S44" s="134"/>
      <c r="T44" s="134"/>
      <c r="U44" s="134"/>
      <c r="V44" s="134"/>
      <c r="W44" s="134"/>
      <c r="X44" s="134"/>
      <c r="Y44" s="134"/>
      <c r="Z44" s="134"/>
    </row>
    <row r="45" spans="1:26" x14ac:dyDescent="0.25">
      <c r="A45" s="134"/>
      <c r="B45" s="134"/>
      <c r="C45" s="134"/>
      <c r="D45" s="134"/>
      <c r="E45" s="134"/>
      <c r="F45" s="134"/>
      <c r="G45" s="134"/>
      <c r="H45" s="134"/>
      <c r="I45" s="134"/>
      <c r="J45" s="134"/>
      <c r="K45" s="134"/>
      <c r="L45" s="134" t="s">
        <v>189</v>
      </c>
      <c r="M45" s="136">
        <v>44593</v>
      </c>
      <c r="N45" s="134">
        <v>25</v>
      </c>
      <c r="O45" s="134">
        <v>8</v>
      </c>
      <c r="P45" s="134">
        <v>9</v>
      </c>
      <c r="Q45" s="134"/>
      <c r="R45" s="134"/>
      <c r="S45" s="134"/>
      <c r="T45" s="134"/>
      <c r="U45" s="134"/>
      <c r="V45" s="134"/>
      <c r="W45" s="134"/>
      <c r="X45" s="134"/>
      <c r="Y45" s="134"/>
      <c r="Z45" s="134"/>
    </row>
    <row r="46" spans="1:26" x14ac:dyDescent="0.25">
      <c r="A46" s="134"/>
      <c r="B46" s="134"/>
      <c r="C46" s="134"/>
      <c r="D46" s="134"/>
      <c r="E46" s="134"/>
      <c r="F46" s="134"/>
      <c r="G46" s="134"/>
      <c r="H46" s="134"/>
      <c r="I46" s="134"/>
      <c r="J46" s="134"/>
      <c r="K46" s="134"/>
      <c r="L46" s="134" t="s">
        <v>190</v>
      </c>
      <c r="M46" s="136">
        <v>44593</v>
      </c>
      <c r="N46" s="134">
        <v>19</v>
      </c>
      <c r="O46" s="134">
        <v>22</v>
      </c>
      <c r="P46" s="134">
        <v>4</v>
      </c>
      <c r="Q46" s="134"/>
      <c r="R46" s="134"/>
      <c r="S46" s="134"/>
      <c r="T46" s="134"/>
      <c r="U46" s="134"/>
      <c r="V46" s="134"/>
      <c r="W46" s="134"/>
      <c r="X46" s="134"/>
      <c r="Y46" s="134"/>
      <c r="Z46" s="134"/>
    </row>
    <row r="47" spans="1:26" x14ac:dyDescent="0.25">
      <c r="A47" s="134"/>
      <c r="B47" s="134"/>
      <c r="C47" s="134"/>
      <c r="D47" s="134"/>
      <c r="E47" s="134"/>
      <c r="F47" s="134"/>
      <c r="G47" s="134"/>
      <c r="H47" s="134"/>
      <c r="I47" s="134"/>
      <c r="J47" s="134"/>
      <c r="K47" s="134"/>
      <c r="L47" s="134" t="s">
        <v>191</v>
      </c>
      <c r="M47" s="136">
        <v>44593</v>
      </c>
      <c r="N47" s="134">
        <v>7</v>
      </c>
      <c r="O47" s="134">
        <v>4</v>
      </c>
      <c r="P47" s="134">
        <v>4</v>
      </c>
      <c r="Q47" s="134"/>
      <c r="R47" s="134"/>
      <c r="S47" s="134"/>
      <c r="T47" s="134"/>
      <c r="U47" s="134"/>
      <c r="V47" s="134"/>
      <c r="W47" s="134"/>
      <c r="X47" s="134"/>
      <c r="Y47" s="134"/>
      <c r="Z47" s="134"/>
    </row>
    <row r="48" spans="1:26" x14ac:dyDescent="0.25">
      <c r="A48" s="134"/>
      <c r="B48" s="134"/>
      <c r="C48" s="134"/>
      <c r="D48" s="134"/>
      <c r="E48" s="134"/>
      <c r="F48" s="134"/>
      <c r="G48" s="134"/>
      <c r="H48" s="134"/>
      <c r="I48" s="134"/>
      <c r="J48" s="134"/>
      <c r="K48" s="134"/>
      <c r="L48" s="138" t="s">
        <v>192</v>
      </c>
      <c r="M48" s="138"/>
      <c r="N48" s="138">
        <v>15.5</v>
      </c>
      <c r="O48" s="138">
        <v>10.8</v>
      </c>
      <c r="P48" s="138">
        <v>7.3</v>
      </c>
      <c r="Q48" s="134"/>
      <c r="R48" s="134"/>
      <c r="S48" s="134"/>
      <c r="T48" s="134"/>
      <c r="U48" s="134"/>
      <c r="V48" s="134"/>
      <c r="W48" s="134"/>
      <c r="X48" s="134"/>
      <c r="Y48" s="134"/>
      <c r="Z48" s="134"/>
    </row>
    <row r="49" spans="1:26" x14ac:dyDescent="0.25">
      <c r="A49" s="134"/>
      <c r="B49" s="134"/>
      <c r="C49" s="134"/>
      <c r="D49" s="134"/>
      <c r="E49" s="134"/>
      <c r="F49" s="134"/>
      <c r="G49" s="134"/>
      <c r="H49" s="134"/>
      <c r="I49" s="134"/>
      <c r="J49" s="134"/>
      <c r="K49" s="134"/>
      <c r="L49" s="133"/>
      <c r="M49" s="134"/>
      <c r="N49" s="134"/>
      <c r="O49" s="134"/>
      <c r="P49" s="134"/>
      <c r="Q49" s="134"/>
      <c r="R49" s="134"/>
      <c r="S49" s="134"/>
      <c r="T49" s="134"/>
      <c r="U49" s="134"/>
      <c r="V49" s="134"/>
      <c r="W49" s="134"/>
      <c r="X49" s="134"/>
      <c r="Y49" s="134"/>
      <c r="Z49" s="134"/>
    </row>
    <row r="50" spans="1:26" x14ac:dyDescent="0.25">
      <c r="A50" s="134"/>
      <c r="B50" s="134"/>
      <c r="C50" s="134"/>
      <c r="D50" s="134"/>
      <c r="E50" s="134"/>
      <c r="F50" s="134"/>
      <c r="G50" s="134"/>
      <c r="H50" s="134"/>
      <c r="I50" s="134"/>
      <c r="J50" s="134"/>
      <c r="K50" s="134"/>
      <c r="L50" s="134"/>
      <c r="M50" s="134"/>
      <c r="N50" s="134"/>
      <c r="O50" s="134"/>
      <c r="P50" s="134"/>
      <c r="Q50" s="134"/>
      <c r="R50" s="134"/>
      <c r="S50" s="134"/>
      <c r="T50" s="134"/>
      <c r="U50" s="134"/>
      <c r="V50" s="134"/>
      <c r="W50" s="134"/>
      <c r="X50" s="134"/>
      <c r="Y50" s="134"/>
      <c r="Z50" s="134"/>
    </row>
  </sheetData>
  <hyperlinks>
    <hyperlink ref="D16" r:id="rId1" xr:uid="{31ACE602-B34F-491B-9947-884325444994}"/>
  </hyperlinks>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1DC71-F92F-460E-918E-AE07C0F4BE9C}">
  <sheetPr>
    <tabColor theme="2"/>
  </sheetPr>
  <dimension ref="A1:I15"/>
  <sheetViews>
    <sheetView workbookViewId="0">
      <selection activeCell="C32" sqref="C32"/>
    </sheetView>
  </sheetViews>
  <sheetFormatPr defaultColWidth="11.42578125" defaultRowHeight="15" x14ac:dyDescent="0.25"/>
  <cols>
    <col min="4" max="5" width="12.5703125" customWidth="1"/>
    <col min="6" max="6" width="12.7109375" customWidth="1"/>
    <col min="9" max="9" width="9" customWidth="1"/>
  </cols>
  <sheetData>
    <row r="1" spans="1:9" ht="18.75" x14ac:dyDescent="0.3">
      <c r="A1" s="68" t="s">
        <v>376</v>
      </c>
    </row>
    <row r="2" spans="1:9" ht="21" x14ac:dyDescent="0.35">
      <c r="A2" s="84"/>
    </row>
    <row r="10" spans="1:9" x14ac:dyDescent="0.25">
      <c r="A10" t="s">
        <v>201</v>
      </c>
    </row>
    <row r="11" spans="1:9" x14ac:dyDescent="0.25">
      <c r="A11" s="52" t="s">
        <v>94</v>
      </c>
      <c r="B11" s="52"/>
      <c r="C11" s="288" t="s">
        <v>211</v>
      </c>
      <c r="D11" s="288"/>
      <c r="E11" s="82" t="s">
        <v>130</v>
      </c>
      <c r="F11" s="288" t="s">
        <v>202</v>
      </c>
      <c r="G11" s="288"/>
      <c r="H11" s="52" t="s">
        <v>203</v>
      </c>
      <c r="I11" s="82" t="s">
        <v>130</v>
      </c>
    </row>
    <row r="12" spans="1:9" x14ac:dyDescent="0.25">
      <c r="A12" s="52"/>
      <c r="B12" s="52"/>
      <c r="C12" s="82" t="s">
        <v>204</v>
      </c>
      <c r="D12" s="82" t="s">
        <v>205</v>
      </c>
      <c r="E12" s="82" t="s">
        <v>206</v>
      </c>
      <c r="F12" s="82" t="s">
        <v>328</v>
      </c>
      <c r="G12" s="82" t="s">
        <v>207</v>
      </c>
      <c r="H12" s="85" t="s">
        <v>329</v>
      </c>
      <c r="I12" s="82" t="s">
        <v>208</v>
      </c>
    </row>
    <row r="13" spans="1:9" x14ac:dyDescent="0.25">
      <c r="A13" s="52"/>
      <c r="B13" s="52"/>
      <c r="C13" s="82"/>
      <c r="D13" s="82"/>
      <c r="E13" s="82"/>
      <c r="F13" s="82"/>
      <c r="G13" s="52"/>
      <c r="H13" s="52"/>
      <c r="I13" s="52"/>
    </row>
    <row r="14" spans="1:9" x14ac:dyDescent="0.25">
      <c r="A14" t="s">
        <v>209</v>
      </c>
      <c r="C14" s="86">
        <v>3255</v>
      </c>
      <c r="D14" s="86">
        <v>39060</v>
      </c>
      <c r="E14" s="86">
        <v>4650</v>
      </c>
      <c r="F14" s="86">
        <v>10927.5</v>
      </c>
      <c r="G14" s="86">
        <v>54637.5</v>
      </c>
      <c r="H14" s="86">
        <v>72667.875</v>
      </c>
      <c r="I14" s="87">
        <v>37.847851562499997</v>
      </c>
    </row>
    <row r="15" spans="1:9" x14ac:dyDescent="0.25">
      <c r="A15" t="s">
        <v>210</v>
      </c>
      <c r="C15" s="86">
        <v>2604</v>
      </c>
      <c r="D15" s="86">
        <v>31248</v>
      </c>
      <c r="E15" s="86">
        <v>2790</v>
      </c>
      <c r="F15" s="86">
        <v>8509.5</v>
      </c>
      <c r="G15" s="86">
        <v>42547.5</v>
      </c>
      <c r="H15" s="86">
        <v>56588.175000000003</v>
      </c>
      <c r="I15" s="87">
        <v>29.473007812500001</v>
      </c>
    </row>
  </sheetData>
  <mergeCells count="2">
    <mergeCell ref="C11:D11"/>
    <mergeCell ref="F11:G1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D286B-4EAD-4443-848B-D6D5DC4D4CD4}">
  <sheetPr>
    <tabColor theme="2"/>
  </sheetPr>
  <dimension ref="B2:F21"/>
  <sheetViews>
    <sheetView workbookViewId="0">
      <selection activeCell="C32" sqref="C32"/>
    </sheetView>
  </sheetViews>
  <sheetFormatPr defaultRowHeight="15" x14ac:dyDescent="0.25"/>
  <cols>
    <col min="1" max="1" width="3.85546875" customWidth="1"/>
    <col min="2" max="2" width="60" bestFit="1" customWidth="1"/>
    <col min="3" max="6" width="13.28515625" customWidth="1"/>
  </cols>
  <sheetData>
    <row r="2" spans="2:6" ht="18.75" x14ac:dyDescent="0.3">
      <c r="B2" s="68" t="s">
        <v>42</v>
      </c>
    </row>
    <row r="13" spans="2:6" x14ac:dyDescent="0.25">
      <c r="C13" s="288" t="s">
        <v>193</v>
      </c>
      <c r="D13" s="288"/>
      <c r="E13" s="288" t="s">
        <v>194</v>
      </c>
      <c r="F13" s="288"/>
    </row>
    <row r="14" spans="2:6" x14ac:dyDescent="0.25">
      <c r="C14" s="1" t="s">
        <v>195</v>
      </c>
      <c r="D14" s="1" t="s">
        <v>20</v>
      </c>
      <c r="E14" s="1" t="s">
        <v>195</v>
      </c>
      <c r="F14" s="1" t="s">
        <v>20</v>
      </c>
    </row>
    <row r="15" spans="2:6" x14ac:dyDescent="0.25">
      <c r="B15" t="s">
        <v>196</v>
      </c>
      <c r="C15">
        <v>550</v>
      </c>
      <c r="D15" s="94">
        <f t="shared" ref="D15:D19" si="0">C15*USD_to_EUR</f>
        <v>511.5</v>
      </c>
      <c r="E15">
        <v>1650</v>
      </c>
      <c r="F15" s="110">
        <f t="shared" ref="F15:F19" si="1">E15*USD_to_EUR</f>
        <v>1534.5</v>
      </c>
    </row>
    <row r="16" spans="2:6" x14ac:dyDescent="0.25">
      <c r="B16" t="s">
        <v>197</v>
      </c>
      <c r="C16">
        <v>110</v>
      </c>
      <c r="D16" s="94">
        <f t="shared" si="0"/>
        <v>102.30000000000001</v>
      </c>
      <c r="E16">
        <v>330</v>
      </c>
      <c r="F16" s="110">
        <f t="shared" si="1"/>
        <v>306.90000000000003</v>
      </c>
    </row>
    <row r="17" spans="2:6" x14ac:dyDescent="0.25">
      <c r="B17" t="s">
        <v>198</v>
      </c>
      <c r="C17">
        <v>2000</v>
      </c>
      <c r="D17" s="94">
        <f t="shared" si="0"/>
        <v>1860</v>
      </c>
      <c r="E17">
        <v>3000</v>
      </c>
      <c r="F17" s="94">
        <f t="shared" si="1"/>
        <v>2790</v>
      </c>
    </row>
    <row r="18" spans="2:6" x14ac:dyDescent="0.25">
      <c r="B18" t="s">
        <v>199</v>
      </c>
      <c r="C18">
        <v>2370</v>
      </c>
      <c r="D18" s="94">
        <f t="shared" si="0"/>
        <v>2204.1</v>
      </c>
      <c r="E18">
        <v>4745</v>
      </c>
      <c r="F18" s="94">
        <f t="shared" si="1"/>
        <v>4412.8500000000004</v>
      </c>
    </row>
    <row r="19" spans="2:6" x14ac:dyDescent="0.25">
      <c r="B19" t="s">
        <v>200</v>
      </c>
      <c r="C19">
        <v>5000</v>
      </c>
      <c r="D19" s="94">
        <f t="shared" si="0"/>
        <v>4650</v>
      </c>
      <c r="E19">
        <v>7500</v>
      </c>
      <c r="F19" s="94">
        <f t="shared" si="1"/>
        <v>6975</v>
      </c>
    </row>
    <row r="20" spans="2:6" ht="15.75" thickBot="1" x14ac:dyDescent="0.3">
      <c r="C20" s="109">
        <f>SUM(C15:C19)</f>
        <v>10030</v>
      </c>
      <c r="D20" s="109">
        <f>SUM(D15:D19)</f>
        <v>9327.9</v>
      </c>
      <c r="E20" s="109">
        <f>SUM(E15:E19)</f>
        <v>17225</v>
      </c>
      <c r="F20" s="109">
        <f>SUM(F15:F19)</f>
        <v>16019.25</v>
      </c>
    </row>
    <row r="21" spans="2:6" ht="15.75" thickTop="1" x14ac:dyDescent="0.25"/>
  </sheetData>
  <mergeCells count="2">
    <mergeCell ref="C13:D13"/>
    <mergeCell ref="E13:F1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56C08CCF0D84043B4E7C315EFB8EAF3" ma:contentTypeVersion="9" ma:contentTypeDescription="Create a new document." ma:contentTypeScope="" ma:versionID="2639bee11ae52bb7c68e6f6afa3c2acd">
  <xsd:schema xmlns:xsd="http://www.w3.org/2001/XMLSchema" xmlns:xs="http://www.w3.org/2001/XMLSchema" xmlns:p="http://schemas.microsoft.com/office/2006/metadata/properties" xmlns:ns2="c7440682-6439-415b-99df-de01877f7c9b" xmlns:ns3="909deea8-02af-466b-99ae-402c61f4ebdb" targetNamespace="http://schemas.microsoft.com/office/2006/metadata/properties" ma:root="true" ma:fieldsID="1288d7e63e0274a6c8ca9454058840e2" ns2:_="" ns3:_="">
    <xsd:import namespace="c7440682-6439-415b-99df-de01877f7c9b"/>
    <xsd:import namespace="909deea8-02af-466b-99ae-402c61f4ebd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440682-6439-415b-99df-de01877f7c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09deea8-02af-466b-99ae-402c61f4ebd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8410FB-A0F6-4050-B598-FC9E5818226C}">
  <ds:schemaRefs>
    <ds:schemaRef ds:uri="http://schemas.openxmlformats.org/package/2006/metadata/core-properties"/>
    <ds:schemaRef ds:uri="c7440682-6439-415b-99df-de01877f7c9b"/>
    <ds:schemaRef ds:uri="http://purl.org/dc/elements/1.1/"/>
    <ds:schemaRef ds:uri="http://www.w3.org/XML/1998/namespace"/>
    <ds:schemaRef ds:uri="http://purl.org/dc/dcmitype/"/>
    <ds:schemaRef ds:uri="909deea8-02af-466b-99ae-402c61f4ebdb"/>
    <ds:schemaRef ds:uri="http://schemas.microsoft.com/office/2006/metadata/properties"/>
    <ds:schemaRef ds:uri="http://schemas.microsoft.com/office/2006/documentManagement/types"/>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16A5A779-D73D-41D3-8FDA-7A5DBA8D5235}">
  <ds:schemaRefs>
    <ds:schemaRef ds:uri="http://schemas.microsoft.com/sharepoint/v3/contenttype/forms"/>
  </ds:schemaRefs>
</ds:datastoreItem>
</file>

<file path=customXml/itemProps3.xml><?xml version="1.0" encoding="utf-8"?>
<ds:datastoreItem xmlns:ds="http://schemas.openxmlformats.org/officeDocument/2006/customXml" ds:itemID="{33047A75-61F8-4E14-8EDA-11030B0D76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440682-6439-415b-99df-de01877f7c9b"/>
    <ds:schemaRef ds:uri="909deea8-02af-466b-99ae-402c61f4eb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16</vt:i4>
      </vt:variant>
      <vt:variant>
        <vt:lpstr>Named Ranges</vt:lpstr>
      </vt:variant>
      <vt:variant>
        <vt:i4>23</vt:i4>
      </vt:variant>
    </vt:vector>
  </HeadingPairs>
  <TitlesOfParts>
    <vt:vector size="39" baseType="lpstr">
      <vt:lpstr>Introduction</vt:lpstr>
      <vt:lpstr>1.  Income &amp; exp - inflated</vt:lpstr>
      <vt:lpstr>2. Income &amp; exp - uninflated</vt:lpstr>
      <vt:lpstr>3. Model parameters</vt:lpstr>
      <vt:lpstr>4. Publication growth scenarios</vt:lpstr>
      <vt:lpstr>5. Article production costs</vt:lpstr>
      <vt:lpstr>5a. ORE page and figure avgs</vt:lpstr>
      <vt:lpstr>5b. Editorial hourly rates</vt:lpstr>
      <vt:lpstr>5c. M'ship &amp; supporter costs</vt:lpstr>
      <vt:lpstr>6. Marktg &amp; community (outsd)</vt:lpstr>
      <vt:lpstr>7. Platform costs</vt:lpstr>
      <vt:lpstr>8. Staff numbers (in-house)</vt:lpstr>
      <vt:lpstr>9. Inflatn &amp; labour cost index</vt:lpstr>
      <vt:lpstr>10. Assumptions</vt:lpstr>
      <vt:lpstr>Input - standalone</vt:lpstr>
      <vt:lpstr>Cost calculation - standalone</vt:lpstr>
      <vt:lpstr>Advertising_and_promotion_costs</vt:lpstr>
      <vt:lpstr>Bank_Finance_Charges</vt:lpstr>
      <vt:lpstr>Computer_Hardware</vt:lpstr>
      <vt:lpstr>Computer_Software</vt:lpstr>
      <vt:lpstr>Conference_Attendance</vt:lpstr>
      <vt:lpstr>Depreciation</vt:lpstr>
      <vt:lpstr>Editor_EUR_per_hour</vt:lpstr>
      <vt:lpstr>Insurance</vt:lpstr>
      <vt:lpstr>Internet___Telephone</vt:lpstr>
      <vt:lpstr>Legal_and_Professional_Fees</vt:lpstr>
      <vt:lpstr>Other_Computer_Costs</vt:lpstr>
      <vt:lpstr>Other_office_costs</vt:lpstr>
      <vt:lpstr>'Cost calculation - standalone'!Print_Area</vt:lpstr>
      <vt:lpstr>'Input - standalone'!Print_Area</vt:lpstr>
      <vt:lpstr>Introduction!Print_Area</vt:lpstr>
      <vt:lpstr>Production_Editor_Eur_Per_Hour</vt:lpstr>
      <vt:lpstr>Rent__service_charges_and_utilities_cost</vt:lpstr>
      <vt:lpstr>Staff_Training</vt:lpstr>
      <vt:lpstr>Subscriptions</vt:lpstr>
      <vt:lpstr>Technology_expenditure__outsourced</vt:lpstr>
      <vt:lpstr>Travel___subsistence</vt:lpstr>
      <vt:lpstr>USD_to_EUR</vt:lpstr>
      <vt:lpstr>VAT_rate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Katherine Calder</dc:creator>
  <cp:keywords/>
  <dc:description/>
  <cp:lastModifiedBy>Rob Johnson</cp:lastModifiedBy>
  <cp:revision/>
  <dcterms:created xsi:type="dcterms:W3CDTF">2019-11-26T09:59:50Z</dcterms:created>
  <dcterms:modified xsi:type="dcterms:W3CDTF">2023-11-27T17:10:17Z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0x010100B56C08CCF0D84043B4E7C315EFB8EAF3</vt:lpwstr>
  </property>
  <property fmtid="{D5CDD505-2E9C-101B-9397-08002B2CF9AE}" pid="3" name="ComplianceAssetId">
    <vt:lpwstr/>
  </property>
  <property fmtid="{D5CDD505-2E9C-101B-9397-08002B2CF9AE}" pid="4" name="MediaServiceImageTags">
    <vt:lpwstr/>
  </property>
  <property fmtid="{D5CDD505-2E9C-101B-9397-08002B2CF9AE}" pid="5" name="MSIP_Label_6bd9ddd1-4d20-43f6-abfa-fc3c07406f94_Enabled">
    <vt:lpwstr>true</vt:lpwstr>
  </property>
  <property fmtid="{D5CDD505-2E9C-101B-9397-08002B2CF9AE}" pid="6" name="MSIP_Label_6bd9ddd1-4d20-43f6-abfa-fc3c07406f94_SetDate">
    <vt:lpwstr>2023-06-26T06:08:55Z</vt:lpwstr>
  </property>
  <property fmtid="{D5CDD505-2E9C-101B-9397-08002B2CF9AE}" pid="7" name="MSIP_Label_6bd9ddd1-4d20-43f6-abfa-fc3c07406f94_Method">
    <vt:lpwstr>Standard</vt:lpwstr>
  </property>
  <property fmtid="{D5CDD505-2E9C-101B-9397-08002B2CF9AE}" pid="8" name="MSIP_Label_6bd9ddd1-4d20-43f6-abfa-fc3c07406f94_Name">
    <vt:lpwstr>Commission Use</vt:lpwstr>
  </property>
  <property fmtid="{D5CDD505-2E9C-101B-9397-08002B2CF9AE}" pid="9" name="MSIP_Label_6bd9ddd1-4d20-43f6-abfa-fc3c07406f94_SiteId">
    <vt:lpwstr>b24c8b06-522c-46fe-9080-70926f8dddb1</vt:lpwstr>
  </property>
  <property fmtid="{D5CDD505-2E9C-101B-9397-08002B2CF9AE}" pid="10" name="MSIP_Label_6bd9ddd1-4d20-43f6-abfa-fc3c07406f94_ActionId">
    <vt:lpwstr>1df945ba-e585-4524-b670-3c107fb7dee1</vt:lpwstr>
  </property>
  <property fmtid="{D5CDD505-2E9C-101B-9397-08002B2CF9AE}" pid="11" name="MSIP_Label_6bd9ddd1-4d20-43f6-abfa-fc3c07406f94_ContentBits">
    <vt:lpwstr>0</vt:lpwstr>
  </property>
</Properties>
</file>